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85" tabRatio="629" firstSheet="2" activeTab="5"/>
  </bookViews>
  <sheets>
    <sheet name="Trang bia" sheetId="21" state="hidden" r:id="rId1"/>
    <sheet name="Bang ghi nhan thay doi" sheetId="22" state="hidden" r:id="rId2"/>
    <sheet name="Tong hop" sheetId="40" r:id="rId3"/>
    <sheet name="Sheet2" sheetId="34" state="hidden" r:id="rId4"/>
    <sheet name="Danh sach chuc nang" sheetId="47" r:id="rId5"/>
    <sheet name="NL Chuc nang" sheetId="43" r:id="rId6"/>
    <sheet name="NL Phi CN" sheetId="32" r:id="rId7"/>
    <sheet name="BM_Kiem thu hieu nang" sheetId="24" state="hidden" r:id="rId8"/>
    <sheet name="HDKTHN" sheetId="25" state="hidden" r:id="rId9"/>
    <sheet name="NL QTDL" sheetId="46" r:id="rId10"/>
    <sheet name="Định nghĩa Loại Chức năng" sheetId="38" r:id="rId11"/>
    <sheet name="Định nghĩa loại công việc" sheetId="39" r:id="rId12"/>
    <sheet name="CSDL_CN" sheetId="35" r:id="rId13"/>
    <sheet name="CSDL Phi CN" sheetId="30" r:id="rId14"/>
    <sheet name="CSDL_QTDL" sheetId="45" r:id="rId15"/>
    <sheet name="Ty le phan bo nguon luc du an" sheetId="36" state="hidden" r:id="rId16"/>
    <sheet name="HD ULNL" sheetId="44" r:id="rId17"/>
    <sheet name="HD Tái sử dụng PM" sheetId="42" r:id="rId18"/>
    <sheet name="CSDL CN" sheetId="33" state="hidden" r:id="rId19"/>
    <sheet name="Tham chiếu list" sheetId="27" state="hidden" r:id="rId20"/>
    <sheet name="Tham chiếu list2" sheetId="29" state="hidden" r:id="rId21"/>
  </sheets>
  <externalReferences>
    <externalReference r:id="rId22"/>
    <externalReference r:id="rId23"/>
    <externalReference r:id="rId24"/>
    <externalReference r:id="rId25"/>
  </externalReferences>
  <definedNames>
    <definedName name="_xlnm._FilterDatabase" localSheetId="5" hidden="1">'NL Chuc nang'!$A$7:$Z$345</definedName>
    <definedName name="_xlnm._FilterDatabase" localSheetId="10" hidden="1">'Định nghĩa Loại Chức năng'!$A$4:$M$92</definedName>
    <definedName name="_Fill" localSheetId="14" hidden="1">#REF!</definedName>
    <definedName name="_Fill" localSheetId="16" hidden="1">#REF!</definedName>
    <definedName name="_Fill" localSheetId="9" hidden="1">#REF!</definedName>
    <definedName name="_Fill" localSheetId="19" hidden="1">#REF!</definedName>
    <definedName name="_Fill" localSheetId="20" hidden="1">#REF!</definedName>
    <definedName name="_Fill" localSheetId="2" hidden="1">#REF!</definedName>
    <definedName name="_Fill" hidden="1">#REF!</definedName>
    <definedName name="_Fill2" localSheetId="14" hidden="1">#REF!</definedName>
    <definedName name="_Fill2" localSheetId="16" hidden="1">#REF!</definedName>
    <definedName name="_Fill2" localSheetId="9" hidden="1">#REF!</definedName>
    <definedName name="_Fill2" localSheetId="2" hidden="1">#REF!</definedName>
    <definedName name="_Fill2" hidden="1">#REF!</definedName>
    <definedName name="_xlnm._FilterDatabase" localSheetId="13" hidden="1">'CSDL Phi CN'!$A$3:$H$72</definedName>
    <definedName name="_xlnm._FilterDatabase" localSheetId="12" hidden="1">CSDL_CN!$A$3:$C$478</definedName>
    <definedName name="Access">[1]Validation!$E$2:$E$223</definedName>
    <definedName name="AccessCircuit">[1]Validation!$C$2:$C$29</definedName>
    <definedName name="ACTION" localSheetId="14">#REF!</definedName>
    <definedName name="ACTION" localSheetId="16">#REF!</definedName>
    <definedName name="ACTION" localSheetId="9">#REF!</definedName>
    <definedName name="ACTION" localSheetId="19">#REF!</definedName>
    <definedName name="ACTION" localSheetId="20">#REF!</definedName>
    <definedName name="ACTION" localSheetId="2">#REF!</definedName>
    <definedName name="ACTION">#REF!</definedName>
    <definedName name="ACTION2" localSheetId="14">#REF!</definedName>
    <definedName name="ACTION2" localSheetId="16">#REF!</definedName>
    <definedName name="ACTION2" localSheetId="9">#REF!</definedName>
    <definedName name="ACTION2" localSheetId="2">#REF!</definedName>
    <definedName name="ACTION2">#REF!</definedName>
    <definedName name="Chuc_nang" localSheetId="20">'Tham chiếu list2'!$A$2:$A$13</definedName>
    <definedName name="Chuc_nang">'Tham chiếu list'!$A$2:$A$15</definedName>
    <definedName name="Chức_năng" localSheetId="20">'Tham chiếu list2'!$A$1:$A$14</definedName>
    <definedName name="Chức_năng">'Tham chiếu list'!$A$1:$A$16</definedName>
    <definedName name="Chuc_nang_moi" localSheetId="19">'Tham chiếu list'!$A$2:$A$16</definedName>
    <definedName name="Chuc_nang_moi" localSheetId="20">'Tham chiếu list2'!$A$2:$A$14</definedName>
    <definedName name="Chuc_nang_moi">'Tham chiếu list'!$A$2:$A$16</definedName>
    <definedName name="Chuc_nang_moi2" localSheetId="14">'[2]Tham chiếu list2'!$A$2:$A$14</definedName>
    <definedName name="Chuc_nang_moi2" localSheetId="16">'[2]Tham chiếu list2'!$A$2:$A$14</definedName>
    <definedName name="Chuc_nang_moi2" localSheetId="9">'[2]Tham chiếu list2'!$A$2:$A$14</definedName>
    <definedName name="Chuc_nang_moi2">'[2]Tham chiếu list2'!$A$2:$A$14</definedName>
    <definedName name="chucnang_WFW" localSheetId="14">#REF!</definedName>
    <definedName name="chucnang_WFW" localSheetId="16">#REF!</definedName>
    <definedName name="chucnang_WFW" localSheetId="9">#REF!</definedName>
    <definedName name="chucnang_WFW" localSheetId="19">#REF!</definedName>
    <definedName name="chucnang_WFW" localSheetId="20">#REF!</definedName>
    <definedName name="chucnang_WFW" localSheetId="2">#REF!</definedName>
    <definedName name="chucnang_WFW">#REF!</definedName>
    <definedName name="chucnang_WFW2" localSheetId="14">#REF!</definedName>
    <definedName name="chucnang_WFW2" localSheetId="16">#REF!</definedName>
    <definedName name="chucnang_WFW2" localSheetId="9">#REF!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4">#REF!</definedName>
    <definedName name="df" localSheetId="16">#REF!</definedName>
    <definedName name="df" localSheetId="9">#REF!</definedName>
    <definedName name="df" localSheetId="20">#REF!</definedName>
    <definedName name="df" localSheetId="2">#REF!</definedName>
    <definedName name="df">#REF!</definedName>
    <definedName name="Do_phuc_tap" localSheetId="20">'Tham chiếu list2'!$B$2:$B$6</definedName>
    <definedName name="Do_phuc_tap">'Tham chiếu list'!$B$2:$B$6</definedName>
    <definedName name="Document_array" localSheetId="14">{"Book1"}</definedName>
    <definedName name="Document_array" localSheetId="16">{"Book1"}</definedName>
    <definedName name="Document_array" localSheetId="5">{"Book1"}</definedName>
    <definedName name="Document_array" localSheetId="9">{"Book1"}</definedName>
    <definedName name="Document_array" localSheetId="19">{"Book1"}</definedName>
    <definedName name="Document_array" localSheetId="20">{"Book1"}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14">{"Book1"}</definedName>
    <definedName name="fds" localSheetId="16">{"Book1"}</definedName>
    <definedName name="fds" localSheetId="5">{"Book1"}</definedName>
    <definedName name="fds" localSheetId="9">{"Book1"}</definedName>
    <definedName name="fds" localSheetId="19">{"Book1"}</definedName>
    <definedName name="fds" localSheetId="20">{"Book1"}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20">[2]Draff1!$C$4:$C$41</definedName>
    <definedName name="LOAI_CN" localSheetId="2">[3]Draff1!#REF!</definedName>
    <definedName name="LOAI_CN">#REF!</definedName>
    <definedName name="Loai_CN2">'Tham chiếu list2'!$A$2:$A$14</definedName>
    <definedName name="LoaiCN" localSheetId="2">#REF!</definedName>
    <definedName name="LoaiCN">#REF!</definedName>
    <definedName name="LOAICN_KT">#REF!</definedName>
    <definedName name="LOAIDUAN" localSheetId="2">#REF!</definedName>
    <definedName name="LOAIDUAN">#REF!</definedName>
    <definedName name="Ma_testcase_34" localSheetId="14">#REF!</definedName>
    <definedName name="Ma_testcase_34" localSheetId="16">#REF!</definedName>
    <definedName name="Ma_testcase_34" localSheetId="9">#REF!</definedName>
    <definedName name="Ma_testcase_34" localSheetId="19">#REF!</definedName>
    <definedName name="Ma_testcase_34" localSheetId="20">#REF!</definedName>
    <definedName name="Ma_testcase_34" localSheetId="2">#REF!</definedName>
    <definedName name="Ma_testcase_34">#REF!</definedName>
    <definedName name="Ma_testcase_342" localSheetId="14">#REF!</definedName>
    <definedName name="Ma_testcase_342" localSheetId="16">#REF!</definedName>
    <definedName name="Ma_testcase_342" localSheetId="9">#REF!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3">'CSDL Phi CN'!$A$1:$G$66</definedName>
    <definedName name="_xlnm.Print_Area" localSheetId="12">CSDL_CN!$A$1:$E$478</definedName>
    <definedName name="_xlnm.Print_Area" localSheetId="14">CSDL_QTDL!$A$1:$G$13</definedName>
    <definedName name="_xlnm.Print_Area" localSheetId="10">'Định nghĩa Loại Chức năng'!$A$1:$F$92</definedName>
    <definedName name="_xlnm.Print_Area" localSheetId="16">'HD ULNL'!$A$1:$H$16</definedName>
    <definedName name="_xlnm.Print_Area" localSheetId="5">'NL Chuc nang'!$A$1:$X$345</definedName>
    <definedName name="_xlnm.Print_Area" localSheetId="6">'NL Phi CN'!$A$1:$E$47</definedName>
    <definedName name="_xlnm.Print_Area" localSheetId="9">'NL QTDL'!$A$1:$F$30</definedName>
    <definedName name="_xlnm.Print_Area" localSheetId="2">'Tong hop'!$A$1:$J$28</definedName>
    <definedName name="_xlnm.Print_Area" localSheetId="0">'Trang bia'!$A$1:$I$31</definedName>
    <definedName name="_xlnm.Print_Titles" localSheetId="13">'CSDL Phi CN'!$3:$3</definedName>
    <definedName name="_xlnm.Print_Titles" localSheetId="12">CSDL_CN!$3:$3</definedName>
    <definedName name="_xlnm.Print_Titles" localSheetId="5">'NL Chuc nang'!$6:$7</definedName>
    <definedName name="QLDH_TDTT_41" localSheetId="14">#REF!</definedName>
    <definedName name="QLDH_TDTT_41" localSheetId="16">#REF!</definedName>
    <definedName name="QLDH_TDTT_41" localSheetId="9">#REF!</definedName>
    <definedName name="QLDH_TDTT_41" localSheetId="19">#REF!</definedName>
    <definedName name="QLDH_TDTT_41" localSheetId="20">#REF!</definedName>
    <definedName name="QLDH_TDTT_41" localSheetId="2">#REF!</definedName>
    <definedName name="QLDH_TDTT_41">#REF!</definedName>
    <definedName name="QLDH_TDTT_412" localSheetId="14">#REF!</definedName>
    <definedName name="QLDH_TDTT_412" localSheetId="16">#REF!</definedName>
    <definedName name="QLDH_TDTT_412" localSheetId="9">#REF!</definedName>
    <definedName name="QLDH_TDTT_412" localSheetId="2">#REF!</definedName>
    <definedName name="QLDH_TDTT_412">#REF!</definedName>
    <definedName name="QLHD_CDHD_15" localSheetId="14">#REF!</definedName>
    <definedName name="QLHD_CDHD_15" localSheetId="16">#REF!</definedName>
    <definedName name="QLHD_CDHD_15" localSheetId="9">#REF!</definedName>
    <definedName name="QLHD_CDHD_15" localSheetId="19">#REF!</definedName>
    <definedName name="QLHD_CDHD_15" localSheetId="20">#REF!</definedName>
    <definedName name="QLHD_CDHD_15" localSheetId="2">#REF!</definedName>
    <definedName name="QLHD_CDHD_15">#REF!</definedName>
    <definedName name="QLHD_CDHD_152" localSheetId="14">#REF!</definedName>
    <definedName name="QLHD_CDHD_152" localSheetId="16">#REF!</definedName>
    <definedName name="QLHD_CDHD_152" localSheetId="9">#REF!</definedName>
    <definedName name="QLHD_CDHD_152" localSheetId="2">#REF!</definedName>
    <definedName name="QLHD_CDHD_152">#REF!</definedName>
    <definedName name="QLHD_CNHD_34" localSheetId="14">#REF!</definedName>
    <definedName name="QLHD_CNHD_34" localSheetId="16">#REF!</definedName>
    <definedName name="QLHD_CNHD_34" localSheetId="9">#REF!</definedName>
    <definedName name="QLHD_CNHD_34" localSheetId="19">#REF!</definedName>
    <definedName name="QLHD_CNHD_34" localSheetId="20">#REF!</definedName>
    <definedName name="QLHD_CNHD_34" localSheetId="2">#REF!</definedName>
    <definedName name="QLHD_CNHD_34">#REF!</definedName>
    <definedName name="QLHD_CNHD_342" localSheetId="14">#REF!</definedName>
    <definedName name="QLHD_CNHD_342" localSheetId="16">#REF!</definedName>
    <definedName name="QLHD_CNHD_342" localSheetId="9">#REF!</definedName>
    <definedName name="QLHD_CNHD_342" localSheetId="2">#REF!</definedName>
    <definedName name="QLHD_CNHD_342">#REF!</definedName>
    <definedName name="QLHD_GHD_34" localSheetId="14">#REF!</definedName>
    <definedName name="QLHD_GHD_34" localSheetId="16">#REF!</definedName>
    <definedName name="QLHD_GHD_34" localSheetId="9">#REF!</definedName>
    <definedName name="QLHD_GHD_34" localSheetId="19">#REF!</definedName>
    <definedName name="QLHD_GHD_34" localSheetId="20">#REF!</definedName>
    <definedName name="QLHD_GHD_34" localSheetId="2">#REF!</definedName>
    <definedName name="QLHD_GHD_34">#REF!</definedName>
    <definedName name="QLHD_GHD_342" localSheetId="14">#REF!</definedName>
    <definedName name="QLHD_GHD_342" localSheetId="16">#REF!</definedName>
    <definedName name="QLHD_GHD_342" localSheetId="9">#REF!</definedName>
    <definedName name="QLHD_GHD_342" localSheetId="2">#REF!</definedName>
    <definedName name="QLHD_GHD_342">#REF!</definedName>
    <definedName name="QLHD_HHD_13" localSheetId="14">#REF!</definedName>
    <definedName name="QLHD_HHD_13" localSheetId="16">#REF!</definedName>
    <definedName name="QLHD_HHD_13" localSheetId="9">#REF!</definedName>
    <definedName name="QLHD_HHD_13" localSheetId="19">#REF!</definedName>
    <definedName name="QLHD_HHD_13" localSheetId="20">#REF!</definedName>
    <definedName name="QLHD_HHD_13" localSheetId="2">#REF!</definedName>
    <definedName name="QLHD_HHD_13">#REF!</definedName>
    <definedName name="QLHD_HHD_132" localSheetId="14">#REF!</definedName>
    <definedName name="QLHD_HHD_132" localSheetId="16">#REF!</definedName>
    <definedName name="QLHD_HHD_132" localSheetId="9">#REF!</definedName>
    <definedName name="QLHD_HHD_132" localSheetId="2">#REF!</definedName>
    <definedName name="QLHD_HHD_132">#REF!</definedName>
    <definedName name="QLHD_KHD_6" localSheetId="14">#REF!</definedName>
    <definedName name="QLHD_KHD_6" localSheetId="16">#REF!</definedName>
    <definedName name="QLHD_KHD_6" localSheetId="9">#REF!</definedName>
    <definedName name="QLHD_KHD_6" localSheetId="19">#REF!</definedName>
    <definedName name="QLHD_KHD_6" localSheetId="20">#REF!</definedName>
    <definedName name="QLHD_KHD_6" localSheetId="2">#REF!</definedName>
    <definedName name="QLHD_KHD_6">#REF!</definedName>
    <definedName name="QLHD_KHD_62" localSheetId="14">#REF!</definedName>
    <definedName name="QLHD_KHD_62" localSheetId="16">#REF!</definedName>
    <definedName name="QLHD_KHD_62" localSheetId="9">#REF!</definedName>
    <definedName name="QLHD_KHD_62" localSheetId="2">#REF!</definedName>
    <definedName name="QLHD_KHD_62">#REF!</definedName>
    <definedName name="QLHD_TH_1" localSheetId="14">#REF!</definedName>
    <definedName name="QLHD_TH_1" localSheetId="16">#REF!</definedName>
    <definedName name="QLHD_TH_1" localSheetId="9">#REF!</definedName>
    <definedName name="QLHD_TH_1" localSheetId="19">#REF!</definedName>
    <definedName name="QLHD_TH_1" localSheetId="20">#REF!</definedName>
    <definedName name="QLHD_TH_1" localSheetId="2">#REF!</definedName>
    <definedName name="QLHD_TH_1">#REF!</definedName>
    <definedName name="QLHD_TH_12" localSheetId="14">#REF!</definedName>
    <definedName name="QLHD_TH_12" localSheetId="16">#REF!</definedName>
    <definedName name="QLHD_TH_12" localSheetId="9">#REF!</definedName>
    <definedName name="QLHD_TH_12" localSheetId="2">#REF!</definedName>
    <definedName name="QLHD_TH_12">#REF!</definedName>
    <definedName name="QLHD_THD_34" localSheetId="14">#REF!</definedName>
    <definedName name="QLHD_THD_34" localSheetId="16">#REF!</definedName>
    <definedName name="QLHD_THD_34" localSheetId="9">#REF!</definedName>
    <definedName name="QLHD_THD_34" localSheetId="19">#REF!</definedName>
    <definedName name="QLHD_THD_34" localSheetId="20">#REF!</definedName>
    <definedName name="QLHD_THD_34" localSheetId="2">#REF!</definedName>
    <definedName name="QLHD_THD_34">#REF!</definedName>
    <definedName name="QLHD_THD_342" localSheetId="14">#REF!</definedName>
    <definedName name="QLHD_THD_342" localSheetId="16">#REF!</definedName>
    <definedName name="QLHD_THD_342" localSheetId="9">#REF!</definedName>
    <definedName name="QLHD_THD_342" localSheetId="2">#REF!</definedName>
    <definedName name="QLHD_THD_342">#REF!</definedName>
    <definedName name="Tên_TestCase" localSheetId="14">#REF!</definedName>
    <definedName name="Tên_TestCase" localSheetId="16">#REF!</definedName>
    <definedName name="Tên_TestCase" localSheetId="9">#REF!</definedName>
    <definedName name="Tên_TestCase" localSheetId="19">#REF!</definedName>
    <definedName name="Tên_TestCase" localSheetId="20">#REF!</definedName>
    <definedName name="Tên_TestCase" localSheetId="2">#REF!</definedName>
    <definedName name="Tên_TestCase">#REF!</definedName>
    <definedName name="Tên_TestCase2" localSheetId="14">#REF!</definedName>
    <definedName name="Tên_TestCase2" localSheetId="16">#REF!</definedName>
    <definedName name="Tên_TestCase2" localSheetId="9">#REF!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5" hidden="1">'NL Chuc nang'!$A$7:$X$341</definedName>
    <definedName name="Z_C58FC9F5_0B34_4D2F_AC80_FBB6787C6862_.wvu.PrintArea" localSheetId="5" hidden="1">'NL Chuc nang'!$A$1:$X$345</definedName>
  </definedNames>
  <calcPr calcId="144525"/>
  <customWorkbookViews>
    <customWorkbookView name="QA_ngant10 - Personal View" guid="{C58FC9F5-0B34-4D2F-AC80-FBB6787C6862}" personalView="1" maximized="1" xWindow="1" yWindow="1" windowWidth="1280" windowHeight="772" activeSheetId="0"/>
  </customWorkbookViews>
</workbook>
</file>

<file path=xl/comments1.xml><?xml version="1.0" encoding="utf-8"?>
<comments xmlns="http://schemas.openxmlformats.org/spreadsheetml/2006/main">
  <authors>
    <author>Tran Thi Thuy Linh</author>
  </authors>
  <commentList>
    <comment ref="D79" authorId="0">
      <text>
        <r>
          <rPr>
            <b/>
            <sz val="9"/>
            <rFont val="Tahoma"/>
            <charset val="134"/>
          </rPr>
          <t>Tran Thi Thuy Linh:</t>
        </r>
        <r>
          <rPr>
            <sz val="9"/>
            <rFont val="Tahoma"/>
            <charset val="134"/>
          </rPr>
          <t xml:space="preserve">
Tháng 04 đang nghiệm thu chức năng này 0.5MM
Cần bổ sung thêm các chức năng con để tổng chức năng này ~0.5MM</t>
        </r>
      </text>
    </comment>
    <comment ref="D83" authorId="0">
      <text>
        <r>
          <rPr>
            <b/>
            <sz val="9"/>
            <rFont val="Tahoma"/>
            <charset val="134"/>
          </rPr>
          <t>Tran Thi Thuy Linh:</t>
        </r>
        <r>
          <rPr>
            <sz val="9"/>
            <rFont val="Tahoma"/>
            <charset val="134"/>
          </rPr>
          <t xml:space="preserve">
Tháng 4 đang nghiệm thu chức năng này 0.5MM
Cần bổ sung các chức năng con để ~nỗ lực đã nghiệm thu trong tháng</t>
        </r>
      </text>
    </comment>
    <comment ref="D87" authorId="0">
      <text>
        <r>
          <rPr>
            <b/>
            <sz val="9"/>
            <rFont val="Tahoma"/>
            <charset val="134"/>
          </rPr>
          <t>Tran Thi Thuy Linh:</t>
        </r>
        <r>
          <rPr>
            <sz val="9"/>
            <rFont val="Tahoma"/>
            <charset val="134"/>
          </rPr>
          <t xml:space="preserve">
Tháng 4 đang nghiệm thu chức năng này 0.6MM
Cần bổ sung các chức năng con để ~nỗ lực đã nghiệm thu trong tháng</t>
        </r>
      </text>
    </comment>
    <comment ref="D91" authorId="0">
      <text>
        <r>
          <rPr>
            <b/>
            <sz val="9"/>
            <rFont val="Tahoma"/>
            <charset val="134"/>
          </rPr>
          <t>Tran Thi Thuy Linh:</t>
        </r>
        <r>
          <rPr>
            <sz val="9"/>
            <rFont val="Tahoma"/>
            <charset val="134"/>
          </rPr>
          <t xml:space="preserve">
Tháng 4 đang nghiệm thu chức năng này 0.58MM
Cần bổ sung các chức năng con để ~nỗ lực đã nghiệm thu trong tháng</t>
        </r>
      </text>
    </comment>
    <comment ref="D95" authorId="0">
      <text>
        <r>
          <rPr>
            <b/>
            <sz val="9"/>
            <rFont val="Tahoma"/>
            <charset val="134"/>
          </rPr>
          <t>Tran Thi Thuy Linh:</t>
        </r>
        <r>
          <rPr>
            <sz val="9"/>
            <rFont val="Tahoma"/>
            <charset val="134"/>
          </rPr>
          <t xml:space="preserve">
Tháng 4 đang nghiệm thu chức năng này 0.6MM
Cần bổ sung các chức năng con để ~nỗ lực đã nghiệm thu trong tháng</t>
        </r>
      </text>
    </comment>
    <comment ref="D99" authorId="0">
      <text>
        <r>
          <rPr>
            <b/>
            <sz val="9"/>
            <rFont val="Tahoma"/>
            <charset val="134"/>
          </rPr>
          <t>Tran Thi Thuy Linh:</t>
        </r>
        <r>
          <rPr>
            <sz val="9"/>
            <rFont val="Tahoma"/>
            <charset val="134"/>
          </rPr>
          <t xml:space="preserve">
Tháng 4 đang nghiệm thu chức năng này 0.6MM
Cần bổ sung các chức năng con để ~nỗ lực đã nghiệm thu trong tháng</t>
        </r>
      </text>
    </comment>
    <comment ref="D103" authorId="0">
      <text>
        <r>
          <rPr>
            <b/>
            <sz val="9"/>
            <rFont val="Tahoma"/>
            <charset val="134"/>
          </rPr>
          <t>Tran Thi Thuy Linh:</t>
        </r>
        <r>
          <rPr>
            <sz val="9"/>
            <rFont val="Tahoma"/>
            <charset val="134"/>
          </rPr>
          <t xml:space="preserve">
Tháng 4 đang nghiệm thu chức năng này 0.6MM
Cần bổ sung các chức năng con để ~nỗ lực đã nghiệm thu trong tháng</t>
        </r>
      </text>
    </comment>
  </commentList>
</comments>
</file>

<file path=xl/comments2.xml><?xml version="1.0" encoding="utf-8"?>
<comments xmlns="http://schemas.openxmlformats.org/spreadsheetml/2006/main">
  <authors>
    <author>qlcl_hoalh1</author>
  </authors>
  <commentList>
    <comment ref="B4" authorId="0">
      <text>
        <r>
          <rPr>
            <b/>
            <sz val="8"/>
            <rFont val="Tahoma"/>
            <charset val="134"/>
          </rPr>
          <t>QA_NgaNT10:</t>
        </r>
        <r>
          <rPr>
            <sz val="8"/>
            <rFont val="Tahoma"/>
            <charset val="134"/>
          </rPr>
          <t xml:space="preserve">
Đặt theo mã của yêu cầu đang thực hiện</t>
        </r>
      </text>
    </comment>
    <comment ref="C4" authorId="0">
      <text>
        <r>
          <rPr>
            <b/>
            <sz val="8"/>
            <rFont val="Tahoma"/>
            <charset val="134"/>
          </rPr>
          <t>QA_NgaNT10:</t>
        </r>
        <r>
          <rPr>
            <sz val="8"/>
            <rFont val="Tahoma"/>
            <charset val="134"/>
          </rPr>
          <t xml:space="preserve">
Đặt tên theo cách dễ nhớ và map với KHCT</t>
        </r>
      </text>
    </comment>
    <comment ref="B19" authorId="0">
      <text>
        <r>
          <rPr>
            <b/>
            <sz val="8"/>
            <rFont val="Tahoma"/>
            <charset val="134"/>
          </rPr>
          <t>QA_NgaNT10:</t>
        </r>
        <r>
          <rPr>
            <sz val="8"/>
            <rFont val="Tahoma"/>
            <charset val="134"/>
          </rPr>
          <t xml:space="preserve">
Đặt theo mã của yêu cầu đang thực hiện</t>
        </r>
      </text>
    </comment>
    <comment ref="C19" authorId="0">
      <text>
        <r>
          <rPr>
            <b/>
            <sz val="8"/>
            <rFont val="Tahoma"/>
            <charset val="134"/>
          </rPr>
          <t>QA_NgaNT10:</t>
        </r>
        <r>
          <rPr>
            <sz val="8"/>
            <rFont val="Tahoma"/>
            <charset val="134"/>
          </rPr>
          <t xml:space="preserve">
Đặt tên theo cách dễ nhớ và map với KHCT</t>
        </r>
      </text>
    </comment>
  </commentList>
</comments>
</file>

<file path=xl/comments3.xml><?xml version="1.0" encoding="utf-8"?>
<comments xmlns="http://schemas.openxmlformats.org/spreadsheetml/2006/main">
  <authors>
    <author>qlcl_hoalh1</author>
    <author>MyLTH</author>
  </authors>
  <commentList>
    <comment ref="B8" authorId="0">
      <text>
        <r>
          <rPr>
            <b/>
            <sz val="8"/>
            <rFont val="Tahoma"/>
            <charset val="134"/>
          </rPr>
          <t>qlcl_hoalh1:</t>
        </r>
        <r>
          <rPr>
            <sz val="8"/>
            <rFont val="Tahoma"/>
            <charset val="134"/>
          </rPr>
          <t xml:space="preserve">
Tham chiếu theo mã đầu việc tương ứng bên sheet CSDL chức năng và CSDL phi chức năng</t>
        </r>
      </text>
    </comment>
    <comment ref="C8" authorId="1">
      <text>
        <r>
          <rPr>
            <b/>
            <sz val="8"/>
            <rFont val="Tahoma"/>
            <charset val="134"/>
          </rPr>
          <t>MyLTH:</t>
        </r>
        <r>
          <rPr>
            <sz val="8"/>
            <rFont val="Tahoma"/>
            <charset val="134"/>
          </rPr>
          <t xml:space="preserve">
Tên đầu việc trong dự án</t>
        </r>
      </text>
    </comment>
  </commentList>
</comments>
</file>

<file path=xl/comments4.xml><?xml version="1.0" encoding="utf-8"?>
<comments xmlns="http://schemas.openxmlformats.org/spreadsheetml/2006/main">
  <authors>
    <author>qlcl_hoalh1</author>
  </authors>
  <commentList>
    <comment ref="C2" authorId="0">
      <text>
        <r>
          <rPr>
            <b/>
            <sz val="8"/>
            <rFont val="Tahoma"/>
            <charset val="134"/>
          </rPr>
          <t>qlcl_hoalh1:</t>
        </r>
        <r>
          <rPr>
            <sz val="8"/>
            <rFont val="Tahoma"/>
            <charset val="134"/>
          </rPr>
          <t xml:space="preserve">
Tham chiếu theo mã đầu việc tương ứng bên sheet CSDL chức năng và CSDL phi chức năng</t>
        </r>
      </text>
    </comment>
  </commentList>
</comments>
</file>

<file path=xl/comments5.xml><?xml version="1.0" encoding="utf-8"?>
<comments xmlns="http://schemas.openxmlformats.org/spreadsheetml/2006/main">
  <authors>
    <author>QA_ngant10</author>
  </authors>
  <commentList>
    <comment ref="G6" authorId="0">
      <text>
        <r>
          <rPr>
            <b/>
            <sz val="8"/>
            <rFont val="Tahoma"/>
            <charset val="134"/>
          </rPr>
          <t>QA_ngant10:</t>
        </r>
        <r>
          <rPr>
            <sz val="8"/>
            <rFont val="Tahoma"/>
            <charset val="134"/>
          </rPr>
          <t xml:space="preserve">
Dự án có thực hiện công việc này không?</t>
        </r>
      </text>
    </comment>
  </commentList>
</comments>
</file>

<file path=xl/comments6.xml><?xml version="1.0" encoding="utf-8"?>
<comments xmlns="http://schemas.openxmlformats.org/spreadsheetml/2006/main">
  <authors>
    <author>qlcl_hoalh1</author>
  </authors>
  <commentList>
    <comment ref="C3" authorId="0">
      <text>
        <r>
          <rPr>
            <b/>
            <sz val="8"/>
            <rFont val="Tahoma"/>
            <charset val="134"/>
          </rPr>
          <t>qlcl_hoalh1:</t>
        </r>
        <r>
          <rPr>
            <sz val="8"/>
            <rFont val="Tahoma"/>
            <charset val="134"/>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<sst xmlns="http://schemas.openxmlformats.org/spreadsheetml/2006/main" count="4734" uniqueCount="1665">
  <si>
    <t>TẬP ĐOÀN CÔNG NGHIỆP - VIỄN THÔNG QUÂN ĐỘI</t>
  </si>
  <si>
    <t>TỔNG CÔNG TY GIẢI PHÁP DOANH NGHIỆP VIETTEL</t>
  </si>
  <si>
    <t>TRUNG TÂM PHẦN MỀM VIỄN THÔNG VIETTEL</t>
  </si>
  <si>
    <t xml:space="preserve">Mã dự án/ mã yêu cầu:  </t>
  </si>
  <si>
    <t>Mã tài liệu:</t>
  </si>
  <si>
    <t>:</t>
  </si>
  <si>
    <t>&lt;Mã tài liệu&gt;</t>
  </si>
  <si>
    <t>Lần ước lượng</t>
  </si>
  <si>
    <t>Ef</t>
  </si>
  <si>
    <t>Người lập:</t>
  </si>
  <si>
    <t>&lt;Tên người lập&gt;</t>
  </si>
  <si>
    <t>23/02/2019</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</si>
  <si>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</si>
  <si>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</si>
  <si>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</si>
  <si>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</si>
  <si>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</si>
  <si>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</si>
  <si>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</si>
  <si>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</si>
  <si>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</si>
  <si>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</si>
  <si>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</si>
  <si>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</si>
  <si>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</si>
  <si>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</si>
  <si>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</si>
  <si>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</si>
  <si>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</si>
  <si>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</si>
  <si>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</si>
  <si>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</si>
  <si>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</si>
  <si>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</si>
  <si>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</si>
  <si>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</si>
  <si>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</si>
  <si>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</si>
  <si>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</si>
  <si>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</si>
  <si>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</si>
  <si>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</si>
  <si>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t>
  </si>
  <si>
    <t>Phát triển</t>
  </si>
  <si>
    <t>Tổng nỗ lực thực hiện phát triển bao gồm coding, fixbug</t>
  </si>
  <si>
    <t>Unit test</t>
  </si>
  <si>
    <t xml:space="preserve">Tổng nỗ lực thực hiện unit test </t>
  </si>
  <si>
    <t>Kiểm thử</t>
  </si>
  <si>
    <t>Nỗ lực cho: viết KBKT, xem xét, phê duyệt KBKT, Thực hiện và ghi nhận kết quả kiểm thử, quản lý lỗi trên hệ thống IBM Làm báo cáo kiểm thử</t>
  </si>
  <si>
    <t>Nỗ lực thực hiện phi chức năng</t>
  </si>
  <si>
    <t>Tổng nỗ lực thực hiện các công việc QTDA, kiểm thử hiệu năng, nghiệm thu, triển khai, đào tạo…</t>
  </si>
  <si>
    <t>Nỗ lực thực hiện tiêu chuẩn QTDL</t>
  </si>
  <si>
    <t>Tổng nỗ lực thực hiện cho tiêu chuẩn QTDL</t>
  </si>
  <si>
    <t>Tổng nỗ lực thực hiện (MD) (5)+ (6)</t>
  </si>
  <si>
    <t>Là tổng nỗ lực thực hiện của dự án sau khi trừ đi nỗ lực các giai đoạn cuối cùng</t>
  </si>
  <si>
    <t>Tổng nỗ lực MM:</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</si>
  <si>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</si>
  <si>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</si>
  <si>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</si>
  <si>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</si>
  <si>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</si>
  <si>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</si>
  <si>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</si>
  <si>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</si>
  <si>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 Trong đó:
- Thuê ngoài: Thiết kế cơ sở dữ liệu, Thiết kế chi tiết, Cắt style CSS,HTML,JS...
- Tự thực hiện: Khảo sát bài toán, Phân tích yêu cầu, Thiết kế tổng thể.</t>
  </si>
  <si>
    <t>Tổng nỗ lực thực hiện phát triển bao gồm coding,  fixbug</t>
  </si>
  <si>
    <t>Nỗ lực cho: viết KBKT, xem xét, phê duyệt KBKT, Thực hiện và ghi nhận kết quả kiểm thử, quản lý lỗi trên hệ thống IBM làm báo cáo kiểm thử</t>
  </si>
  <si>
    <t>Phi chức năng</t>
  </si>
  <si>
    <t>Tổng nỗ lực thực hiện (MD)</t>
  </si>
  <si>
    <t>= (1) + (2) + (3) + (4)</t>
  </si>
  <si>
    <t>Tổng nỗ lực thực hiện (MM)</t>
  </si>
  <si>
    <t>Thuê ngoài và nội bộ: 1MM = 22MD</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</si>
  <si>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</si>
  <si>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</si>
  <si>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</si>
  <si>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</si>
  <si>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</si>
  <si>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</si>
  <si>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</si>
  <si>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</si>
  <si>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</si>
  <si>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</si>
  <si>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</si>
  <si>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</si>
  <si>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</si>
  <si>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</si>
  <si>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</si>
  <si>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</si>
  <si>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</si>
  <si>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</si>
  <si>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</si>
  <si>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</si>
  <si>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</si>
  <si>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</si>
  <si>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</si>
  <si>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</si>
  <si>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</si>
  <si>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</si>
  <si>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</si>
  <si>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</si>
  <si>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</si>
  <si>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</si>
  <si>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</si>
  <si>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</si>
  <si>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</si>
  <si>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</si>
  <si>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</si>
  <si>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</si>
  <si>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</si>
  <si>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</si>
  <si>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</si>
  <si>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</si>
  <si>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</si>
  <si>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</si>
  <si>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</si>
  <si>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</si>
  <si>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</si>
  <si>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</si>
  <si>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</si>
  <si>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</si>
  <si>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</si>
  <si>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</si>
  <si>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</si>
  <si>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</si>
  <si>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</si>
  <si>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</si>
  <si>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</si>
  <si>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</si>
  <si>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</si>
  <si>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</si>
  <si>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</si>
  <si>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</si>
  <si>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</si>
  <si>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</si>
  <si>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</si>
  <si>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</si>
  <si>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</si>
  <si>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</si>
  <si>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</si>
  <si>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</si>
  <si>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</si>
  <si>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</si>
  <si>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</si>
  <si>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</si>
  <si>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</si>
  <si>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</si>
  <si>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</si>
  <si>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</si>
  <si>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</si>
  <si>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</si>
  <si>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</si>
  <si>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</si>
  <si>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</si>
  <si>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</si>
  <si>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</si>
  <si>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</si>
  <si>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</si>
  <si>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</si>
  <si>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</si>
  <si>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</si>
  <si>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</si>
  <si>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</si>
  <si>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</si>
  <si>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</si>
  <si>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</si>
  <si>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</si>
  <si>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</si>
  <si>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</si>
  <si>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</si>
  <si>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</si>
  <si>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</si>
  <si>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</si>
  <si>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</si>
  <si>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</si>
  <si>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</si>
  <si>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</si>
  <si>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</si>
  <si>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</si>
  <si>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</si>
  <si>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</si>
  <si>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</si>
  <si>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</si>
  <si>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</si>
  <si>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</si>
  <si>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</si>
  <si>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</si>
  <si>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</si>
  <si>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</si>
  <si>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</si>
  <si>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</si>
  <si>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</si>
  <si>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</si>
  <si>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</si>
  <si>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</si>
  <si>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</si>
  <si>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</si>
  <si>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</si>
  <si>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</si>
  <si>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</si>
  <si>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</si>
  <si>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</si>
  <si>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</si>
  <si>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</si>
  <si>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</si>
  <si>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</si>
  <si>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</si>
  <si>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</si>
  <si>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</si>
  <si>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</si>
  <si>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</si>
  <si>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</si>
  <si>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</si>
  <si>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</si>
  <si>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</si>
  <si>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</si>
  <si>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</si>
  <si>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</si>
  <si>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</si>
  <si>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</si>
  <si>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Danh sách tính nang hệ thống Chatbot</t>
  </si>
  <si>
    <t>Phân loại</t>
  </si>
  <si>
    <t>Tên Module</t>
  </si>
  <si>
    <t>1</t>
  </si>
  <si>
    <t>Phân hệ Web</t>
  </si>
  <si>
    <t>Đăng nhập vào hệ thống</t>
  </si>
  <si>
    <t>2</t>
  </si>
  <si>
    <t>Quên mật khẩu</t>
  </si>
  <si>
    <t>3</t>
  </si>
  <si>
    <t>Quản lý người dùng</t>
  </si>
  <si>
    <t>4</t>
  </si>
  <si>
    <t>Quản lý quyền người dùng</t>
  </si>
  <si>
    <t>5</t>
  </si>
  <si>
    <t>Quản lý phòng ban</t>
  </si>
  <si>
    <t>6</t>
  </si>
  <si>
    <t>Quản lý chức vụ</t>
  </si>
  <si>
    <t>7</t>
  </si>
  <si>
    <t>Quản lý và kiểm duyệt Video</t>
  </si>
  <si>
    <t>8</t>
  </si>
  <si>
    <t>Tích hợp với Module AI</t>
  </si>
  <si>
    <t>9</t>
  </si>
  <si>
    <t>Báo cáo</t>
  </si>
  <si>
    <t>10</t>
  </si>
  <si>
    <t>Cấu hình IP nội bộ</t>
  </si>
  <si>
    <t>11</t>
  </si>
  <si>
    <t>Cấu hình tham số hệ thống</t>
  </si>
  <si>
    <t>12</t>
  </si>
  <si>
    <t>Phân hệ Backend</t>
  </si>
  <si>
    <t>Tích hợp với Module Web</t>
  </si>
  <si>
    <t>13</t>
  </si>
  <si>
    <t>Module cảnh báo nội dung khiêu dâm, sex</t>
  </si>
  <si>
    <t>14</t>
  </si>
  <si>
    <t>Module cảnh báo nội dung chính trị, nội dung cấm</t>
  </si>
  <si>
    <t>15</t>
  </si>
  <si>
    <t>Module cảnh báo nội dung video bản quyền</t>
  </si>
  <si>
    <t>16</t>
  </si>
  <si>
    <t>Module cảnh báo video trùng lắp</t>
  </si>
  <si>
    <t>17</t>
  </si>
  <si>
    <t>Module tự động nhận dạng gương mặt lãnh tụ và cảnh báo</t>
  </si>
  <si>
    <t>18</t>
  </si>
  <si>
    <t>Module tự động phân loại video(thể thao, ca nhạc, phim…)</t>
  </si>
  <si>
    <t>19</t>
  </si>
  <si>
    <t>Module tự động nhận dạng gương mặt và tag tên diễn viên, ca sĩ</t>
  </si>
  <si>
    <t>20</t>
  </si>
  <si>
    <t>Module nhận dạng live stream HLS (HTTP Live Streaming)</t>
  </si>
  <si>
    <t>BẢNG DANH SÁCH CHỨC NĂNG</t>
  </si>
  <si>
    <t>* Điền thông tin vào các cột màu trắng</t>
  </si>
  <si>
    <t>Giải pháp bao gồm Phân tích thiết kế;Phát triển: gồm lập trình, sửa lỗi, unit test; Kiểm thử: Kịch bản kiểm thử, Test tính năng, hướng dẫn sử dụng</t>
  </si>
  <si>
    <t>TT</t>
  </si>
  <si>
    <t>Mã yêu cầu</t>
  </si>
  <si>
    <t>Tên Chức năng</t>
  </si>
  <si>
    <t>Mô tả chức năng</t>
  </si>
  <si>
    <t>Nỗ lực thực hiện sau khi tái sử dụng (MH)</t>
  </si>
  <si>
    <t>Nỗ lực thực hiện
(MH)</t>
  </si>
  <si>
    <t>Tái sử dụng (%)</t>
  </si>
  <si>
    <t>Tái sử dụng từ chức năng/hệ thống nào</t>
  </si>
  <si>
    <t>Nỗ lực thuê ngoài (Manhours)</t>
  </si>
  <si>
    <t>Ghi chú</t>
  </si>
  <si>
    <t>Lý do xếp loại chức năng</t>
  </si>
  <si>
    <t>Tổng nỗ lực thực hiện (MH)</t>
  </si>
  <si>
    <t>Tổng nỗ lực (MM)</t>
  </si>
  <si>
    <t>Mã chức năng</t>
  </si>
  <si>
    <t>Có unit test hay không?</t>
  </si>
  <si>
    <t>Tổng nỗ lực (mh)</t>
  </si>
  <si>
    <t>I. PHÂN HỆ WEB</t>
  </si>
  <si>
    <t>CALL_MAN_WEB1</t>
  </si>
  <si>
    <t>Đăng nhập</t>
  </si>
  <si>
    <t>Đăng nhập qua sso</t>
  </si>
  <si>
    <t>Có</t>
  </si>
  <si>
    <t>OS</t>
  </si>
  <si>
    <t>Có các trường:
1) Tên đăng nhập
2) Mật khẩu</t>
  </si>
  <si>
    <t>Quản lý đăng nhập và mật khẩu</t>
  </si>
  <si>
    <t>Validate sso token</t>
  </si>
  <si>
    <t>CALL_MAN_WEB2</t>
  </si>
  <si>
    <t>Đăng xuất</t>
  </si>
  <si>
    <t>Đăng xuất sso</t>
  </si>
  <si>
    <t>Có các trường:
1) Tên đăng nhập</t>
  </si>
  <si>
    <t>CALL_MAN_WEB3</t>
  </si>
  <si>
    <t>Thêm mới người dùng</t>
  </si>
  <si>
    <t xml:space="preserve">Có các trường:
1) Họ và tên
2) Email
3) Số điện thoại
</t>
  </si>
  <si>
    <t>Validate thêm mới người dùng</t>
  </si>
  <si>
    <t>CALL_MAN_WEB4</t>
  </si>
  <si>
    <t>Xóa người dùng</t>
  </si>
  <si>
    <t>Có các trường:
1) Thông báo xóa người dùng
2) Button Đồng ý và Hủy bỏ</t>
  </si>
  <si>
    <t>Validate xóa người dùng</t>
  </si>
  <si>
    <t>CALL_MAN_WEB5</t>
  </si>
  <si>
    <t>Tìm kiếm thông tin người dùng</t>
  </si>
  <si>
    <t>Có các trường
1) Thanh tìm kiếm
2) Filter theo thời gian</t>
  </si>
  <si>
    <t>Chuẩn hóa kết quả tìm kiếm thông tin người dùng</t>
  </si>
  <si>
    <t>CALL_MAN_WEB6</t>
  </si>
  <si>
    <t>Thêm mới quyền người dùng</t>
  </si>
  <si>
    <t>Có các trường:
1) Mã quyền
2) Mô tả
3) Tên hiển thị</t>
  </si>
  <si>
    <t>Validate quyền người dùng</t>
  </si>
  <si>
    <t>CALL_MAN_WEB7</t>
  </si>
  <si>
    <t>Xóa quyền người dùng</t>
  </si>
  <si>
    <t>Có các trường:
1) Thông báo xóa quyền người dùng
2) Button Đồng ý và Hủy bỏ</t>
  </si>
  <si>
    <t>Kiểm tra và xóa các vai trò liên quan quyền người dùng</t>
  </si>
  <si>
    <t>Có các trường:
1) Check quyền người dùng đã được gán cho nhân viên</t>
  </si>
  <si>
    <t>CALL_MAN_WEB8</t>
  </si>
  <si>
    <t>Sửa quyền người dùng</t>
  </si>
  <si>
    <t>Kiểm tra và cập nhật các vai trò liên quan quyền người dùng</t>
  </si>
  <si>
    <t>CALL_MAN_WEB9</t>
  </si>
  <si>
    <t>Sửa thông tin của chính mình</t>
  </si>
  <si>
    <t>Có các trường
1) Họ và tên
2) Mã nhân viên
3) Giới tính
4) Ngày sinh
5) Số điện thoại
6) Email</t>
  </si>
  <si>
    <t>Validate thông tin của chính mình</t>
  </si>
  <si>
    <t>Có các trường:
1) Họ và tên
2) Mã nhân viên
3) Giới tính
4) Ngày sinh
5) Số điện thoại
6) Email</t>
  </si>
  <si>
    <t>CALL_MAN_WEB10</t>
  </si>
  <si>
    <t>CALL_MAN_WEB11</t>
  </si>
  <si>
    <t>CALL_MAN_WEB12</t>
  </si>
  <si>
    <t>CALL_MAN_WEB13</t>
  </si>
  <si>
    <t>Tìm kiếm quyền người dùng</t>
  </si>
  <si>
    <t>Chuẩn hóa thông tin quyền người dùng và tìm kiếm các vai trò liên quan</t>
  </si>
  <si>
    <t>CALL_MAN_WEB14</t>
  </si>
  <si>
    <t>Thêm thông tin phòng ban</t>
  </si>
  <si>
    <t>Có các trường:
1) Tên phòng ban
2) Tài khoản admin phòng ban
3) Nhập mật khẩu admin phòng ban
4) Nhập lại mật khẩu
5) Mô tả</t>
  </si>
  <si>
    <t>Quản lý cây đơn vị</t>
  </si>
  <si>
    <t>Validate thông tin phòng ban</t>
  </si>
  <si>
    <t>CALL_MAN_WEB15</t>
  </si>
  <si>
    <t>Xóa thông tin phòng ban</t>
  </si>
  <si>
    <t>Có các trường:
1) Thông báo xóa phòng ban
2) Button Đồng ý và Hủy bỏ</t>
  </si>
  <si>
    <t>Xóa các thông tin liên quan đến phòng ban bị xóa</t>
  </si>
  <si>
    <t>Có các trường:
1) Check phòng ban đã được gán cho nhân viên</t>
  </si>
  <si>
    <t>CALL_MAN_WEB16</t>
  </si>
  <si>
    <t>Sửa thông tin phòng ban</t>
  </si>
  <si>
    <t>Có các trường
1) Tên phòng ban
2) Tài khoản admin phòng ban
3) Nhập mật khẩu admin phòng ban
4) Nhập lại mật khẩu
5) Mô tả</t>
  </si>
  <si>
    <t>CALL_MAN_WEB17</t>
  </si>
  <si>
    <t>Tìm kiếm thông tin phòng ban</t>
  </si>
  <si>
    <t>Có các trường:
1) Thanh tìm kiếm
2) Filter theo thời gian</t>
  </si>
  <si>
    <t>Chuẩn hóa hiển thị thông tin phòng ban</t>
  </si>
  <si>
    <t>CALL_MAN_WEB18</t>
  </si>
  <si>
    <t>Thêm thông tin chức vụ</t>
  </si>
  <si>
    <t>Có các trường:
1) Tên chức vụ
2) Mô tả
3) Tên phòng ban
4) Lời chào</t>
  </si>
  <si>
    <t>Validate thông tin chức vụ</t>
  </si>
  <si>
    <t xml:space="preserve">Có các trường:
1) Tên chức vụ
2) Mô tả
3) Tên phòng ban
4) Lời chào </t>
  </si>
  <si>
    <t>CALL_MAN_WEB19</t>
  </si>
  <si>
    <t>Xóa thông tin chức vụ</t>
  </si>
  <si>
    <t>Có các trường:
1) Thông báo xóa chức vụ
2) Button Đồng ý và Hủy bỏ</t>
  </si>
  <si>
    <t>Xóa các vai trò và cấu hình liên quan đến chức vụ</t>
  </si>
  <si>
    <t>Có các trường:
1) Check chức vụ đã được gán cho nhân viên</t>
  </si>
  <si>
    <t>CALL_MAN_WEB20</t>
  </si>
  <si>
    <t>Sửa thông tin chức vụ</t>
  </si>
  <si>
    <t xml:space="preserve">Có các trường:
1) Tên chức vụ
2) Mô tả
3) Tên phòng ban
4) Lời chào
5) Người dùng
6) Trạng thái hoạt động
7) ID
8) Ghi chú
9) Cấp độ
10) Thông tin
11) Người quản lý
12) Thông tin liên hệ
</t>
  </si>
  <si>
    <t>Cập nhật lời chào liên quan đến chức vụ</t>
  </si>
  <si>
    <t>Cập nhật cây đơn vị liên quan đến chức vụ</t>
  </si>
  <si>
    <t xml:space="preserve">Có các trường:
1) Tên chức vụ
2) Mô tả
3) Tên phòng ban
4) Lời chào
5) Người dùng
6) Trạng thái hoạt động
7) ID
8) Ghi chú
9) Cấp độ
10) Thông tin
11) Người quản lý
12) Thông tin liên hệ
13) Cây đơn vị
</t>
  </si>
  <si>
    <t>CALL_MAN_WEB21</t>
  </si>
  <si>
    <t>Tìm kiếm thông tin chức vụ</t>
  </si>
  <si>
    <t xml:space="preserve">Có các trường:
1) Tên chức vụ
2) Mô tả
3) Tên phòng ban
4) Lời chào
5) Người dùng
6) Trạng thái hoạt động
7) ID
8) Ghi chú
9) Cấp độ
10) Thông tin
11) Người quản lý
12) Thông tin liên hệ
13) Tìm kiếm theo ngày
14) Tìm kiếm theo tên
</t>
  </si>
  <si>
    <t>Sinh lời chào liên quan đến chức vụ</t>
  </si>
  <si>
    <t>Có các trường:
1) Tên chức vụ
2) Mô tả
3) Tên phòng ban
4) Lời chào
5) Người dùng
6) Trạng thái hoạt động
7) ID
8) Ghi chú
9) Cấp độ
10) Thông tin
11) Người quản lý
12) Thông tin liên hệ</t>
  </si>
  <si>
    <t>Tìm kiếm đơn vị liên quan đến chức vụ</t>
  </si>
  <si>
    <t>Có các trường:
1) Tìm kiếm theo tên
2) Tìm kiếm theo thời gian</t>
  </si>
  <si>
    <t>Chuẩn hóa hiển thị thông tin chức vụ</t>
  </si>
  <si>
    <t>CALL_MAN_WEB22</t>
  </si>
  <si>
    <t>Upload video</t>
  </si>
  <si>
    <t xml:space="preserve">Có các trường:
1) Video id
2) Tên video
3) Đường dẫn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</si>
  <si>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Quản lý và kiểm duyệt video</t>
  </si>
  <si>
    <t>Đọc các thông tin metadata của Video</t>
  </si>
  <si>
    <t xml:space="preserve">Có các trường:
1) Video id
2) Tên video
3) Đường dẫn
4) Thông tin metadata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</si>
  <si>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Validate thông tin video</t>
  </si>
  <si>
    <t xml:space="preserve">Có các trường:
1) Video id
2) Tên video
3) Đường dẫn
4) Thông tin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</si>
  <si>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Trích xuất thời gian video</t>
  </si>
  <si>
    <t xml:space="preserve">Có các trường:
1) Video id
2) Tên video
3) Đường dẫn
4) Thời gian kiểm duyệt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</si>
  <si>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Thêm video vào hàng đợi</t>
  </si>
  <si>
    <t xml:space="preserve">Có các trường:
1) Video id
2) Tên video
3) Đường dẫn
4) Hàng đợi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</si>
  <si>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CALL_MAN_WEB23</t>
  </si>
  <si>
    <t>Xóa Video</t>
  </si>
  <si>
    <t xml:space="preserve">Có các trường:
1) Video id
2) Tên video
3) Đường dẫn
4) Xóa thông tin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</si>
  <si>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Xóa metadata của video</t>
  </si>
  <si>
    <t xml:space="preserve">Có các trường:
1) Video id
2) Tên video
3) Đường dẫn
4) Xóa thông tin metadata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</si>
  <si>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Xóa video khỏi hàng đợi</t>
  </si>
  <si>
    <t xml:space="preserve">Có các trường:
1) Video id
2) Tên video
3) Đường dẫn
4) Xóa thông tin video hàng đợi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</si>
  <si>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Xóa kết quả kiểm duyệt video</t>
  </si>
  <si>
    <t xml:space="preserve">Có các trường:
1) Video id
2) Tên video
3) Đường dẫn
4) Xóa kết quả kiểm duyệt video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</si>
  <si>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CALL_MAN_WEB24</t>
  </si>
  <si>
    <t>Sửa thông tin Video</t>
  </si>
  <si>
    <t xml:space="preserve">Có các trường:
1) Video id
2) Tên video
3) Đường dẫn
4) Chỉnh sửa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</si>
  <si>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Sửa các thông tin metadata của Video</t>
  </si>
  <si>
    <t xml:space="preserve">Có các trường:
1) Video id
2) Tên video
3) Đường dẫn
4) Chỉnh sửa metadata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</si>
  <si>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 xml:space="preserve">Có các trường:
1) Video id
2) Tên video
3) Đường dẫn
4) Thông tin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</si>
  <si>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Sửa thời gian video</t>
  </si>
  <si>
    <t xml:space="preserve">Có các trường:
1) Video id
2) Tên video
3) Đường dẫn
4) Thời gian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</si>
  <si>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Cập nhật video trong hàng đợi</t>
  </si>
  <si>
    <t xml:space="preserve">Có các trường:
1) Video id
2) Tên video
3) Đường dẫn
4) Cập nhật hàng đợi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</si>
  <si>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CALL_MAN_WEB25</t>
  </si>
  <si>
    <t>Tìm kiếm Video</t>
  </si>
  <si>
    <t xml:space="preserve">Có các trường:
1) Video id
2) Tên video
3) Đường dẫn
4) Tìm kiếm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</si>
  <si>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Tìm kiếm thông tin metadata của Video</t>
  </si>
  <si>
    <t xml:space="preserve">Có các trường:
1) Video id
2) Tên video
3) Đường dẫn
4) Tìm kiếm theo metadata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</si>
  <si>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Chuẩn hóa thông tin video</t>
  </si>
  <si>
    <t xml:space="preserve">Có các trường:
1) Video id
2) Tên video
3) Đường dẫn
4) Tìm kiếm theo filter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</si>
  <si>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Tìm kiếm thời gian video</t>
  </si>
  <si>
    <t xml:space="preserve">Có các trường:
1) Video id
2) Tên video
3) Đường dẫn
4) Tìm kiếm theo thời gian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</si>
  <si>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Tìm kiếm video trong hàng đợi</t>
  </si>
  <si>
    <t xml:space="preserve">Có các trường:
1) Video id
2) Tên video
3) Đường dẫn
4) Tìm kiếm trong hàng đợi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</si>
  <si>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CALL_MAN_WEB26</t>
  </si>
  <si>
    <t>Xem Video</t>
  </si>
  <si>
    <t>Xem nhanh nhiều Video</t>
  </si>
  <si>
    <t xml:space="preserve">Có các trường:
1) Video id
2) Tên video
3) Đường dẫn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15) Xem nhanh
16) Ghi chú
</t>
  </si>
  <si>
    <t>Xem chi tiết 1 Video</t>
  </si>
  <si>
    <t xml:space="preserve">Có các trường:
1) Video id
2) Tên video
3) Đường dẫn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15) Xem chi tiết
16) Ghi chú
</t>
  </si>
  <si>
    <t>Xử lý buffer video khi play để không tràn bộ nhớ</t>
  </si>
  <si>
    <t>Đọc thông tin metadata của Video</t>
  </si>
  <si>
    <t xml:space="preserve">Có các trường:
1) Video id
2) Tên video
3) Đường dẫn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15) Thông tin metadata
16) Ghi chú
</t>
  </si>
  <si>
    <t xml:space="preserve">Có các trường:
1) Video id
2) Tên video
3) Đường dẫn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15) Thông tin đã được chuẩn hóa
16) Ghi chú
</t>
  </si>
  <si>
    <t>CALL_MAN_WEB27</t>
  </si>
  <si>
    <t>Xem kết quả duyệt Video bằng AI</t>
  </si>
  <si>
    <t xml:space="preserve">Có các trường:
1) Video id
2) Tên video
3) Đường dẫn
4) Lý do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</si>
  <si>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Hiển thi chi tiết các vi phạm</t>
  </si>
  <si>
    <t xml:space="preserve">Có các trường:
1) Video id
2) Tên video
3) Vi phạm
4) Đường dẫn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</si>
  <si>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Hiển thị các frame vi phạm</t>
  </si>
  <si>
    <t xml:space="preserve">Có các trường:
1) Video id
2) Tên video
3) Vi phạm
4) Frame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</si>
  <si>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Chức năng nhảy đến video vi phạm khi click vào thời gian vi phạm</t>
  </si>
  <si>
    <t xml:space="preserve">Có các trường:
1) Video id
2) Tên video
3) Vi phạm
4) Thời gian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15) Lý do từ chối
</t>
  </si>
  <si>
    <t>CALL_MAN_WEB28</t>
  </si>
  <si>
    <t>Review  chi tiết kết quả duyệt Video bằng AI</t>
  </si>
  <si>
    <t xml:space="preserve">Có các trường:
1) Video id
2) Tên video
3) Duyệt/ Từ chối video
4) Lý do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</si>
  <si>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CALL_MAN_WEB29</t>
  </si>
  <si>
    <t>Duyệt/Từ chối Video</t>
  </si>
  <si>
    <t>Hiển thi chi tiết các vi phạm để duyệt/từ chối</t>
  </si>
  <si>
    <t>Hiển thị các frame vi phạm để duyệt/từ chối</t>
  </si>
  <si>
    <t>Đưa ra gợi ý các lý do từ chối/phê duyệt</t>
  </si>
  <si>
    <t>CALL_MAN_WEB30</t>
  </si>
  <si>
    <t>Phát hành Video</t>
  </si>
  <si>
    <t>Có các trường:
1) Video id
2) Tên video
3) Phát hành video
4) Đường dẫn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t>
  </si>
  <si>
    <t xml:space="preserve">Có các trường:
1) Video id
2) Tên video
3) Thông tin video
4) Đường dẫn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</si>
  <si>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CALL_MAN_WEB31</t>
  </si>
  <si>
    <t>Tác giả xem kết quả duyệt Video</t>
  </si>
  <si>
    <t xml:space="preserve">Có các trường:
1) Video id
2) Tên video
3) Vi phạm video
4) Thời gian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</si>
  <si>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 xml:space="preserve">Có các trường:
1) Video id
2) Tên video
3) Vi phạm
4) Thời gian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</si>
  <si>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CALL_MAN_WEB32</t>
  </si>
  <si>
    <t>Tác giả kháng cáo</t>
  </si>
  <si>
    <t xml:space="preserve">Có các trường:
1) Video id
2) Tên video
3) Kháng cáo
4) Lý do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</si>
  <si>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 xml:space="preserve">Có các trường:
1) STT
2) Video id
3) Tên video
4)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</si>
  <si>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CALL_MAN_WEB33</t>
  </si>
  <si>
    <t>Duyệt kháng cáo</t>
  </si>
  <si>
    <t xml:space="preserve">Có các trường:
1) Video id
2) Tên video
3) Duyệt kháng cáo
4) Lý do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</si>
  <si>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CALL_MAN_WEB34</t>
  </si>
  <si>
    <t>Phản hồi kháng cáo</t>
  </si>
  <si>
    <t xml:space="preserve">Có các trường:
1) Video id
2) Tên video
3) Phản hồi/ Kháng cáo
4) Lý do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</si>
  <si>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 xml:space="preserve">Có các trường:
1) Video id
2) Tên video
3) Vi phạm
4) Frame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
</t>
  </si>
  <si>
    <t>Có các trường:
1) Video id
2) Tên video
3) Vi phạm
4) Thời gian vi phạm
5) Vi phạm hình ảnh các lãnh đạo cấp cao 
6) Vi phạm nhạy cảm chính trị 
7) Vi phạm nhạy cảm tôn giáo 
8) Vi phạm lực lượng vũ trang, bộ đội 
9) Vi phạm chém giết bạo lực 
10) Vi phạm trẻ em, xâm hại trẻ em 
11) Vi phạm đồ cấm quảng cáo
12) Vi phạm ngôn từ hình ảnh lãnh đạo cấp cao
13) Vi phạm ngôn từ khiêu dâm
14) Vi phạm ngôn từ nhạy cảm chính trị</t>
  </si>
  <si>
    <t>CALL_MAN_WEB35</t>
  </si>
  <si>
    <t>Gửi thông tin video sang phân hệ AI</t>
  </si>
  <si>
    <t>Có các trường:
1) Tên video
2) Video id
3) Đường dẫn</t>
  </si>
  <si>
    <t>Tích hợp với module AI</t>
  </si>
  <si>
    <t>Kiểm tra và phân loại video để truyền sang phân hệ AI</t>
  </si>
  <si>
    <t>Giao tiếp bắt tay với phân hệ AI</t>
  </si>
  <si>
    <t>CALL_MAN_WEB36</t>
  </si>
  <si>
    <t>Truyền nhận Video cần quét</t>
  </si>
  <si>
    <t>Nén Video để truyền đi</t>
  </si>
  <si>
    <t>Sinh metadata cho các videot</t>
  </si>
  <si>
    <t>CALL_MAN_WEB37</t>
  </si>
  <si>
    <t>Báo cáo duyệt Video bằng AI theo ngày</t>
  </si>
  <si>
    <t>Có các trường:
1) Video id
2) Tên video
3) Thời gian
4) Vi phạm</t>
  </si>
  <si>
    <t>Sinh câu SQL động theo các điều kiện lọc của người dùng chọn</t>
  </si>
  <si>
    <t>Chuẩn hóa dữ liệu báo cáo để hiển thị</t>
  </si>
  <si>
    <t>CALL_MAN_WEB38</t>
  </si>
  <si>
    <t>Báo cáo so kết quả Duyệt/Từ chối video theo ngày</t>
  </si>
  <si>
    <t>Có các trường:
1) Video id
2) Tên video
3) Thời gian
4) Vi phạm
5) Từ chối / Duyệt</t>
  </si>
  <si>
    <t>CALL_MAN_WEB39</t>
  </si>
  <si>
    <t>Có các trường:
1) Đường dẫn ảnh
2) Địa chỉ IP Private
3) Địa chỉ IP Public</t>
  </si>
  <si>
    <t>Validate cấu hình trước khi lưu</t>
  </si>
  <si>
    <t>Kiểm tra và cập nhật các ràng buộc</t>
  </si>
  <si>
    <t>CALL_MAN_WEB40</t>
  </si>
  <si>
    <t>NB</t>
  </si>
  <si>
    <t>Có các trường:
1) Bắt đầu làm việc
2) Kết thúc làm việc
3) Bắt đầu vào
4) Kết thúc vào
5) Bắt đầu ra
6) Kết thúc ra</t>
  </si>
  <si>
    <t>II. Module Backend</t>
  </si>
  <si>
    <t>CALL_MAN_AI1</t>
  </si>
  <si>
    <t>Tiến trình tiếp nhận Video mới</t>
  </si>
  <si>
    <t xml:space="preserve">Tiến trình tiếp nhận Video mới:
1) Nhận metadata đầu vào
2) Đo độ dài video
3) Đọc FPS, độ phân giải
4) Ghi video vào ổ cứng
5) Ghi dữ liệu vào DB
6) Cập nhật trạng thái video
7) Khởi tạo các giá trị trong DB
8) Cập nhật ngày tháng video
9) Thử decode video
10) Xuất ra metadata đầu ra
11) Trả kết quả cho frontend
</t>
  </si>
  <si>
    <t>1) Nhận metadata đầu vào
2) Đo độ dài video
3) Đọc FPS, độ phân giải
4) Ghi video vào ổ cứng
5) Ghi dữ liệu vào DB
6) Cập nhật trạng thái video
7) Khởi tạo các giá trị trong DB
8) Cập nhật ngày tháng video
9) Thử decode video
10) Xuất ra metadata đầu ra
11) Trả kết quả cho frontend</t>
  </si>
  <si>
    <t>Tích hợp với module Web</t>
  </si>
  <si>
    <t>CALL_MAN_AI2</t>
  </si>
  <si>
    <t>Tiến trình duyệt Video</t>
  </si>
  <si>
    <t>Tiến trình duyệt Video:
1) Duyệt thư mục chứa video
2) Load metadata
3) Insert video vao kafka
4) Ghi video vào ổ cứng
5) Ghi dữ liệu vào DB
6) Cập nhật trạng thái video
7) Khởi tạo các giá trị trong DB
8) Cập nhật ngày tháng video
9) Notify cho các module AI bắt đầu quét
10) Nhận kết quả quét video để cập nhật vào DB
11) Trả kết quả cho frontend</t>
  </si>
  <si>
    <t>1) Duyệt thư mục chứa video
2) Load metadata
3) Insert video vao kafka
4) Ghi video vào ổ cứng
5) Ghi dữ liệu vào DB
6) Cập nhật trạng thái video
7) Khởi tạo các giá trị trong DB
8) Cập nhật ngày tháng video
9) Notify cho các module AI bắt đầu quét
10) Nhận kết quả quét video để cập nhật vào DB
11) Trả kết quả cho frontend</t>
  </si>
  <si>
    <t>Đọc metadata của Video:
1) Duyệt thư mục chứa video
2) Load metadata
3) Insert metatda vào kafka
4) Ghi video vào ổ cứng
5) Ghi dữ liệu vào DB
6) Cập nhật trạng thái video
7) Khởi tạo các giá trị trong DB
8) Cập nhật ngày tháng video
9) Truyền metadata cho các module AI bắt đầu quét
10) Nhận metadata để cập nhật vào DB
11) Trả kết quả cho frontend</t>
  </si>
  <si>
    <t>1) Duyệt thư mục chứa video
2) Load metadata
3) Insert metatda vào kafka
4) Ghi video vào ổ cứng
5) Ghi dữ liệu vào DB
6) Cập nhật trạng thái video
7) Khởi tạo các giá trị trong DB
8) Cập nhật ngày tháng video
9) Truyền metadata cho các module AI bắt đầu quét
10) Nhận metadata để cập nhật vào DB
11) Trả kết quả cho frontend</t>
  </si>
  <si>
    <t>CALL_MAN_AI3</t>
  </si>
  <si>
    <t>Tiến trình xử lý Video sau khi duyệt</t>
  </si>
  <si>
    <t>Tiến trình xử lý Video sau khi duyệt:
1) Subscribe vào Kafka
2) Listen kết quả kiểm duyệt
3) Parse kết quả kiểm duyệt
4) Ghi video vào ổ cứng
5) Ghi dữ liệu vào DB
6) Cập nhật trạng thái video
7) Khởi tạo các giá trị trong DB
8) Cập nhật ngày tháng video
9) Notify cho các module AI đã nhận kết quả kiểm duyệt
10) Cập nhật kết quả kiểm duyệt vào DB
11) Trả kết quả cho frontend</t>
  </si>
  <si>
    <t>1) Subscribe vào Kafka
2) Listen kết quả kiểm duyệt
3) Parse kết quả kiểm duyệt
4) Ghi video vào ổ cứng
5) Ghi dữ liệu vào DB
6) Cập nhật trạng thái video
7) Khởi tạo các giá trị trong DB
8) Cập nhật ngày tháng video
9) Notify cho các module AI đã nhận kết quả kiểm duyệt
10) Cập nhật kết quả kiểm duyệt vào DB
11) Trả kết quả cho frontend</t>
  </si>
  <si>
    <t>CALL_MAN_AI4</t>
  </si>
  <si>
    <t>Tiến trình dọn dữ liệu rác</t>
  </si>
  <si>
    <t>Tiến trình dọn dữ liệu rác:
1) Duyệt thư mục chứa video
2) Load metadata
3) Kiểm tra ngày tháng video
4) Xóa các video cũ quá 40 ngày
5) Ghi dữ liệu vào DB
6) Cập nhật trạng thái video
7) Khởi tạo các giá trị trong DB
8) Cập nhật ngày tháng video
9) Notify cho các module AI video đã xóa
10) Cập nhật kết quả xóa video  vào DB
11) Trả kết quả cho frontend</t>
  </si>
  <si>
    <t>1) Duyệt thư mục chứa video
2) Load metadata
3) Kiểm tra ngày tháng video
4) Xóa các video cũ quá 40 ngày
5) Ghi dữ liệu vào DB
6) Cập nhật trạng thái video
7) Khởi tạo các giá trị trong DB
8) Cập nhật ngày tháng video
9) Notify cho các module AI video đã xóa
10) Cập nhật kết quả xóa video  vào DB
11) Trả kết quả cho frontend</t>
  </si>
  <si>
    <t>CALL_MAN_AI5</t>
  </si>
  <si>
    <t xml:space="preserve"> Tối ưu mô hình AI cho Module phát hiện hình ảnh các lãnh đạo cấp cao</t>
  </si>
  <si>
    <t>Tối ưu mô hình AI:
1) Tiếp nhận video đầu vào
2) Đọc metadata
3) Load mô hình AI
4) Inference mô hình AI
5) Format kết quả chạy inference thành message json
6) Insert bản tin json vào kafka</t>
  </si>
  <si>
    <t>1) Tiếp nhận video đầu vào
2) Đọc metadata
3) Load mô hình AI
4) Inference mô hình AI
5) Format kết quả chạy inference thành message json
6) Insert bản tin json vào kafka</t>
  </si>
  <si>
    <t>Module phát hiện hình ảnh các lãnh đạo cấp cao</t>
  </si>
  <si>
    <t>Convert sang TensorRT:
1) Tối ưu hóa mô hình, giảm số layer
2) Convert về weight về định dạng float16
3) Chuẩn hóa đầu vào cho phù hợp với TensorRT
4) Chạy convert
5) Format kết quả chạy inference thành message json
6) Validate lại mô hình sau khi convert</t>
  </si>
  <si>
    <t>1) Tối ưu hóa mô hình, giảm số layer
2) Convert về weight về định dạng float16
3) Chuẩn hóa đầu vào cho phù hợp với TensorRT
4) Chạy convert
5) Format kết quả chạy inference thành message json
6) Validate lại mô hình sau khi convert</t>
  </si>
  <si>
    <t>Chuyển từ xử lý đơn luồng sang đa luồng:
1) Chuyển giao tiếp từ gọi hàm sang dạng queue
2) Chuyển các biến dùng chung sang dạng share memory
3) Refactor lại hàm main =&gt; chuyển sang dùng Thread
4) Đóng gói bản tin kết quả để trả về queue
5) Xử lý xung đột giữa các thread</t>
  </si>
  <si>
    <t>1) Chuyển giao tiếp từ gọi hàm sang dạng queue
2) Chuyển các biến dùng chung sang dạng share memory
3) Refactor lại hàm main =&gt; chuyển sang dùng Thread
4) Đóng gói bản tin kết quả để trả về queue
5) Xử lý xung đột giữa các thread</t>
  </si>
  <si>
    <t>CALL_MAN_AI6</t>
  </si>
  <si>
    <t>Đóng gói mô hình AI cho Module phát hiện hình ảnh các lãnh đạo cấp cao</t>
  </si>
  <si>
    <t>Đóng gói mô hình AI:
1) Tiếp nhận video đầu vào
2) Đọc metadata
3) Load mô hình AI
4) Inference mô hình AI
5) Format kết quả chạy inference thành message json
6) Insert bản tin json vào kafka</t>
  </si>
  <si>
    <t>CALL_MAN_AI7</t>
  </si>
  <si>
    <t>API hóa mô hình AI cho Module phát hiện hình ảnh các lãnh đạo cấp cao</t>
  </si>
  <si>
    <t>API hóa mô hình AI:
1) Tiếp nhận video đầu vào
2) Đọc metadata
3) Load mô hình AI
4) Inference mô hình AI
5) Format kết quả chạy inference thành message json
6) Insert bản tin json vào kafka</t>
  </si>
  <si>
    <t>CALL_MAN_AI8</t>
  </si>
  <si>
    <t xml:space="preserve"> Tối ưu mô hình AI cho Module phát hiện các vấn đề nhạy cảm chính trị</t>
  </si>
  <si>
    <t>Module phát hiện các vấn đề nhạy cảm chính trị</t>
  </si>
  <si>
    <t>CALL_MAN_AI9</t>
  </si>
  <si>
    <t>Đóng gói mô hình AI cho Module phát hiện các vấn đề nhạy cảm chính trị</t>
  </si>
  <si>
    <t>CALL_MAN_AI10</t>
  </si>
  <si>
    <t>API hóa mô hình AI cho Module phát hiện các vấn đề nhạy cảm chính trị</t>
  </si>
  <si>
    <t>API hóa mô hình AI:
1) Tiếp nhận video đầu vào
2) Đọc metadata
3) Xác định định dạng của video
4) Chọn kiểu decode video phù hợp
5) Decode video thanh frames
6) Đóng gói frames thành các batch
7) Load mô hình AI
8) Inference mô hình AI
9) Format kết quả chạy inference thành message json
10) Insert bản tin json vào kafka
11) Trả kết quả cho frontend</t>
  </si>
  <si>
    <t>1) Tiếp nhận video đầu vào
2) Đọc metadata
3) Xác định định dạng của video
4) Chọn kiểu decode video phù hợp
5) Decode video thanh frames
6) Đóng gói frames thành các batch
7) Load mô hình AI
8) Inference mô hình AI
9) Format kết quả chạy inference thành message json
10) Insert bản tin json vào kafka
11) Trả kết quả cho frontend</t>
  </si>
  <si>
    <t>Convert sang TensorRT:
1) Khảo sát mô hình gốc
2) Chọn thư viện convert phù hợp
3) Tối ưu hóa mô hình, giảm số layer
4) Convert về weight về định dạng float16
5) Chuẩn hóa đầu vào cho phù hợp với TensorRT
6) Chạy convert
7) Bắt và sửa các ngoại lệ
8) Chuẩn hóa kết quả đầu ra
9) Format kết quả chạy inference thành message json
10) Validate lại mô hình sau khi convert
11) Trả kết quả cho frontend</t>
  </si>
  <si>
    <t>1) Khảo sát mô hình gốc
2) Chọn thư viện convert phù hợp
3) Tối ưu hóa mô hình, giảm số layer
4) Convert về weight về định dạng float16
5) Chuẩn hóa đầu vào cho phù hợp với TensorRT
6) Chạy convert
7) Bắt và sửa các ngoại lệ
8) Chuẩn hóa kết quả đầu ra
9) Format kết quả chạy inference thành message json
10) Validate lại mô hình sau khi convert
11) Trả kết quả cho frontend</t>
  </si>
  <si>
    <t>CALL_MAN_AI11</t>
  </si>
  <si>
    <t xml:space="preserve"> Tối ưu mô hình AI cho Module phát hiện các vấn đề nhạy cảm tôn giáo</t>
  </si>
  <si>
    <t>Tối ưu mô hình AI:
1) Tiếp nhận video đầu vào
2) Đọc metadata
3) Xác định định dạng của video
4) Chọn kiểu decode video phù hợp
5) Decode video thanh frames
6) Đóng gói frames thành các batch
7) Load mô hình AI
8) Inference mô hình AI
9) Format kết quả chạy inference thành message json
10) Insert bản tin json vào kafka
11) Trả kết quả cho frontend</t>
  </si>
  <si>
    <t>Module phát hiện các vấn đề nhạy cảm tôn giáo</t>
  </si>
  <si>
    <t>CALL_MAN_AI12</t>
  </si>
  <si>
    <t xml:space="preserve"> Đóng gói mô hình AI cho Module phát hiện các vấn đề nhạy cảm tôn giáo</t>
  </si>
  <si>
    <t>Đóng gói mô hình AI:
1) Tiếp nhận video đầu vào
2) Đọc metadata
3) Xác định định dạng của video
4) Chọn kiểu decode video phù hợp
5) Decode video thanh frames
6) Đóng gói frames thành các batch
7) Load mô hình AI
8) Inference mô hình AI
9) Format kết quả chạy inference thành message json
10) Insert bản tin json vào kafka
11) Trả kết quả cho frontend</t>
  </si>
  <si>
    <t>CALL_MAN_AI13</t>
  </si>
  <si>
    <t xml:space="preserve"> API hóa mô hình AI cho Module phát hiện các vấn đề nhạy cảm tôn giáo</t>
  </si>
  <si>
    <t>1) Khảo sát mô hình gốc
2) Chọn thư viện convert phù hợp
3) Tối ưu hóa mô hình, giảm số layer
4) Convert về weight về định dạng float16
5) Chuẩn hóa đầu vào cho phù hợp với TensorRT
6) Chạy convert
7) Bắt và sửa các ngoại lệ
8) Chuẩn hóa kết quả đầu ra
9) Format kết quả chạy inference thành message json
10) Validate lại mô hình sau khi convert</t>
  </si>
  <si>
    <t>CALL_MAN_AI14</t>
  </si>
  <si>
    <t>Tối ưu mô hình AI  cho Module phát hiện quân phục Việt Nam Cộng hòa</t>
  </si>
  <si>
    <t>Module phát hiện quân phục Việt Nam Cộng hòa</t>
  </si>
  <si>
    <t>Convert sang TensorRT:
1) Khảo sát mô hình gốc
2) Chọn thư viện convert phù hợp
3) Tối ưu hóa mô hình, giảm số layer
4) Convert về weight về định dạng float16
5) Chuẩn hóa đầu vào cho phù hợp với TensorRT
6) Chạy convert
7) Bắt và sửa các ngoại lệ
8) Chuẩn hóa kết quả đầu ra
9) Format kết quả chạy inference thành message json
10) Validate lại mô hình sau khi convert</t>
  </si>
  <si>
    <t>CALL_MAN_AI15</t>
  </si>
  <si>
    <t xml:space="preserve"> Đóng gói mô hình AI cho Module phát hiện quân phục Việt Nam Cộng hòa</t>
  </si>
  <si>
    <t>CALL_MAN_AI16</t>
  </si>
  <si>
    <t xml:space="preserve"> API hóa mô hình AI cho Module phát hiện quân phục Việt Nam Cộng hòa</t>
  </si>
  <si>
    <t>API hóa mô hình AI:
1) Tiếp nhận video đầu vào
2) Đọc metadata
3) Xác định định dạng của video
4) Chọn kiểu decode video phù hợp
5) Decode video thanh frames
6) Đóng gói frames thành các batch
7) Load mô hình AI
8) Inference mô hình AI
9) Format kết quả chạy inference thành message json
10) Insert bản tin json vào kafka</t>
  </si>
  <si>
    <t>CALL_MAN_AI17</t>
  </si>
  <si>
    <t xml:space="preserve"> Tối ưu mô hình AI cho Module phát hiện chém giết bạo lực</t>
  </si>
  <si>
    <t>Module phát hiện chém giết bạo lực</t>
  </si>
  <si>
    <t>Convert sang TensorRT:
1) Tiếp nhận video đầu vào
2) Đọc metadata
3) Load mô hình AI
4) Inference mô hình AI
5) Format kết quả chạy inference thành message json
6) Insert bản tin json vào kafka</t>
  </si>
  <si>
    <t>Chuyển từ Float32 sang Int8:
1) Tối ưu hóa mô hình, giảm số layer
2) Convert về weight về định dạng int8
3) Chuẩn hóa đầu vào cho phù hợp với int8
4) Chạy convert
5) Format kết quả chạy inference thành message json
6) Validate lại mô hình sau khi convert</t>
  </si>
  <si>
    <t>1) Tối ưu hóa mô hình, giảm số layer
2) Convert về weight về định dạng int8
3) Chuẩn hóa đầu vào cho phù hợp với int8
4) Chạy convert
5) Format kết quả chạy inference thành message json
6) Validate lại mô hình sau khi convert</t>
  </si>
  <si>
    <t>CALL_MAN_AI18</t>
  </si>
  <si>
    <t>Đóng gói mô hình AI cho Module phát hiện chém giết bạo lực</t>
  </si>
  <si>
    <t>CALL_MAN_AI19</t>
  </si>
  <si>
    <t>API hóa mô hình AI cho Module phát hiện chém giết bạo lực</t>
  </si>
  <si>
    <t>CALL_MAN_AI20</t>
  </si>
  <si>
    <t>Tối ưu mô hình AI cho Module phát hiện xâm hại trẻ em</t>
  </si>
  <si>
    <t>Module phát hiện xâm hại trẻ em</t>
  </si>
  <si>
    <t>CALL_MAN_AI21</t>
  </si>
  <si>
    <t>Đóng gói mô hình AI cho Module phát hiện xâm hại trẻ em</t>
  </si>
  <si>
    <t>CALL_MAN_AI22</t>
  </si>
  <si>
    <t>API hóa mô hình AI cho Module phát hiện xâm hại trẻ em</t>
  </si>
  <si>
    <t>Tối ưu mô hình AI cho Module phát hiện đồ cấm quảng cáo</t>
  </si>
  <si>
    <t>Module phát hiện đồ cấm quảng cáo</t>
  </si>
  <si>
    <t>Đóng gói mô hình AI cho Module phát hiện đồ cấm quảng cáo</t>
  </si>
  <si>
    <t>API hóa mô hình AI cho Module phát hiện đồ cấm quảng cáo</t>
  </si>
  <si>
    <t>CALL_MAN_AI26</t>
  </si>
  <si>
    <t xml:space="preserve"> Module phát hiện nội dung khiêu dâm, sex</t>
  </si>
  <si>
    <t>CALL_MAN_AI27</t>
  </si>
  <si>
    <t>CALL_MAN_AI28</t>
  </si>
  <si>
    <t>API hóa mô hình AI:
1) Tối ưu hóa mô hình, giảm số layer
2) Convert về weight về định dạng float16
3) Chuẩn hóa đầu vào cho phù hợp với TensorRT
4) Chạy convert
5) Format kết quả chạy inference thành message json
6) Validate lại mô hình sau khi convert</t>
  </si>
  <si>
    <t>CALL_MAN_AI29</t>
  </si>
  <si>
    <t>API upload Metadata Video của người dùng</t>
  </si>
  <si>
    <t xml:space="preserve">API tiếp nhận video từ hệ thống MyClip:
1) Nhận metadata đầu vào
2) Đo độ dài video
3) Đọc FPS, độ phân giải
4) Ghi video vào ổ cứng
5) Ghi dữ liệu vào DB
6) Cập nhật trạng thái video
7) Khởi tạo các giá trị trong DB
8) Xuất ra metadata đầu ra
</t>
  </si>
  <si>
    <t xml:space="preserve">1) Nhận metadata đầu vào
2) Đo độ dài video
3) Đọc FPS, độ phân giải
4) Ghi video vào ổ cứng
5) Ghi dữ liệu vào DB
6) Cập nhật trạng thái video
7) Khởi tạo các giá trị trong DB
8) Xuất ra metadata đầu ra
</t>
  </si>
  <si>
    <t>CALL_MAN_AI30</t>
  </si>
  <si>
    <t>API upload Video của người dùng qua FTP</t>
  </si>
  <si>
    <t>CALL_MAN_AI31</t>
  </si>
  <si>
    <t>Chức năng kiểm tra chất lượng và đọc các thông tin video</t>
  </si>
  <si>
    <t>Chức năng kiểm tra chất lượng và đọc các thông tin video:
1) Duyệt thư mục chứa video
2) Load metadata
3) Decode vidoe thành các frames
4) Kiểm tra độ phân giải
5) Kiểm tra độ sáng/tối
6) Kiểm tra độ nét
7) Cập nhật chất lượng video vào DB</t>
  </si>
  <si>
    <t>1) Duyệt thư mục chứa video
2) Load metadata
3) Decode vidoe thành các frames
4) Kiểm tra độ phân giải
5) Kiểm tra độ sáng/tối
6) Kiểm tra độ nét
7) Cập nhật chất lượng video vào DB</t>
  </si>
  <si>
    <t>CALL_MAN_AI32</t>
  </si>
  <si>
    <t>Chức năng quét và sắp xếp thứ tự video vào hàng đợi</t>
  </si>
  <si>
    <t>Chức năng quét và sắp xếp thứ tự video vào hàng đợi:
1) Duyệt thư mục chứa video
2) Load metadata
3) Insert video vao kafka
4) Cập nhật trạng thái video trong DB
5) Notify cho các module AI bắt đầu quét
6) Nhận kết quả quét video để cập nhật vào DB</t>
  </si>
  <si>
    <t>1) Duyệt thư mục chứa video
2) Load metadata
3) Insert video vao kafka
4) Cập nhật trạng thái video trong DB
5) Notify cho các module AI bắt đầu quét
6) Nhận kết quả quét video để cập nhật vào DB</t>
  </si>
  <si>
    <t>CALL_MAN_AI33</t>
  </si>
  <si>
    <t>Chức năng giải mã Video thành các frame ảnh</t>
  </si>
  <si>
    <t>Chức năng giải mã Video thành các frame ảnh:
1) Tiếp nhận video đầu vào
2) Xác định định dạng của video
3) Chọn kiểu decode video phù hợp
4) Decode video thanh frames
5) Xuất ra các frame vi phạm
6) Cập nhật frame vi phạm vào DB</t>
  </si>
  <si>
    <t>1) Tiếp nhận video đầu vào
2) Xác định định dạng của video
3) Chọn kiểu decode video phù hợp
4) Decode video thanh frames
5) Xuất ra các frame vi phạm
6) Cập nhật frame vi phạm vào DB</t>
  </si>
  <si>
    <t>CALL_MAN_AI34</t>
  </si>
  <si>
    <t>Chức năng load các frame ảnh vào GPU để sẵn sàng chạy inference</t>
  </si>
  <si>
    <t>Chức năng load các frame ảnh vào GPU để sẵn sàng chạy inference:
1) Duyệt thư mục chứa video
2) Load metadata
3) Load mô hình AI lên RAM
4) Chuyển mô hình AI sang VRAM
5) Khởi tạo và sẵn sàng chạy inference</t>
  </si>
  <si>
    <t>1) Duyệt thư mục chứa video
2) Load metadata
3) Load mô hình AI lên RAM
4) Chuyển mô hình AI sang VRAM
5) Khởi tạo và sẵn sàng chạy inference</t>
  </si>
  <si>
    <t>CALL_MAN_AI35</t>
  </si>
  <si>
    <t>Chức năng cấu hình triển khai các mô hình AI</t>
  </si>
  <si>
    <t>Chức năng cấu hình triển khai các mô hình AI:
1) Load các giá trị cấu hình từ giao diện
2) Ghi giá trị cấu hình vào DB</t>
  </si>
  <si>
    <t>1) Load các giá trị cấu hình từ giao diện
2) Ghi giá trị cấu hình vào DB</t>
  </si>
  <si>
    <t>CALL_MAN_AI36</t>
  </si>
  <si>
    <t>Chức năng ghi kết quả kiểm duyệt vào DB</t>
  </si>
  <si>
    <t>Chức năng ghi kết quả kiểm duyệt vào DB:
1) Nhận các kết quả kiểm duyệt từ các mô hình AI
2) Chuẩn hóa bản tin kết quả
2) Ghi kết quả kiểm duyệt vào DB</t>
  </si>
  <si>
    <t>1) Nhận các kết quả kiểm duyệt từ các mô hình AI
2) Chuẩn hóa bản tin kết quả
2) Ghi kết quả kiểm duyệt vào DB</t>
  </si>
  <si>
    <t>CALL_MAN_AI37</t>
  </si>
  <si>
    <t>API trả kết quả kiểm duyệt theo Video ID</t>
  </si>
  <si>
    <t>API trả kết quả kiểm duyệt theo Video ID:
1) Query các kết quả kiểm duyệt từ DB
2) Chuẩn hóa bản tin kết quả và trả về cho Web</t>
  </si>
  <si>
    <t>1) Query các kết quả kiểm duyệt từ DB
2) Chuẩn hóa bản tin kết quả và trả về cho Web</t>
  </si>
  <si>
    <t>CALL_MAN_AI38</t>
  </si>
  <si>
    <t>API trả kết quả kiểm duyệt theo danh sách video</t>
  </si>
  <si>
    <t>API trả kết quả kiểm duyệt theo danh sách video:
1) Query các kết quả kiểm duyệt từ DB
2) Chuẩn hóa bản tin kết quả và trả về cho Web</t>
  </si>
  <si>
    <t>CALL_MAN_AI39</t>
  </si>
  <si>
    <t>API trả trang thái kiểm duyệt của video</t>
  </si>
  <si>
    <t>API trả trang thái kiểm duyệt của video:
1) Query các trạng thái kiểm duyệt từ DB
2) Chuẩn hóa trạng thái và trả về cho Web</t>
  </si>
  <si>
    <t>1) Query các trạng thái kiểm duyệt từ DB
2) Chuẩn hóa trạng thái và trả về cho Web</t>
  </si>
  <si>
    <t>CALL_MAN_AI40</t>
  </si>
  <si>
    <t>Đọc luồng rtsp</t>
  </si>
  <si>
    <t>Backend Đọc luồng rtsp:
1) Kết nối đến luồng rtsp
2) Đọc FPS và độ phân giải
3) Đọc các block video data</t>
  </si>
  <si>
    <t>1) Kết nối đến luồng rtsp
2) Đọc FPS và độ phân giải
3) Đọc các block video data</t>
  </si>
  <si>
    <t>CALL_MAN_AI41</t>
  </si>
  <si>
    <t>Decode h264</t>
  </si>
  <si>
    <t>Backend Decode h264:
1) Nhận các cục video data
2) Decode dùng thuật toán h264</t>
  </si>
  <si>
    <t>1) Nhận các cục video data
2) Decode dùng thuật toán h264</t>
  </si>
  <si>
    <t>CALL_MAN_AI42</t>
  </si>
  <si>
    <t>Decode h265</t>
  </si>
  <si>
    <t>Backend Decode h265:
1) Nhận các cục video data
2) Decode dùng thuật toán h265</t>
  </si>
  <si>
    <t>1) Nhận các cục video data
2) Decode dùng thuật toán h265</t>
  </si>
  <si>
    <t>CALL_MAN_AI43</t>
  </si>
  <si>
    <t>Giám sát tổng quát trạng thái các camera</t>
  </si>
  <si>
    <t>Backend Giám sát tổng quát trạng thái các camera:
1) Query các kết quả từ DB
2) Chuẩn hóa bản tin kết quả và trả về cho Web</t>
  </si>
  <si>
    <t>1) Query các kết quả từ DB
2) Chuẩn hóa bản tin kết quả và trả về cho Web</t>
  </si>
  <si>
    <t>CALL_MAN_AI44</t>
  </si>
  <si>
    <t>Giám sát chi tiết 1 camera</t>
  </si>
  <si>
    <t>Backend Giám sát chi tiết 1 camera:
1) Query các kết quả từ DB
2) Chuẩn hóa bản tin kết quả và trả về cho Web</t>
  </si>
  <si>
    <t>CALL_MAN_AI45</t>
  </si>
  <si>
    <t>Xem biểu đồ sự kiện của từng camera</t>
  </si>
  <si>
    <t>Backend Xem biểu đồ sự kiện của từng camera:
1) Query các kết quả từ DB
2) Chuẩn hóa bản tin kết quả và trả về cho Web</t>
  </si>
  <si>
    <t>CALL_MAN_AI46</t>
  </si>
  <si>
    <t>Xem chi tiết tình trạng camera</t>
  </si>
  <si>
    <t>Backend Xem chi tiết tình trạng camera:
1) Query các kết quả từ DB
2) Chuẩn hóa bản tin kết quả và trả về cho Web</t>
  </si>
  <si>
    <t>CALL_MAN_AI47</t>
  </si>
  <si>
    <t>Xem lịch sử lỗi và sửa lỗi camera</t>
  </si>
  <si>
    <t>Backend Xem lịch sử lỗi và sửa lỗi camera:
1) Query các kết quả từ DB
2) Chuẩn hóa bản tin kết quả và trả về cho Web</t>
  </si>
  <si>
    <t>CALL_MAN_AI48</t>
  </si>
  <si>
    <t>Giám sát và phát hiện camera bị mất kết nối</t>
  </si>
  <si>
    <t>Backend Giám sát và phát hiện camera bị mất kết nối:
1) Query các kết quả từ DB
2) Chuẩn hóa bản tin kết quả và trả về cho Web</t>
  </si>
  <si>
    <t>CALL_MAN_AI49</t>
  </si>
  <si>
    <t>Giám sát và phát hiện module AI không hoạt động</t>
  </si>
  <si>
    <t>Backend Giám sát và phát hiện module AI không hoạt động:
1) Query các kết quả từ DB
2) Chuẩn hóa bản tin kết quả và trả về cho Web</t>
  </si>
  <si>
    <t>CALL_MAN_AI50</t>
  </si>
  <si>
    <t>Giám sát và phát hiện module AI không truyền được dữ liệu sang hệ thống khác</t>
  </si>
  <si>
    <t>Backend Giám sát và phát hiện module AI không truyền được dữ liệu sang hệ thống khác:
1) Query các kết quả từ DB
2) Chuẩn hóa bản tin kết quả và trả về cho Web</t>
  </si>
  <si>
    <t>CALL_MAN_AI51</t>
  </si>
  <si>
    <t>Giám sát và phát hiện các camera không có sự kiện sau một khoảng thời gian</t>
  </si>
  <si>
    <t>Backend Giám sát và phát hiện các camera không có sự kiện sau một khoảng thời gian:
1) Query các kết quả từ DB
2) Chuẩn hóa bản tin kết quả và trả về cho Web</t>
  </si>
  <si>
    <t>CALL_MAN_AI52</t>
  </si>
  <si>
    <t>Cập nhật trạng thái sửa lỗi camera</t>
  </si>
  <si>
    <t>Backend Cập nhật trạng thái sửa lỗi camera:
1) Query các kết quả từ DB
2) Chuẩn hóa bản tin kết quả và trả về cho Web</t>
  </si>
  <si>
    <t>CALL_MAN_AI53</t>
  </si>
  <si>
    <t>Cấu hình nhóm cảnh báo  mức độ cảnh báo.</t>
  </si>
  <si>
    <t>Backend Cấu hình nhóm cảnh báo  mức độ cảnh báo.:
1) Query các kết quả từ DB
2) Chuẩn hóa bản tin kết quả và trả về cho Web</t>
  </si>
  <si>
    <t>CALL_MAN_AI54</t>
  </si>
  <si>
    <t>Cấu hình nhóm người nhận cảnh báo.</t>
  </si>
  <si>
    <t>Backend Cấu hình nhóm người nhận cảnh báo.:
1) Query các kết quả từ DB
2) Chuẩn hóa bản tin kết quả và trả về cho Web</t>
  </si>
  <si>
    <t>CALL_MAN_AI55</t>
  </si>
  <si>
    <t xml:space="preserve">Cấu hình cảnh báo cho từng nhóm người theo loại cảnh báo và mức độ. </t>
  </si>
  <si>
    <t>Backend Cấu hình cảnh báo cho từng nhóm người theo loại cảnh báo và mức độ. :
1) Query các kết quả từ DB
2) Chuẩn hóa bản tin kết quả và trả về cho Web</t>
  </si>
  <si>
    <t>CALL_MAN_AI56</t>
  </si>
  <si>
    <t>Cảnh báo qua Mobile App</t>
  </si>
  <si>
    <t>Backend Cảnh báo qua Mobile App:
1) Query các cảnh báo từ DB
2) Định dạng bản tin cảnh báo
3) Gửi cảnh báo cho App</t>
  </si>
  <si>
    <t>1) Query các cảnh báo từ DB
2) Định dạng bản tin cảnh báo
3) Gửi cảnh báo cho App</t>
  </si>
  <si>
    <t>CALL_MAN_AI57</t>
  </si>
  <si>
    <t>Cảnh báo qua Email</t>
  </si>
  <si>
    <t>Backend Cảnh báo qua Email:
1) Query các cảnh báo từ DB
2) Định dạng bản tin cảnh báo
3) Gửi cảnh báo qua email</t>
  </si>
  <si>
    <t>1) Query các cảnh báo từ DB
2) Định dạng bản tin cảnh báo
3) Gửi cảnh báo qua email</t>
  </si>
  <si>
    <t>CALL_MAN_AI58</t>
  </si>
  <si>
    <t>Cảnh báo qua SMS</t>
  </si>
  <si>
    <t>Backend Cảnh báo qua SMS:
1) Query các cảnh báo từ DB
2) Định dạng bản tin cảnh báo
3) Gửi cảnh báo qua SMS</t>
  </si>
  <si>
    <t>1) Query các cảnh báo từ DB
2) Định dạng bản tin cảnh báo
3) Gửi cảnh báo qua SMS</t>
  </si>
  <si>
    <t>CALL_MAN_AI59</t>
  </si>
  <si>
    <t>Cảnh báo trên màn hình Web</t>
  </si>
  <si>
    <t>Backend Cảnh báo trên màn hình Web:
1) Query các cảnh báo từ DB
2) Định dạng bản tin cảnh báo
3) Gửi cảnh báo cho Web</t>
  </si>
  <si>
    <t>1) Query các cảnh báo từ DB
2) Định dạng bản tin cảnh báo
3) Gửi cảnh báo cho Web</t>
  </si>
  <si>
    <t>CALL_MAN_AI60</t>
  </si>
  <si>
    <t>Tiến trình đẩy sự kiện sang FTP server</t>
  </si>
  <si>
    <t>Tiến trình đẩy sự kiện sang FTP server:
1) Kết nối với FTP server
2) Quét thư mục chứa kết quả
3) Với mỗi file kết quả, gửi qua FTP</t>
  </si>
  <si>
    <t>1) Kết nối với FTP server
2) Quét thư mục chứa kết quả
3) Với mỗi file kết quả, gửi qua FTP</t>
  </si>
  <si>
    <t>CALL_MAN_AI61</t>
  </si>
  <si>
    <t>Tiến trình đẩy sự kiện sang Kafka</t>
  </si>
  <si>
    <t>Tiến trình đẩy sự kiện sang Kafka:
1) Kết nối với Kafka
2) Quét thư mục chứa kết quả
3) Với mỗi file kết quả, gửi qua Kafka</t>
  </si>
  <si>
    <t>1) Kết nối với Kafka
2) Quét thư mục chứa kết quả
3) Với mỗi file kết quả, gửi qua Kafka</t>
  </si>
  <si>
    <t>CALL_MAN_AI62</t>
  </si>
  <si>
    <t>Tiến trình lấy mảng tọa độ phương tiện để đẩy vào Kafka</t>
  </si>
  <si>
    <t>Tiến trình lấy mảng tọa độ phương tiện để đẩy vào Kafka:
1) Kết nối với Kafka
2) Query tọa độ trong DB
3) Với mỗi file kết quả, gửi qua Kafka</t>
  </si>
  <si>
    <t>1) Kết nối với Kafka
2) Query tọa độ trong DB
3) Với mỗi file kết quả, gửi qua Kafka</t>
  </si>
  <si>
    <t>CALL_MAN_AI63</t>
  </si>
  <si>
    <t>Tiến trình đẩy dữ liệu đánh nhau vào Minio Object Store</t>
  </si>
  <si>
    <t>Tiến trình đẩy dữ liệu đánh nhau vào Minio Object Store:
1) Kết nối với Kafka
2) Quét thư mục chứa kết quả
3) Với mỗi file kết quả, gửi sang MiniIO</t>
  </si>
  <si>
    <t>1) Kết nối với Kafka
2) Quét thư mục chứa kết quả
3) Với mỗi file kết quả, gửi sang MiniIO</t>
  </si>
  <si>
    <t>CALL_MAN_AI64</t>
  </si>
  <si>
    <t>Tiến trình đẩy dữ liệu biểu tình vào Minio Object Store</t>
  </si>
  <si>
    <t>Tiến trình đẩy dữ liệu biểu tình vào Minio Object Store:
1) Kết nối với Kafka
2) Quét thư mục chứa kết quả
3) Với mỗi file kết quả, gửi sang MiniIO</t>
  </si>
  <si>
    <t>CALL_MAN_AI65</t>
  </si>
  <si>
    <t>Tiến trình đẩy dữ liệu mất cắp vào Minio Object Store</t>
  </si>
  <si>
    <t>Tiến trình đẩy dữ liệu mất cắp vào Minio Object Store:
1) Kết nối với Kafka
2) Quét thư mục chứa kết quả
3) Với mỗi file kết quả, gửi sang MiniIO</t>
  </si>
  <si>
    <t>CALL_MAN_AI66</t>
  </si>
  <si>
    <t>Tiến trình đẩy dữ liệu đổ rác vào Minio Object Store</t>
  </si>
  <si>
    <t>Tiến trình đẩy dữ liệu đổ rác vào Minio Object Store:
1) Kết nối với Kafka
2) Quét thư mục chứa kết quả
3) Với mỗi file kết quả, gửi sang MiniIO</t>
  </si>
  <si>
    <t>CALL_MAN_AI67</t>
  </si>
  <si>
    <t>Tiến trình đẩy dữ liệu bỏ rơi vào Minio Object Store</t>
  </si>
  <si>
    <t>Tiến trình đẩy dữ liệu bỏ rơi vào Minio Object Store:
1) Kết nối với Kafka
2) Quét thư mục chứa kết quả
3) Với mỗi file kết quả, gửi sang MiniIO</t>
  </si>
  <si>
    <t>CALL_MAN_AI68</t>
  </si>
  <si>
    <t>Tiến trình đẩy dữ liệu xâm nhập vào Minio Object Store</t>
  </si>
  <si>
    <t>Tiến trình đẩy dữ liệu xâm nhập vào Minio Object Store:
1) Kết nối với Kafka
2) Quét thư mục chứa kết quả
3) Với mỗi file kết quả, gửi sang MiniIO</t>
  </si>
  <si>
    <t>CALL_MAN_AI69</t>
  </si>
  <si>
    <t>Tiến trình đẩy dữ liệu phát hiện cháy nổ vào Minio Object Store</t>
  </si>
  <si>
    <t>Tiến trình đẩy dữ liệu phát hiện cháy nổ vào Minio Object Store:
1) Kết nối với Kafka
2) Quét thư mục chứa kết quả
3) Với mỗi file kết quả, gửi sang MiniIO</t>
  </si>
  <si>
    <t>CALL_MAN_AI70</t>
  </si>
  <si>
    <t>Tiến trình đẩy dữ liệu phát hiện chuyển động vào Minio Object Store</t>
  </si>
  <si>
    <t>Tiến trình đẩy dữ liệu phát hiện chuyển động vào Minio Object Store:
1) Kết nối với Kafka
2) Quét thư mục chứa kết quả
3) Với mỗi file kết quả, gửi sang MiniIO</t>
  </si>
  <si>
    <t>CALL_MAN_AI71</t>
  </si>
  <si>
    <t>Tiến trình đẩy dữ liệu phát hiện đám đông vào Minio Object Store</t>
  </si>
  <si>
    <t>Tiến trình đẩy dữ liệu phát hiện đám đông vào Minio Object Store:
1) Kết nối với Kafka
2) Quét thư mục chứa kết quả
3) Với mỗi file kết quả, gửi sang MiniIO</t>
  </si>
  <si>
    <t>CALL_MAN_AI72</t>
  </si>
  <si>
    <t>Tiến trình đẩy dữ liệu Hình ảnh các lãnh đạo cấp cao</t>
  </si>
  <si>
    <t>Tiến trình đẩy dữ liệu Hình ảnh các lãnh đạo cấp cao vào Minio Object Store:
1) Kết nối với Kafka
2) Quét thư mục chứa kết quả
3) Với mỗi file kết quả, gửi sang MiniIO</t>
  </si>
  <si>
    <t>CALL_MAN_AI73</t>
  </si>
  <si>
    <t>Tiến trình đẩy dữ liệu Nhạy cảm chính trị</t>
  </si>
  <si>
    <t>Tiến trình đẩy dữ liệu Nhạy cảm chính trị vào Minio Object Store:
1) Kết nối với Kafka
2) Quét thư mục chứa kết quả
3) Với mỗi file kết quả, gửi sang MiniIO</t>
  </si>
  <si>
    <t>CALL_MAN_AI74</t>
  </si>
  <si>
    <t>Tiến trình đẩy dữ liệu Nội dung nhạy cảm</t>
  </si>
  <si>
    <t>Tiến trình đẩy dữ liệu Nội dung nhạy cảm vào Minio Object Store:
1) Kết nối với Kafka
2) Quét thư mục chứa kết quả
3) Với mỗi file kết quả, gửi sang MiniIO</t>
  </si>
  <si>
    <t>CALL_MAN_AI75</t>
  </si>
  <si>
    <t>Tiến trình đẩy dữ liệu Nhạy cảm tôn giáo</t>
  </si>
  <si>
    <t>Tiến trình đẩy dữ liệu Nhạy cảm tôn giáo vào Minio Object Store:
1) Kết nối với Kafka
2) Quét thư mục chứa kết quả
3) Với mỗi file kết quả, gửi sang MiniIO</t>
  </si>
  <si>
    <t>CALL_MAN_AI76</t>
  </si>
  <si>
    <t>Tiến trình đẩy dữ liệu Quân đội chế độ Việt Nam Cộng hòa</t>
  </si>
  <si>
    <t>Tiến trình đẩy dữ liệu Quân đội chế độ Việt Nam Cộng hòa vào Minio Object Store:
1) Kết nối với Kafka
2) Quét thư mục chứa kết quả
3) Với mỗi file kết quả, gửi sang MiniIO</t>
  </si>
  <si>
    <t>CALL_MAN_AI77</t>
  </si>
  <si>
    <t>Tiến trình đẩy dữ liệu Chém giết bạo lực</t>
  </si>
  <si>
    <t>Tiến trình đẩy dữ liệu Chém giết bạo lực vào Minio Object Store:
1) Kết nối với Kafka
2) Quét thư mục chứa kết quả
3) Với mỗi file kết quả, gửi sang MiniIO</t>
  </si>
  <si>
    <t>CALL_MAN_AI78</t>
  </si>
  <si>
    <t>Tiến trình đẩy dữ liệu Trẻ em, xâm hại trẻ em</t>
  </si>
  <si>
    <t>Tiến trình đẩy dữ liệu Trẻ em, xâm hại trẻ em vào Minio Object Store:
1) Kết nối với Kafka
2) Quét thư mục chứa kết quả
3) Với mỗi file kết quả, gửi sang MiniIO</t>
  </si>
  <si>
    <t>CALL_MAN_AI79</t>
  </si>
  <si>
    <t>Tiến trình đẩy dữ liệu Đồ cấm quảng cáo</t>
  </si>
  <si>
    <t>Tiến trình đẩy dữ liệu Đồ cấm quảng cáo vào Minio Object Store:
1) Kết nối với Kafka
2) Quét thư mục chứa kết quả
3) Với mỗi file kết quả, gửi sang MiniIO</t>
  </si>
  <si>
    <t>CALL_MAN_AI80</t>
  </si>
  <si>
    <t>Tiến trình đẩy dữ liệu Nội dung sex</t>
  </si>
  <si>
    <t>Tiến trình đẩy dữ liệu Nội dung sex vào Minio Object Store:
1) Kết nối với Kafka
2) Quét thư mục chứa kết quả
3) Với mỗi file kết quả, gửi sang MiniIO</t>
  </si>
  <si>
    <t>CALL_MAN_AI81</t>
  </si>
  <si>
    <t>Tiến trình đẩy dữ liệu Bản quyền</t>
  </si>
  <si>
    <t>Tiến trình đẩy dữ liệu Bản quyền vào Minio Object Store:
1) Kết nối với Kafka
2) Quét thư mục chứa kết quả
3) Với mỗi file kết quả, gửi sang MiniIO</t>
  </si>
  <si>
    <t>CALL_MAN_AI82</t>
  </si>
  <si>
    <t>Xây dựng API cấu hình vùng phát hiện đánh nhau</t>
  </si>
  <si>
    <t>Xây dựng API cấu hình vùng phát hiện đánh nhau:
1) Load các giá trị cấu hình từ giao diện
2) Ghi giá trị cấu hình vào DB</t>
  </si>
  <si>
    <t>CALL_MAN_AI83</t>
  </si>
  <si>
    <t>Xây dựng API cấu hình vùng phát hiện biểu tình</t>
  </si>
  <si>
    <t>Xây dựng API cấu hình vùng phát hiện biểu tình:
1) Load các giá trị cấu hình từ giao diện
2) Ghi giá trị cấu hình vào DB</t>
  </si>
  <si>
    <t>CALL_MAN_AI84</t>
  </si>
  <si>
    <t>Xây dựng API cấu hình vùng phát hiện mất cắp</t>
  </si>
  <si>
    <t>Xây dựng API cấu hình vùng phát hiện mất cắp:
1) Load các giá trị cấu hình từ giao diện
2) Ghi giá trị cấu hình vào DB</t>
  </si>
  <si>
    <t>CALL_MAN_AI85</t>
  </si>
  <si>
    <t>Xây dựng API cấu hình vùng phát hiện đổ rác</t>
  </si>
  <si>
    <t>Xây dựng API cấu hình vùng phát hiện đổ rác:
1) Load các giá trị cấu hình từ giao diện
2) Ghi giá trị cấu hình vào DB</t>
  </si>
  <si>
    <t>CALL_MAN_AI86</t>
  </si>
  <si>
    <t>Xây dựng API cấu hình vùng phát hiện bỏ rơi</t>
  </si>
  <si>
    <t>Xây dựng API cấu hình vùng phát hiện bỏ rơi:
1) Load các giá trị cấu hình từ giao diện
2) Ghi giá trị cấu hình vào DB</t>
  </si>
  <si>
    <t>CALL_MAN_AI87</t>
  </si>
  <si>
    <t>Xây dựng API cấu hình vùng phát hiện xâm nhập</t>
  </si>
  <si>
    <t>Xây dựng API cấu hình vùng phát hiện xâm nhập:
1) Load các giá trị cấu hình từ giao diện
2) Ghi giá trị cấu hình vào DB</t>
  </si>
  <si>
    <t>CALL_MAN_AI88</t>
  </si>
  <si>
    <t>Xây dựng API cấu hình vùng phát hiện cháy nổ:
1) Load các giá trị cấu hình từ giao diện
2) Ghi giá trị cấu hình vào DB</t>
  </si>
  <si>
    <t>CALL_MAN_AI89</t>
  </si>
  <si>
    <t>Xây dựng API cấu hình vùng phát hiện chuyển động:
1) Load các giá trị cấu hình từ giao diện
2) Ghi giá trị cấu hình vào DB</t>
  </si>
  <si>
    <t>CALL_MAN_AI90</t>
  </si>
  <si>
    <t>Xây dựng API cấu hình vùng phát hiện đám đông:
1) Load các giá trị cấu hình từ giao diện
2) Ghi giá trị cấu hình vào DB</t>
  </si>
  <si>
    <t>CALL_MAN_AI91</t>
  </si>
  <si>
    <t>Tối ưu và đóng gói API đánh nhau</t>
  </si>
  <si>
    <t>Tối ưu và đóng gói API đánh nhau:
1) Nhận tham số đầu vào từ MyClip
2) Truyền các tham số đầu vào cho module AI
3) Chạy inference
4) Format và trả ra kết quả</t>
  </si>
  <si>
    <t>1) Nhận tham số đầu vào từ MyClip
2) Truyền các tham số đầu vào cho module AI
3) Chạy inference
4) Format và trả ra kết quả</t>
  </si>
  <si>
    <t>CALL_MAN_AI92</t>
  </si>
  <si>
    <t>Tối ưu và đóng gói API biểu tình</t>
  </si>
  <si>
    <t>Tối ưu và đóng gói API biểu tình:
1) Nhận tham số đầu vào từ MyClip
2) Truyền các tham số đầu vào cho module AI
3) Chạy inference
4) Format và trả ra kết quả</t>
  </si>
  <si>
    <t>CALL_MAN_AI93</t>
  </si>
  <si>
    <t>Tối ưu và đóng gói API mất cắp</t>
  </si>
  <si>
    <t>Tối ưu và đóng gói API mất cắp:
1) Nhận tham số đầu vào từ MyClip
2) Truyền các tham số đầu vào cho module AI
3) Chạy inference
4) Format và trả ra kết quả</t>
  </si>
  <si>
    <t>CALL_MAN_AI94</t>
  </si>
  <si>
    <t>Tối ưu và đóng gói API đổ rác</t>
  </si>
  <si>
    <t>Tối ưu và đóng gói API đổ rác:
1) Nhận tham số đầu vào từ MyClip
2) Truyền các tham số đầu vào cho module AI
3) Chạy inference
4) Format và trả ra kết quả</t>
  </si>
  <si>
    <t>CALL_MAN_AI95</t>
  </si>
  <si>
    <t>Tối ưu và đóng gói API bỏ rơi</t>
  </si>
  <si>
    <t>Tối ưu và đóng gói API bỏ rơi:
1) Nhận tham số đầu vào từ MyClip
2) Truyền các tham số đầu vào cho module AI
3) Chạy inference
4) Format và trả ra kết quả</t>
  </si>
  <si>
    <t>CALL_MAN_AI96</t>
  </si>
  <si>
    <t>Tối ưu và đóng gói API xâm nhập</t>
  </si>
  <si>
    <t>Tối ưu và đóng gói API xâm nhập:
1) Nhận tham số đầu vào từ MyClip
2) Truyền các tham số đầu vào cho module AI
3) Chạy inference
4) Format và trả ra kết quả</t>
  </si>
  <si>
    <t>CALL_MAN_AI97</t>
  </si>
  <si>
    <t>Tối ưu và đóng gói API  phát hiện cháy nổ</t>
  </si>
  <si>
    <t>Tối ưu và đóng gói API  phát hiện cháy nổ:
1) Nhận tham số đầu vào từ MyClip
2) Truyền các tham số đầu vào cho module AI
3) Chạy inference
4) Format và trả ra kết quả</t>
  </si>
  <si>
    <t>CALL_MAN_AI98</t>
  </si>
  <si>
    <t>Tối ưu và đóng gói API  phát hiện chuyển động</t>
  </si>
  <si>
    <t>Tối ưu và đóng gói API  phát hiện chuyển động:
1) Nhận tham số đầu vào từ MyClip
2) Truyền các tham số đầu vào cho module AI
3) Chạy inference
4) Format và trả ra kết quả</t>
  </si>
  <si>
    <t>CALL_MAN_AI99</t>
  </si>
  <si>
    <t>Tối ưu và đóng gói API  phát hiện đám đông</t>
  </si>
  <si>
    <t>Tối ưu và đóng gói API  phát hiện đám đông:
1) Nhận tham số đầu vào từ MyClip
2) Truyền các tham số đầu vào cho module AI
3) Chạy inference
4) Format và trả ra kết quả</t>
  </si>
  <si>
    <t>CALL_MAN_AI100</t>
  </si>
  <si>
    <t>Tối ưu và đóng gói mô hình  phát hiện phương tiện</t>
  </si>
  <si>
    <t>Tối ưu và đóng gói mô hình  phát hiện phương tiện:
1) Nhận tham số đầu vào từ MyClip
2) Truyền các tham số đầu vào cho module AI
3) Chạy inference
4) Format và trả ra kết quả</t>
  </si>
  <si>
    <t>CALL_MAN_AI101</t>
  </si>
  <si>
    <t>Tối ưu và đóng gói mô hình  phân loại phương tiện</t>
  </si>
  <si>
    <t>Tối ưu và đóng gói mô hình  phân loại phương tiện:
1) Nhận tham số đầu vào từ MyClip
2) Truyền các tham số đầu vào cho module AI
3) Chạy inference
4) Format và trả ra kết quả</t>
  </si>
  <si>
    <t>CALL_MAN_AI102</t>
  </si>
  <si>
    <t>Tối ưu và đóng gói mô hình  phát hiện biển số</t>
  </si>
  <si>
    <t>Tối ưu và đóng gói mô hình  phát hiện biển số:
1) Nhận tham số đầu vào từ MyClip
2) Truyền các tham số đầu vào cho module AI
3) Chạy inference
4) Format và trả ra kết quả</t>
  </si>
  <si>
    <t>CALL_MAN_AI103</t>
  </si>
  <si>
    <t>Tối ưu và đóng gói model nhận diện màu xe</t>
  </si>
  <si>
    <t>Tối ưu và đóng gói mô hình nhận diện màu xe:
1) Nhận tham số đầu vào từ MyClip
2) Truyền các tham số đầu vào cho module AI
3) Chạy inference
4) Format và trả ra kết quả</t>
  </si>
  <si>
    <t>CALL_MAN_AI104</t>
  </si>
  <si>
    <t>Tối ưu và đóng gói mô hình nhận dạng biển số xe</t>
  </si>
  <si>
    <t>Tối ưu và đóng gói mô hình nhận dạng biển số xe:
1) Nhận tham số đầu vào từ MyClip
2) Truyền các tham số đầu vào cho module AI
3) Chạy inference
4) Format và trả ra kết quả</t>
  </si>
  <si>
    <t>CALL_MAN_AI105</t>
  </si>
  <si>
    <t>Tối ưu và đóng gói mô hình nhận dạng màu biển số xe</t>
  </si>
  <si>
    <t>Tối ưu và đóng gói mô hình nhận dạng màu biển số xe:
1) Nhận tham số đầu vào từ MyClip
2) Truyền các tham số đầu vào cho module AI
3) Chạy inference
4) Format và trả ra kết quả</t>
  </si>
  <si>
    <t>CALL_MAN_AI106</t>
  </si>
  <si>
    <t>Tối ưu và đóng gói mô hình phân loại xe</t>
  </si>
  <si>
    <t>Tối ưu và đóng gói mô hình phân loại xe:
1) Nhận tham số đầu vào từ MyClip
2) Truyền các tham số đầu vào cho module AI
3) Chạy inference
4) Format và trả ra kết quả</t>
  </si>
  <si>
    <t>CALL_MAN_AI107</t>
  </si>
  <si>
    <t>Tối ưu và đóng gói mô hình nhận dạng hãng xe và model xe</t>
  </si>
  <si>
    <t>Tối ưu và đóng gói mô hình nhận dạng hãng xe và model xe:
1) Nhận tham số đầu vào từ MyClip
2) Truyền các tham số đầu vào cho module AI
3) Chạy inference
4) Format và trả ra kết quả</t>
  </si>
  <si>
    <t>CALL_MAN_AI108</t>
  </si>
  <si>
    <t>Tối ưu và đóng gói mô hình nhận dạng màu đèn</t>
  </si>
  <si>
    <t>Tối ưu và đóng gói mô hình nhận dạng màu đèn:
1) Nhận tham số đầu vào từ MyClip
2) Truyền các tham số đầu vào cho module AI
3) Chạy inference
4) Format và trả ra kết quả</t>
  </si>
  <si>
    <t>CALL_MAN_AI109</t>
  </si>
  <si>
    <t>Tối ưu và đóng gói mô hình nhận dạng màu sắc quần áo người đi xe máy</t>
  </si>
  <si>
    <t>Tối ưu và đóng gói mô hình nhận dạng màu sắc quần áo người đi xe máy:
1) Nhận tham số đầu vào từ MyClip
2) Truyền các tham số đầu vào cho module AI
3) Chạy inference
4) Format và trả ra kết quả</t>
  </si>
  <si>
    <t>CALL_MAN_AI110</t>
  </si>
  <si>
    <t>Tối ưu và đóng gói mô hình nhận dạng giới tính người đi xe máy</t>
  </si>
  <si>
    <t>Tối ưu và đóng gói mô hình nhận dạng giới tính người đi xe máy:
1) Nhận tham số đầu vào từ MyClip
2) Truyền các tham số đầu vào cho module AI
3) Chạy inference
4) Format và trả ra kết quả</t>
  </si>
  <si>
    <t>CALL_MAN_AI111</t>
  </si>
  <si>
    <t>Tối ưu và đóng gói mô hình phát hiện người đi xe máy không đội mũ bảo hiểm</t>
  </si>
  <si>
    <t>Tối ưu và đóng gói mô hình phát hiện người đi xe máy không đội mũ bảo hiểm:
1) Nhận tham số đầu vào từ MyClip
2) Truyền các tham số đầu vào cho module AI
3) Chạy inference
4) Format và trả ra kết quả</t>
  </si>
  <si>
    <t>CALL_MAN_AI112</t>
  </si>
  <si>
    <t>Tối ưu và đóng gói mô hình phát hiện người đi xe máy chở quá số người</t>
  </si>
  <si>
    <t>Tối ưu và đóng gói mô hình phát hiện người đi xe máy chở quá số người:
1) Nhận tham số đầu vào từ MyClip
2) Truyền các tham số đầu vào cho module AI
3) Chạy inference
4) Format và trả ra kết quả</t>
  </si>
  <si>
    <t>CALL_MAN_AI113</t>
  </si>
  <si>
    <t>Tối ưu và đóng gói mô hình phát hiện người đi xe máy chở quá khổ</t>
  </si>
  <si>
    <t>Tối ưu và đóng gói mô hình phát hiện người đi xe máy chở quá khổ:
1) Nhận tham số đầu vào từ MyClip
2) Truyền các tham số đầu vào cho module AI
3) Chạy inference
4) Format và trả ra kết quả</t>
  </si>
  <si>
    <t>CALL_MAN_AI114</t>
  </si>
  <si>
    <t>Tối ưu và đóng gói mô hình phát hiện cháy nổ</t>
  </si>
  <si>
    <t>Tối ưu và đóng gói mô hình phát hiện cháy nổ:
1) Nhận tham số đầu vào từ MyClip
2) Truyền các tham số đầu vào cho module AI
3) Chạy inference
4) Format và trả ra kết quả</t>
  </si>
  <si>
    <t>CALL_MAN_AI115</t>
  </si>
  <si>
    <t>Tối ưu và đóng gói mô hình phát hiện nhân viên rời vị trí</t>
  </si>
  <si>
    <t>Tối ưu và đóng gói mô hình phát hiện nhân viên rời vị trí:
1) Nhận tham số đầu vào từ MyClip
2) Truyền các tham số đầu vào cho module AI
3) Chạy inference
4) Format và trả ra kết quả</t>
  </si>
  <si>
    <t>CALL_MAN_AI116</t>
  </si>
  <si>
    <t>Tối ưu và đóng gói mô hình đo chiều cao phương tiện</t>
  </si>
  <si>
    <t>Tối ưu và đóng gói mô hình đo chiều cao phương tiện:
1) Nhận tham số đầu vào từ MyClip
2) Truyền các tham số đầu vào cho module AI
3) Chạy inference
4) Format và trả ra kết quả</t>
  </si>
  <si>
    <t>CALL_MAN_AI117</t>
  </si>
  <si>
    <t>Tối ưu và đóng gói mô hình Hình ảnh các lãnh đạo cấp cao</t>
  </si>
  <si>
    <t>Tối ưu và đóng gói mô hình Hình ảnh các lãnh đạo cấp cao:
1) Nhận tham số đầu vào từ MyClip
2) Truyền các tham số đầu vào cho module AI
3) Chạy inference
4) Format và trả ra kết quả</t>
  </si>
  <si>
    <t>CALL_MAN_AI118</t>
  </si>
  <si>
    <t>Tối ưu và đóng gói mô hình Nhạy cảm chính trị</t>
  </si>
  <si>
    <t>Tối ưu và đóng gói mô hình Nhạy cảm chính trị:
1) Nhận tham số đầu vào từ MyClip
2) Truyền các tham số đầu vào cho module AI
3) Chạy inference
4) Format và trả ra kết quả</t>
  </si>
  <si>
    <t>CALL_MAN_AI119</t>
  </si>
  <si>
    <t>Tối ưu và đóng gói mô hình Nội dung nhạy cảm</t>
  </si>
  <si>
    <t>Tối ưu và đóng gói mô hình Nội dung nhạy cảm:
1) Nhận tham số đầu vào từ MyClip
2) Truyền các tham số đầu vào cho module AI
3) Chạy inference
4) Format và trả ra kết quả</t>
  </si>
  <si>
    <t>CALL_MAN_AI120</t>
  </si>
  <si>
    <t>Tối ưu và đóng gói mô hình Nhạy cảm tôn giáo</t>
  </si>
  <si>
    <t>Tối ưu và đóng gói mô hình Nhạy cảm tôn giáo:
1) Nhận tham số đầu vào từ MyClip
2) Truyền các tham số đầu vào cho module AI
3) Chạy inference
4) Format và trả ra kết quả</t>
  </si>
  <si>
    <t>CALL_MAN_AI121</t>
  </si>
  <si>
    <t>Tối ưu và đóng gói mô hình Quân đội chế độ Việt Nam Cộng hòa</t>
  </si>
  <si>
    <t>Tối ưu và đóng gói mô hình Quân đội chế độ Việt Nam Cộng hòa:
1) Nhận tham số đầu vào từ MyClip
2) Truyền các tham số đầu vào cho module AI
3) Chạy inference
4) Format và trả ra kết quả</t>
  </si>
  <si>
    <t>CALL_MAN_AI122</t>
  </si>
  <si>
    <t>Tối ưu và đóng gói mô hình Chém giết bạo lực</t>
  </si>
  <si>
    <t>Tối ưu và đóng gói mô hình Chém giết bạo lực:
1) Nhận tham số đầu vào từ MyClip
2) Truyền các tham số đầu vào cho module AI
3) Chạy inference
4) Format và trả ra kết quả</t>
  </si>
  <si>
    <t>CALL_MAN_AI123</t>
  </si>
  <si>
    <t>Tối ưu và đóng gói mô hình Trẻ em, xâm hại trẻ em</t>
  </si>
  <si>
    <t>Tối ưu và đóng gói mô hình Trẻ em, xâm hại trẻ em:
1) Nhận tham số đầu vào từ MyClip
2) Truyền các tham số đầu vào cho module AI
3) Chạy inference
4) Format và trả ra kết quả</t>
  </si>
  <si>
    <t>CALL_MAN_AI124</t>
  </si>
  <si>
    <t>Tối ưu và đóng gói mô hình Đồ cấm quảng cáo</t>
  </si>
  <si>
    <t>Tối ưu và đóng gói mô hình Đồ cấm quảng cáo:
1) Nhận tham số đầu vào từ MyClip
2) Truyền các tham số đầu vào cho module AI
3) Chạy inference
4) Format và trả ra kết quả</t>
  </si>
  <si>
    <t>CALL_MAN_AI125</t>
  </si>
  <si>
    <t>Tối ưu và đóng gói mô hình Nội dung sex</t>
  </si>
  <si>
    <t>Tối ưu và đóng gói mô hình Nội dung sex:
1) Nhận tham số đầu vào từ MyClip
2) Truyền các tham số đầu vào cho module AI
3) Chạy inference
4) Format và trả ra kết quả</t>
  </si>
  <si>
    <t>CALL_MAN_AI126</t>
  </si>
  <si>
    <t>Tối ưu và đóng gói mô hình Bản quyền</t>
  </si>
  <si>
    <t>Tối ưu và đóng gói mô hình Bản quyền:
1) Nhận tham số đầu vào từ MyClip
2) Truyền các tham số đầu vào cho module AI
3) Chạy inference
4) Format và trả ra kết quả</t>
  </si>
  <si>
    <t>Đọc metadata của Video</t>
  </si>
  <si>
    <t>Validate AI không truyền được dữ liệu</t>
  </si>
  <si>
    <t>Backend Giám sát và phát hiện các camera không có sự kiện sau một khoảng thời gian</t>
  </si>
  <si>
    <t>Backend Cập nhật trạng thái sửa lỗi camera</t>
  </si>
  <si>
    <t>Validate trạng thái sửa lỗi camera</t>
  </si>
  <si>
    <t>Backend Cấu hình nhóm cảnh báo  mức độ cảnh báo.</t>
  </si>
  <si>
    <t>Validate Cấu hình nhóm cảnh báo  mức độ cảnh báo.</t>
  </si>
  <si>
    <t>Backend Cấu hình nhóm người nhận cảnh báo.</t>
  </si>
  <si>
    <t xml:space="preserve">Backend Cấu hình cảnh báo cho từng nhóm người theo loại cảnh báo và mức độ. </t>
  </si>
  <si>
    <t>Validate Cấu hình nhóm người nhận cảnh báo.</t>
  </si>
  <si>
    <t>Backend Cảnh báo qua Mobile App</t>
  </si>
  <si>
    <t>Sinh bản tin cảnh báo</t>
  </si>
  <si>
    <t>Backend Cảnh báo trên màn hình Web</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</si>
  <si>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</si>
  <si>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</si>
  <si>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</si>
  <si>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</si>
  <si>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Phức tạp</t>
  </si>
  <si>
    <t>Trung bình</t>
  </si>
  <si>
    <t>Đơn giản</t>
  </si>
  <si>
    <t>ƯỚC LƯỢNG NỖ LỰC DỰ ÁN - PHI CHỨC NĂNG, CÔNG VIỆC KHÁC</t>
  </si>
  <si>
    <t>Người thực hiện:</t>
  </si>
  <si>
    <t>Ngày thực hiện:</t>
  </si>
  <si>
    <t>Tổng nỗ lực:</t>
  </si>
  <si>
    <t>Mã đầu việc</t>
  </si>
  <si>
    <t>Tên đầu việc</t>
  </si>
  <si>
    <t>Mô tả</t>
  </si>
  <si>
    <t>Tổng nỗ lực thực hiện (manhours)</t>
  </si>
  <si>
    <t>QTDA</t>
  </si>
  <si>
    <t>10% nỗ lực thực hiện</t>
  </si>
  <si>
    <t>TK4</t>
  </si>
  <si>
    <t>Triển khai hệ thống</t>
  </si>
  <si>
    <t>DT1</t>
  </si>
  <si>
    <t>Đào tạo VHKT cho khách hàng</t>
  </si>
  <si>
    <t>DT2</t>
  </si>
  <si>
    <t>Hướng dẫn sử dụng</t>
  </si>
  <si>
    <t>DT3</t>
  </si>
  <si>
    <t>DT4</t>
  </si>
  <si>
    <t>DT5</t>
  </si>
  <si>
    <t>DT6</t>
  </si>
  <si>
    <t>VH1</t>
  </si>
  <si>
    <t>Rà soát ATTT server</t>
  </si>
  <si>
    <t>VH2</t>
  </si>
  <si>
    <t>Rà soát ATTT ứng dụng</t>
  </si>
  <si>
    <t>VH7</t>
  </si>
  <si>
    <t>Fix lỗi sau triển khai</t>
  </si>
  <si>
    <t>VH8</t>
  </si>
  <si>
    <t>Test fix lỗi sau triển khai</t>
  </si>
  <si>
    <t>VH9</t>
  </si>
  <si>
    <t>Theo dõi log hệ thống sau khi triển khai</t>
  </si>
  <si>
    <t>TK1</t>
  </si>
  <si>
    <t>Triển khai hạ tầng MyClip</t>
  </si>
  <si>
    <t>KH1</t>
  </si>
  <si>
    <t>Xây dựng kế hoạch dự án trình ký BGĐ/Ban TGĐ</t>
  </si>
  <si>
    <t>KH2</t>
  </si>
  <si>
    <t>Xây dựng kế hoạch dựa trên ULNL và tình hình nhân sự của dự án.</t>
  </si>
  <si>
    <t>UC3</t>
  </si>
  <si>
    <t>Merge code (5% nỗ lực coding các chức năng merge)</t>
  </si>
  <si>
    <t>UC4</t>
  </si>
  <si>
    <t>Test Merge code (20% tổng nỗ lực test các yc merge)</t>
  </si>
  <si>
    <t>UC5</t>
  </si>
  <si>
    <t>Tham gia upcode</t>
  </si>
  <si>
    <t>HOP2</t>
  </si>
  <si>
    <t>Họp dự án thống nhất giải pháp fontend</t>
  </si>
  <si>
    <t>Họp dự án thống nhất giải pháp backend</t>
  </si>
  <si>
    <t>Họp dự án thống nhất giải pháp tích hợp fontend và backend</t>
  </si>
  <si>
    <t>Họp dự án thống nhất triển khai</t>
  </si>
  <si>
    <t>Họp dự án</t>
  </si>
  <si>
    <t>TK10</t>
  </si>
  <si>
    <t>Test hiệu năng tích hợp các module fontend trên môi trường dev</t>
  </si>
  <si>
    <t>Test hiệu năng tích hợp các module backend trên môi dev</t>
  </si>
  <si>
    <t>Test hiệu năng khi tích hợp backend và fontend trên môi trường dev</t>
  </si>
  <si>
    <t>Test hiệu năng tích hợp các module fontend trên môi trường beta</t>
  </si>
  <si>
    <t>Test hiệu năng tích hợp các module backend trên môi beta</t>
  </si>
  <si>
    <t>Test hiệu năng khi tích hợp backend và fontend trên môi trường beta</t>
  </si>
  <si>
    <t>TK11</t>
  </si>
  <si>
    <t>Báo cáo test hiệu năng tích hợp các module fontend trên môi trường dev</t>
  </si>
  <si>
    <t>Báo cáo Test hiệu năng tích hợp các module backend trên môi dev</t>
  </si>
  <si>
    <t>Báo cáo Test hiệu năng khi tích hợp backend và fontend trên môi trường dev</t>
  </si>
  <si>
    <t>Báo cáo Test hiệu năng tích hợp các module fontend trên môi trường beta</t>
  </si>
  <si>
    <t>Báo cáo Test hiệu năng tích hợp các module backend trên môi beta</t>
  </si>
  <si>
    <t>Báo cáo Test hiệu năng khi tích hợp backend và fontend trên môi trường beta</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</si>
  <si>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</si>
  <si>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</si>
  <si>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</si>
  <si>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</si>
  <si>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</si>
  <si>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</si>
  <si>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</si>
  <si>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</si>
  <si>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</si>
  <si>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</si>
  <si>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</si>
  <si>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</si>
  <si>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</si>
  <si>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</si>
  <si>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</si>
  <si>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</si>
  <si>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</si>
  <si>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</si>
  <si>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</si>
  <si>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</si>
  <si>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</si>
  <si>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</si>
  <si>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</si>
  <si>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</si>
  <si>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</si>
  <si>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</si>
  <si>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</si>
  <si>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</si>
  <si>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</si>
  <si>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</si>
  <si>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</si>
  <si>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</si>
  <si>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</si>
  <si>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</si>
  <si>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</si>
  <si>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</si>
  <si>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</si>
  <si>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</si>
  <si>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</si>
  <si>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</si>
  <si>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</si>
  <si>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</si>
  <si>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</si>
  <si>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</si>
  <si>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</si>
  <si>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</si>
  <si>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</si>
  <si>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</si>
  <si>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</si>
  <si>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</si>
  <si>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</si>
  <si>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</si>
  <si>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</si>
  <si>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</si>
  <si>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</si>
  <si>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</si>
  <si>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</si>
  <si>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</si>
  <si>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</si>
  <si>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</si>
  <si>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</si>
  <si>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</si>
  <si>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</si>
  <si>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</si>
  <si>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</si>
  <si>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</si>
  <si>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</si>
  <si>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</si>
  <si>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</si>
  <si>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</si>
  <si>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</si>
  <si>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</si>
  <si>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</si>
  <si>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</si>
  <si>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</si>
  <si>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</si>
  <si>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</si>
  <si>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</si>
  <si>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</si>
  <si>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</si>
  <si>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</si>
  <si>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</si>
  <si>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</si>
  <si>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</si>
  <si>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</si>
  <si>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</si>
  <si>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</si>
  <si>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</si>
  <si>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</si>
  <si>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</si>
  <si>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</si>
  <si>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</si>
  <si>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</si>
  <si>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</si>
  <si>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</si>
  <si>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</si>
  <si>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</si>
  <si>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</si>
  <si>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</si>
  <si>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</si>
  <si>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Thời gian kiểm thử hiệu năng 9 chức năng kết hợp</t>
  </si>
  <si>
    <t xml:space="preserve">3. Thời gian tạo báo cáo kiểm thử hiệu năng: </t>
  </si>
  <si>
    <t>(phút)</t>
  </si>
  <si>
    <r>
      <rPr>
        <b/>
        <sz val="15"/>
        <color theme="1"/>
        <rFont val="Times New Roman"/>
        <charset val="134"/>
      </rPr>
      <t xml:space="preserve">4. Rủi ro trong quá trình kiểm thử hiệu năng: </t>
    </r>
    <r>
      <rPr>
        <sz val="10"/>
        <color indexed="8"/>
        <rFont val="Times New Roman"/>
        <charset val="134"/>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charset val="134"/>
      </rPr>
      <t xml:space="preserve">
…………………...</t>
    </r>
    <r>
      <rPr>
        <b/>
        <sz val="15"/>
        <color indexed="8"/>
        <rFont val="Times New Roman"/>
        <charset val="134"/>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</si>
  <si>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</si>
  <si>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</si>
  <si>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</si>
  <si>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</si>
  <si>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</si>
  <si>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</si>
  <si>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</si>
  <si>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</si>
  <si>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</si>
  <si>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</si>
  <si>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</si>
  <si>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</si>
  <si>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</si>
  <si>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</si>
  <si>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</si>
  <si>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</si>
  <si>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</si>
  <si>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</si>
  <si>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</si>
  <si>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</si>
  <si>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</si>
  <si>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</si>
  <si>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</si>
  <si>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</si>
  <si>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</si>
  <si>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</si>
  <si>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</si>
  <si>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</si>
  <si>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</si>
  <si>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</si>
  <si>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</si>
  <si>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</si>
  <si>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</si>
  <si>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ƯỚC LƯỢNG NỖ LỰC DỰ ÁN - VỚI CÁC TIÊU CHUẨN QUẢN TRỊ DỮ LIỆU</t>
  </si>
  <si>
    <t>TÊN DỰ ÁN</t>
  </si>
  <si>
    <t>(Manhours)</t>
  </si>
  <si>
    <t>Có thuê ngoài thực hiện không?</t>
  </si>
  <si>
    <t>Tổng cộng (MH)</t>
  </si>
  <si>
    <t>Tổng cộng (MD)</t>
  </si>
  <si>
    <t>PHỤ LỤC 1.1
DANH SÁCH LOẠI CHỨC NĂNG</t>
  </si>
  <si>
    <t>MOBILE</t>
  </si>
  <si>
    <t xml:space="preserve">
&lt;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</si>
  <si>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Trên giao diện của một chức năng có 1 Label, 2 textbox, 3 combobox (có gọi API để lấy dữ liệu) sẽ là: 1*1 + 2*2 + 3*3 = 12 trường thông tin</t>
  </si>
  <si>
    <t>5-10 trường thông tin
- Component hiển thị thông tin: 1 đơn vị giao diện
- Component nhập thông tin và xử lý thông tin: 2 đơn vị giao diện
- Component phải gọi API riêng để lấy dữ liệu và xử lý dữ liệu: 3 đơn vị giao diện</t>
  </si>
  <si>
    <t>CN_MOBILE Client1-NC</t>
  </si>
  <si>
    <t xml:space="preserve">&lt;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</si>
  <si>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CN_MOBILE Client2_NC</t>
  </si>
  <si>
    <t>Chức năng Client NC- trung bình</t>
  </si>
  <si>
    <t>CN_MOBILE Client3-NC</t>
  </si>
  <si>
    <t>&gt; 10 trường thông tin
- Component hiển thị thông tin: 1 đơn vị giao diện
- Component nhập thông tin và xử lý thông tin: 2 đơn vị giao diện
- Component phải gọi API riêng để lấy dữ liệu và xử lý dữ liệu: 3 đơn vị giao diện</t>
  </si>
  <si>
    <t>XML1</t>
  </si>
  <si>
    <t>Xử lý text có cú pháp, như XML/JSON/YAML đơn giản</t>
  </si>
  <si>
    <t>XML</t>
  </si>
  <si>
    <t>Bản tin &lt;10 trường thông tin</t>
  </si>
  <si>
    <t>XML2</t>
  </si>
  <si>
    <t>Xử lý text có cú pháp, như XML/JSON/YAML trung bình</t>
  </si>
  <si>
    <t>Bản tin từ 10 -20 trường thông tin</t>
  </si>
  <si>
    <t>XML3</t>
  </si>
  <si>
    <t>Xử lý text có cú pháp, như XML/JSON/YAML phức tạp</t>
  </si>
  <si>
    <t>Bản tin &gt; 20 trường thông tin</t>
  </si>
  <si>
    <t>FW_GSM1</t>
  </si>
  <si>
    <t>Lập trình firmware cho khối GSM đơn giản</t>
  </si>
  <si>
    <t>Firmware</t>
  </si>
  <si>
    <t>Chỉ gồm chức năng nhắn tin, gọi điện</t>
  </si>
  <si>
    <t>FW_GSM2</t>
  </si>
  <si>
    <t>Lập trình firmware cho khối GSM trung bình</t>
  </si>
  <si>
    <t>Gồm các chức năng nhắn tin, gọi điện và TCP/IP</t>
  </si>
  <si>
    <t>FW_GSM3</t>
  </si>
  <si>
    <t>Lập trình firmware cho khối GSM phức tạp</t>
  </si>
  <si>
    <t>Gồm các chức năng nhắn tin, gọi điện, TCP/IP, UDP và FTP</t>
  </si>
  <si>
    <t>FW_SSL1</t>
  </si>
  <si>
    <t>Lập trình firmware cho SSL đơn giản</t>
  </si>
  <si>
    <t>Server xác thực thiết bị</t>
  </si>
  <si>
    <t>FW_SSL2</t>
  </si>
  <si>
    <t>Lập trình firmware cho SSL trung bình</t>
  </si>
  <si>
    <t>Thiết bị xác thực server</t>
  </si>
  <si>
    <t>FW_SSL3</t>
  </si>
  <si>
    <t>Lập trình firmware cho SSL phức tạp</t>
  </si>
  <si>
    <t>Cả server và thiết bị phải xác thực lẫn nhau</t>
  </si>
  <si>
    <t>FW_ADC1</t>
  </si>
  <si>
    <t>Lập trình firmware đo ADC đơn giản</t>
  </si>
  <si>
    <t>Chỉ đo điện áp đơn giản để gửi lên server</t>
  </si>
  <si>
    <t>FW_ADC2</t>
  </si>
  <si>
    <t>Lập trình firmware đo ADC trung bình</t>
  </si>
  <si>
    <t>Đo điện áp, cài đặt lưu ngưỡng quá áp</t>
  </si>
  <si>
    <t>FW_ADC3</t>
  </si>
  <si>
    <t>Lập trình firmware đo ADC phức tạp</t>
  </si>
  <si>
    <t>Đo điện áp, cài đặt lưu ngưỡng quá áp, khi quá áp thì phát cảnh bảo và gửi dữ liệu lên server</t>
  </si>
  <si>
    <t>CSI_NORMAL_1</t>
  </si>
  <si>
    <t>CSI phổ thông (Camera, cầu truyền hình, IPNetwork, Hạ tầng) mức đơn giản</t>
  </si>
  <si>
    <t>CSI</t>
  </si>
  <si>
    <t>Tại 1 site khách hàng (1 văn phòng, 1 xã)</t>
  </si>
  <si>
    <t>CSI_NORMAL_2</t>
  </si>
  <si>
    <t>CSI phổ thông (Camera, cầu truyền hình, IPNetwork, Hạ tầng) mức trung bình</t>
  </si>
  <si>
    <t>Tại nhiều site khách hàng (Nhiều phòng, mức huyện)</t>
  </si>
  <si>
    <t>CSI_NORMAL_3</t>
  </si>
  <si>
    <t>CSI phổ thông (Camera, cầu truyền hình, IPNetwork, Hạ tầng) mức phức tạp</t>
  </si>
  <si>
    <t>Phạm vi diện rộng mức tỉnh, toàn quốc</t>
  </si>
  <si>
    <t>DV_TABLEAU_CHART</t>
  </si>
  <si>
    <t>Thiết kế biểu đồ tableau</t>
  </si>
  <si>
    <t>Data Visualization</t>
  </si>
  <si>
    <t>Dimension và measure và tooltip, Chỉ sử dụng biểu đồ có sẵn,</t>
  </si>
  <si>
    <t>DV_TABLEAU_DASHBOARD1</t>
  </si>
  <si>
    <t>Thiết kế dashboard đơn giản</t>
  </si>
  <si>
    <t>Không có hiệu ứng ( Không link. Không highlight, …)</t>
  </si>
  <si>
    <t>DV_TABLEAU_DASHBOARD2</t>
  </si>
  <si>
    <t>Thiết kế dashboard trung bình</t>
  </si>
  <si>
    <t>Có hiệu ứng ( Có link. Có highlight, …).</t>
  </si>
  <si>
    <t>Nghiên cứu cho vào task phi chức năng</t>
  </si>
  <si>
    <t>DP_IMP1</t>
  </si>
  <si>
    <t>Đồng bộ dữ liệu đơn giản</t>
  </si>
  <si>
    <t>Data Ingestion</t>
  </si>
  <si>
    <t>&lt; 10 trường thông tin hoặc dung lượng &lt; 1GB  hoặc &lt;= 2 nguồn</t>
  </si>
  <si>
    <t>Hoặc theo số nguồn</t>
  </si>
  <si>
    <t>DP_IMP2</t>
  </si>
  <si>
    <t>Đồng bộ dữ liệu trung bình</t>
  </si>
  <si>
    <t>10-30 trường thông tin hoặc dung lượng từ 1-3GB hoặc từ 2 -5 nguồn</t>
  </si>
  <si>
    <t>DP_IMP3</t>
  </si>
  <si>
    <t>Đồng bộ dữ liệu phức tạp</t>
  </si>
  <si>
    <t>&gt; 30 trường thông tin hoặc dung lượng &gt;3GB hoặc từ 5 nguồn trở lên</t>
  </si>
  <si>
    <t>DP_AGG1</t>
  </si>
  <si>
    <t>Tổng hợp dữ liệu đơn giản</t>
  </si>
  <si>
    <t>Data process</t>
  </si>
  <si>
    <t>&lt; 10 trường thông tin hoặc dung lượng &lt; 1GB hoặc &lt;= 2 bước</t>
  </si>
  <si>
    <t>Thêm số bước</t>
  </si>
  <si>
    <t>DP_AGG2</t>
  </si>
  <si>
    <t>Tổng hợp dữ liệu trung bình</t>
  </si>
  <si>
    <t>10-30 trường thông tin hoặc dung lượng từ 1-3GB hoặc từ 2 -5 bước</t>
  </si>
  <si>
    <t>DP_AGG3</t>
  </si>
  <si>
    <t>Tổng hợp dữ liệu phức tạp</t>
  </si>
  <si>
    <t>&gt; 30 trường thông tin hoặc dung lượng &gt;3GB hoặc từ 5 bước trở lên</t>
  </si>
  <si>
    <t>DP_EXP1</t>
  </si>
  <si>
    <t>Xuất dữ liệu đơn giản</t>
  </si>
  <si>
    <t xml:space="preserve">&lt; 10 trường thông tin hoặc dung lượng &lt; 1GB </t>
  </si>
  <si>
    <t>Mỗi step trong job là 1 bước</t>
  </si>
  <si>
    <t>DATA_SUPPORT1</t>
  </si>
  <si>
    <t>Khai thác dữ liệu loại đơn giản</t>
  </si>
  <si>
    <t>SQL</t>
  </si>
  <si>
    <t>DATA_SUPPORT2</t>
  </si>
  <si>
    <t>Khai thác dữ liệu loại phức tạp</t>
  </si>
  <si>
    <t>DATA_SUPPORT3</t>
  </si>
  <si>
    <t>Khai thác dữ liệu loại đặc biệt</t>
  </si>
  <si>
    <t>WRITE_TC_WEB_1</t>
  </si>
  <si>
    <t>Testcase web</t>
  </si>
  <si>
    <t>Testcase có mức độ phức tạp = Đơn giản:
- Viết mới testcase cho hệ thống webservice, tiến trình, web (có 1 màn hình nhập liệu). 
- Số lượng bảng tương tác &lt; 10 bảng</t>
  </si>
  <si>
    <t xml:space="preserve"> WRITE_TC_WEB_2</t>
  </si>
  <si>
    <t>Testcase có mức độ phức tạp = Trung bình:
- Viết mới testcase cho hệ thống webservice, tiến trình, web (có &gt; 1 đến 3 màn hình nhập liệu). 
- Số lượng bảng tương tác &gt;= 10 bảng</t>
  </si>
  <si>
    <t>WRITE_TC_WEB_3</t>
  </si>
  <si>
    <t>Testcase có mức độ phức tạp = Phức tạp:
- Viết mới testcase cho hệ thống webservice, tiến trình, web (có &gt; 3 màn hình nhập liệu). 
- Số lượng bảng tương tác &gt;= 10 bảng</t>
  </si>
  <si>
    <t>WRITE_TC_MOBILE_ANDROID_1</t>
  </si>
  <si>
    <t xml:space="preserve">Testcase android </t>
  </si>
  <si>
    <t>Testcase viết cho hệ điều hành android có mức độ phức tạp = Đơn giản:
- Viết mới testcase cho hệ thống mobile trên hệ điều hành android, test case chỉ nhập liệu trên 1 màn hình</t>
  </si>
  <si>
    <t>WRITE_TC_MOBILE_ANDROID_2</t>
  </si>
  <si>
    <t xml:space="preserve">Testcase  android  </t>
  </si>
  <si>
    <t>Testcase viết cho hệ điều hành android  có mức độ phức tạp = Trung bình:
- Viết mới testcase cho hệ thống mobile trên hệ điều hành android, test case chỉ nhập liệu từ 1 đến 3 màn hình</t>
  </si>
  <si>
    <t>WRITE_TC_MOBILE_ANDROID_3</t>
  </si>
  <si>
    <t>Testcase android</t>
  </si>
  <si>
    <t>Testcase viết cho hệ điều hành android có mức độ phức tạp = Phức tạp:
- Viết mới testcase cho hệ thống mobile trên hệ điều hành android, test case chỉ nhập liệu trên 3 màn hình</t>
  </si>
  <si>
    <t>WRITE_TC_MOBILE_IOS_1</t>
  </si>
  <si>
    <t xml:space="preserve">Testcase  iOS </t>
  </si>
  <si>
    <t>Testcase viết cho hệ điều hành iOS có mức độ phức tạp = Đơn giản:
- Viết mới testcase cho hệ thống mobile trên hệ điều hành iOS, testcase chỉ nhập liệu trên 1 màn hình</t>
  </si>
  <si>
    <t>WRITE_TC_MOBILE_IOS_2</t>
  </si>
  <si>
    <t>Testcase có mức độ phức tạp = Trung bình:
- Viết mới testcase cho hệ thống mobile trên hệ điều hành iOS, testcase chỉ nhập liệu từ 1 đến 3 màn hình</t>
  </si>
  <si>
    <t>WRITE_TC_MOBILE_IOS_3</t>
  </si>
  <si>
    <t>Testcase có mức độ phức tạp = Phức tạp:
- Viết mới testcase cho hệ thống mobile trên hệ điều hành iOS, testcase chỉ nhập liệu từ 1 đến 3 màn hình</t>
  </si>
  <si>
    <t xml:space="preserve"> RUN_WEB_3</t>
  </si>
  <si>
    <t>Chạy auto test web</t>
  </si>
  <si>
    <t>- Mô tả: Thời gian hoàn thành chạy Automation test cho hệ thống web, webservice, tiến trình từ trên 200 testcase
- Thời gian thực hiện: 16h</t>
  </si>
  <si>
    <t>RUN_MOBILE_ANDROID_1</t>
  </si>
  <si>
    <t>Chạy auto test Mobile Android</t>
  </si>
  <si>
    <t>- Mô tả: Thời gian hoàn thành chạy Automation test cho hệ thống mobile trên platform Android, dưới 100 testcase
- Thời gian thực hiện: 8h</t>
  </si>
  <si>
    <t>RUN_MOBILE_ANDROID_2</t>
  </si>
  <si>
    <t>- Mô tả: Thời gian hoàn thành chạy Automation test cho hệ thống mobile trên platform Android, từ 100 đến 200 testcase
- Thời gian thực hiện: 12h</t>
  </si>
  <si>
    <t>RUN_MOBILE_ANDROID_3</t>
  </si>
  <si>
    <t>- Mô tả: Thời gian hoàn thành chạy Automation test cho hệ thống mobile trên platform Android, trên 200 testcase
- Thời gian thực hiện: 16h</t>
  </si>
  <si>
    <t xml:space="preserve"> RUN_MOBILE_IOS_1</t>
  </si>
  <si>
    <t>Chạy auto test Mobile IOS</t>
  </si>
  <si>
    <t>- Mô tả: Thời gian hoàn thành chạy Automation test cho hệ thống mobile trên platform iOS, dưới 100 testcase
- Thời gian thực hiện: 12h</t>
  </si>
  <si>
    <t>RUN_MOBILE_IOS_2</t>
  </si>
  <si>
    <t>- Mô tả: Thời gian hoàn thành chạy Automation test cho hệ thống mobile trên platform iOS, từ 100 đến 200 testcase
- Thời gian thực hiện: 20h</t>
  </si>
  <si>
    <t>RUN_MOBILE_IOS_3</t>
  </si>
  <si>
    <t>- Mô tả: Thời gian hoàn thành chạy Automation test cho hệ thống mobile trên platform iOS, trên 200 testcase
- Thời gian thực hiện: 28h</t>
  </si>
  <si>
    <t>RUN_WEB_1</t>
  </si>
  <si>
    <t>Automation test  web</t>
  </si>
  <si>
    <t>- Mô tả: Thời gian hoàn thành chạy Automation test cho hệ thống web, webservice, tiến trình dưới 100 testcase
- Thời gian thực hiện: 8h</t>
  </si>
  <si>
    <t xml:space="preserve"> RUN_WEB_2</t>
  </si>
  <si>
    <t xml:space="preserve">Automation test </t>
  </si>
  <si>
    <t>- Mô tả: Thời gian hoàn thành chạy Automation test cho hệ thống web, webservice, tiến trình từ 100 đến 200 testcase
- Thời gian thực hiện: 12h</t>
  </si>
  <si>
    <t>RUN_WEB_3</t>
  </si>
  <si>
    <t>MANTAIN_TC_WEB</t>
  </si>
  <si>
    <t>Sửa testcase auto web</t>
  </si>
  <si>
    <t>- Thực hiện sửa testcase auto theo nghiệp vụ, màn hình thay đổi nâng cấp</t>
  </si>
  <si>
    <t>MAITAIN_TC_MOBILE</t>
  </si>
  <si>
    <t>Sửa testcase auto mobile</t>
  </si>
  <si>
    <t>- Thực hiện sửa testcase auto theo nghiệp vụ, màn hình thay đổi nâng cấp trên mobile</t>
  </si>
  <si>
    <t>CICD02</t>
  </si>
  <si>
    <t>Viết Script cho 1 service lần đầu</t>
  </si>
  <si>
    <t>Viết script triển khai luồng triển khai CI/CD và cấu hình  tích hợp trên jenkins, gitlab cho 1 service lần đầu</t>
  </si>
  <si>
    <t>CICD03</t>
  </si>
  <si>
    <t xml:space="preserve">Viết Script thêm 1 service </t>
  </si>
  <si>
    <t>Viết script triển khai luồng triển khai CI/CD và cấu hình trên jenkins,gitlab khi triển khai thêm 1 service mới.</t>
  </si>
  <si>
    <t>UNITTEST</t>
  </si>
  <si>
    <t>Nỗ lực unit Test</t>
  </si>
  <si>
    <t>PHỤ LỤC 1.2
DANH SÁCH LOẠI CÔNG VIỆC</t>
  </si>
  <si>
    <t>Loại công việc</t>
  </si>
  <si>
    <t>Đầu vào</t>
  </si>
  <si>
    <t>Đầu ra</t>
  </si>
  <si>
    <t>Quản trị dự án bao gồm:
- Xây dựng kế hoạch dự án, kế hoạch thực hiện
- Xây dựng ULNL của dự án
- Xây dựng chuẩn bị biên bản nghiệm thu với khách hàng…</t>
  </si>
  <si>
    <t>- Kế hoạch thực hiện
- ULNL
- Sản phẩm phần mềm
- Biên bản nghiệm thu</t>
  </si>
  <si>
    <t>Cắt style css và html, js</t>
  </si>
  <si>
    <t>Cắt giao diện web</t>
  </si>
  <si>
    <t>File design giao diện</t>
  </si>
  <si>
    <t>- file CSS, HTML, JS</t>
  </si>
  <si>
    <t>Khảo sát</t>
  </si>
  <si>
    <t>Khảo sát yêu cầu khách hàng</t>
  </si>
  <si>
    <t>Xây dựng bảng hỏi, câu hỏi khảo sát. Đây là thông tin đầu vào để xây dựng PTYC</t>
  </si>
  <si>
    <t>PTYC</t>
  </si>
  <si>
    <t>Viết tài liệu Phân tích yêu cầu</t>
  </si>
  <si>
    <t>(QT.00.CNTT.28_BM.01_Phan tich yeu cau)</t>
  </si>
  <si>
    <t>DTYC</t>
  </si>
  <si>
    <t>Viết tài liệu đặc tả yêu cầu</t>
  </si>
  <si>
    <t xml:space="preserve">Xây dựng tài liệu đặc tả yêu cầu </t>
  </si>
  <si>
    <t>TKTT</t>
  </si>
  <si>
    <t>Xây dựng thiết kế, làm tài liệu thiết kế tổng thể</t>
  </si>
  <si>
    <t>Theo biểu mẫu QT.00.CNTT.28_BM.02_Thiet ke tong the.doc của quy trình Agile</t>
  </si>
  <si>
    <t>TKCSDL</t>
  </si>
  <si>
    <t>Làm tài liệu thiết kế cơ sở dữ liệu</t>
  </si>
  <si>
    <t>Theo biểu mẫu QT.00.CNTT.28_BM.03_Thiet ke co so du lieu.doc của quy trình Agile</t>
  </si>
  <si>
    <t>TKCT</t>
  </si>
  <si>
    <t>Làm tài liệu thiết kế chi tiết</t>
  </si>
  <si>
    <t>Theo biểu mẫu QT.00.CNTT.28_BM.04_Thiet ke chi tiet.doc của quy trình Agile</t>
  </si>
  <si>
    <t>Lập trình</t>
  </si>
  <si>
    <t>Viết code</t>
  </si>
  <si>
    <t>Tài liệu TKCT</t>
  </si>
  <si>
    <t>Mã nguồn chương trình
tham khảo tiêu chuẩn mã nguồn trong quy định PL05.QT.00.CNTT.28 Checklist Tieu chuan chat luong ma nguon ung dung Java.pdf</t>
  </si>
  <si>
    <t>Viết code unit test cho chương trình</t>
  </si>
  <si>
    <t>- Source code</t>
  </si>
  <si>
    <t>Xây dựng kịch bản kiểm thử</t>
  </si>
  <si>
    <t>Xây dựng kịch bản kiểm thử chức năng/chương trình</t>
  </si>
  <si>
    <t xml:space="preserve">Mẫu KBKT Common đã gửi </t>
  </si>
  <si>
    <t>Kiểm thử chương trình, kiểm thử ảnh hưởng chức năng</t>
  </si>
  <si>
    <t>Kịch bản kiểm thử</t>
  </si>
  <si>
    <t>Kết quả test trong file KBKT</t>
  </si>
  <si>
    <t>Kịch bản kiểm thử tự động</t>
  </si>
  <si>
    <t>Xây dựng kịch bản kiểm thử tự động chức năng/chương trình</t>
  </si>
  <si>
    <t>File excel Script test tự động</t>
  </si>
  <si>
    <t>Xây dựng HDSD</t>
  </si>
  <si>
    <t>Viết tài liệu hướng dẫn sử dụng</t>
  </si>
  <si>
    <t>Theo biểu mẫu QT.00.CNTT.28_BM.06 Tai lieu Huong dan su dung.doc của quy trình Agile</t>
  </si>
  <si>
    <t>Cấu hình tổng hợp ETL</t>
  </si>
  <si>
    <t>Cấu hình tổng hợp dữ liệu trên ETL</t>
  </si>
  <si>
    <t>File job ETL</t>
  </si>
  <si>
    <t>Design file birt</t>
  </si>
  <si>
    <t>Xây dựng file design báo cáo</t>
  </si>
  <si>
    <t>File Birt design báo cáo</t>
  </si>
  <si>
    <t>Báo cáo kết quả kiểm thử</t>
  </si>
  <si>
    <t>Báo cáo kiểm thử</t>
  </si>
  <si>
    <t>HPTS</t>
  </si>
  <si>
    <t>Xây dựng kịch bản hypothesis test</t>
  </si>
  <si>
    <t>QA</t>
  </si>
  <si>
    <t>Quản lý chất lượng</t>
  </si>
  <si>
    <t>Tham gia review các tài liệu dự án theo quy trình, kiểm soát chất lượng, quy trình dự án</t>
  </si>
  <si>
    <t>Báo cáo chất lượng</t>
  </si>
  <si>
    <t>PHỤ LỤC 1.3
 CỞ SỞ DỮ LIỆU CHỨC NĂNG</t>
  </si>
  <si>
    <t>Nhom cong  viec</t>
  </si>
  <si>
    <t>Tổng nỗ lực thực hiện (mandays)</t>
  </si>
  <si>
    <t>kiểm thử</t>
  </si>
  <si>
    <t>WRITE_TC_WEB_2</t>
  </si>
  <si>
    <t>CN_MOBILE Client2-NC</t>
  </si>
  <si>
    <t>CN_MOBILE Server1-NC</t>
  </si>
  <si>
    <t>CN_MOBILE Server2-NC</t>
  </si>
  <si>
    <t>CN_MOBILE Server3-NC</t>
  </si>
  <si>
    <t>Bằng 30% nỗ lực lập trình</t>
  </si>
  <si>
    <t>PHỤ LỤC 1.4
CƠ SỞ DỮ LIỆU PHI CHỨC NĂNG</t>
  </si>
  <si>
    <t>Đầu việc</t>
  </si>
  <si>
    <t>Pham vi</t>
  </si>
  <si>
    <t>Mô tả công việc</t>
  </si>
  <si>
    <t>Nỗ lực thực hiện (MH)</t>
  </si>
  <si>
    <t xml:space="preserve">Nỗ lực QTDA </t>
  </si>
  <si>
    <t>Hệ thống</t>
  </si>
  <si>
    <t>10% nỗ lực</t>
  </si>
  <si>
    <t>Nỗ lực QA dự án</t>
  </si>
  <si>
    <t>TH</t>
  </si>
  <si>
    <t>Test Tích hợp hệ thống khác</t>
  </si>
  <si>
    <t>Hê thống</t>
  </si>
  <si>
    <t>NT1</t>
  </si>
  <si>
    <t>Nghiệm thu nội bộ</t>
  </si>
  <si>
    <t>NT2</t>
  </si>
  <si>
    <t>Nghiệm thu khách hàng</t>
  </si>
  <si>
    <t>SZ1</t>
  </si>
  <si>
    <t>Sizing có hệ thống tham chiếu có sẵn</t>
  </si>
  <si>
    <t>Tham chiếu theo số module (jvm chạy)
1 - 5 module</t>
  </si>
  <si>
    <t>SZ2</t>
  </si>
  <si>
    <t>Tham chiếu theo số module (jvm chạy):
6-10 module</t>
  </si>
  <si>
    <t>SZ3</t>
  </si>
  <si>
    <t>Tham chiếu theo số module (jvm chạy):
&gt;10 module</t>
  </si>
  <si>
    <t>SZ4</t>
  </si>
  <si>
    <t>Sizing tự test đo trên lab</t>
  </si>
  <si>
    <t>SZ5</t>
  </si>
  <si>
    <t>SZ6</t>
  </si>
  <si>
    <t xml:space="preserve">
Tham chiếu theo số module (jvm chạy):
&gt;10 module</t>
  </si>
  <si>
    <t>UC1</t>
  </si>
  <si>
    <t>Làm các thủ tục upcode và bàn giao trên WO</t>
  </si>
  <si>
    <t>UC2</t>
  </si>
  <si>
    <t>Review và phê duyệt WO upcode</t>
  </si>
  <si>
    <t>Merge code</t>
  </si>
  <si>
    <t>5% nỗ lực coding các chức năng merge</t>
  </si>
  <si>
    <t>Test Merge code</t>
  </si>
  <si>
    <t>20% tổng nỗ lực test các yc merge</t>
  </si>
  <si>
    <t>UC6</t>
  </si>
  <si>
    <t>Release phiên bản trên jenskin và Cập nhật kết quả upcode trên IBM</t>
  </si>
  <si>
    <t>Triển khai trên hạ tầng có sẵn</t>
  </si>
  <si>
    <t>TK2</t>
  </si>
  <si>
    <t>Triển khai mở rộng trên hạ tầng có sẵn</t>
  </si>
  <si>
    <t xml:space="preserve"> Bổ sung 1 -5 server</t>
  </si>
  <si>
    <t>TK3</t>
  </si>
  <si>
    <t>Bổ sung 6-10 server</t>
  </si>
  <si>
    <t>Triển khai hệ thống mới trên hạ tầng mới</t>
  </si>
  <si>
    <t>TK5</t>
  </si>
  <si>
    <t>TK6</t>
  </si>
  <si>
    <t>Bổ sung &gt; 10 server</t>
  </si>
  <si>
    <t>TK7</t>
  </si>
  <si>
    <t>Hồ sơ kỹ thuật</t>
  </si>
  <si>
    <t>TK8</t>
  </si>
  <si>
    <t>Bộ chỉ tiêu kỹ thuật</t>
  </si>
  <si>
    <t>TK9</t>
  </si>
  <si>
    <t>Dựng môi trường test hiệu năng</t>
  </si>
  <si>
    <t>Test hiệu năng</t>
  </si>
  <si>
    <t>Báo cáo và đánh giá hệ thống sau test hiệu năng</t>
  </si>
  <si>
    <t>Đào tạo VHKT</t>
  </si>
  <si>
    <t>Đào tạo Người dùng</t>
  </si>
  <si>
    <t>Đào tạo CSKH</t>
  </si>
  <si>
    <t>Tài liệu HDVH</t>
  </si>
  <si>
    <t>Tài liệu HDKT</t>
  </si>
  <si>
    <t>Tài liệu hướng dẫn cài đặt</t>
  </si>
  <si>
    <t>VH3</t>
  </si>
  <si>
    <t>Rà soát dự phòng</t>
  </si>
  <si>
    <t>VH4</t>
  </si>
  <si>
    <t>Khai báo cảnh báo, giám sát</t>
  </si>
  <si>
    <t>VH5</t>
  </si>
  <si>
    <t>Hỗ trợ phản ánh</t>
  </si>
  <si>
    <t>- Hệ thống đã bàn giao</t>
  </si>
  <si>
    <t>VH6</t>
  </si>
  <si>
    <t>- Hệ thống chưa bàn giao:</t>
  </si>
  <si>
    <t>VH10</t>
  </si>
  <si>
    <t>Rà soát các phản ánh người dùng để chủ động tối ưu</t>
  </si>
  <si>
    <t>RV1</t>
  </si>
  <si>
    <t>Review tài liệu giải pháp</t>
  </si>
  <si>
    <t>RV2</t>
  </si>
  <si>
    <t>Review code</t>
  </si>
  <si>
    <t>NC01</t>
  </si>
  <si>
    <t>Nghiên cứu, tìm hiểu công nghệ mới khi tích hợp</t>
  </si>
  <si>
    <t>Khi các chức năng trên hệ thống có tích hợp với hệ thống bên ngoài cần phải tìm hiểu các lib, sdk công nghệ mà đối  tác cung cấp.</t>
  </si>
  <si>
    <t>DTNB01</t>
  </si>
  <si>
    <t>Chuẩn bị nội dung đào tạo,Xây dựng kế hoạch đào tạo</t>
  </si>
  <si>
    <t>DTNB02</t>
  </si>
  <si>
    <t>Tham gia đào tạo</t>
  </si>
  <si>
    <t>Họp dự án/ họp thống nhất giải pháp/Họp triển khai …</t>
  </si>
  <si>
    <t>BOT_KB_PTM</t>
  </si>
  <si>
    <t>Xây dựng kịch bản mới</t>
  </si>
  <si>
    <t>BOT_KB_NC_1</t>
  </si>
  <si>
    <t>Chỉnh sửa, bổ sung kịch bản theo thực tế</t>
  </si>
  <si>
    <t>BOT_KB_NC_2</t>
  </si>
  <si>
    <t>Tái cấu trúc kịch bản (trải phẳng)</t>
  </si>
  <si>
    <t>BOT_DB</t>
  </si>
  <si>
    <t>Tái cấu trúc dữ liệu gói cước theo dạng cha con</t>
  </si>
  <si>
    <t>BOT_CM</t>
  </si>
  <si>
    <t>Xây dựng và khai báo bộ câu hỏi mẫu</t>
  </si>
  <si>
    <t>BOT_RS</t>
  </si>
  <si>
    <t>Rà soát log chat và điều chỉnh hệ thống</t>
  </si>
  <si>
    <t>BOT_HDDT</t>
  </si>
  <si>
    <t>Hướng dẫn, đào tạo hỗ trợ CSKH onsite</t>
  </si>
  <si>
    <t>PHỤ LỤC 1.5
CƠ SỞ DỮ LIỆU TIÊU CHUẨN QUẢN TRỊ DỮ LIỆU</t>
  </si>
  <si>
    <t>CDE</t>
  </si>
  <si>
    <t xml:space="preserve">Xây dựng các nội dung về CDE trên hệ thống. </t>
  </si>
  <si>
    <t>METADATA</t>
  </si>
  <si>
    <t>Xây dựng thông tin trên Kho siêu dữ liệu cho 1 CDE (UL thực tế nhân theo số lượng CDE)</t>
  </si>
  <si>
    <t>METADATA_EXP</t>
  </si>
  <si>
    <t>VD: Hệ thống/Module có 10 CDE</t>
  </si>
  <si>
    <t>CLDL</t>
  </si>
  <si>
    <t>Xây dựng rule CLDL cho 100 luật (UL thực tế nhân theo block 100 luật)</t>
  </si>
  <si>
    <t>CLDL_EXP</t>
  </si>
  <si>
    <t>VD: Hệ thống/Module có 180 luật</t>
  </si>
  <si>
    <t>CLDL_INTER</t>
  </si>
  <si>
    <t>Khai báo và test rule CLDL cho 100 luật (UL thực tế nhân theo block 100 luật)</t>
  </si>
  <si>
    <t>CLDL_INTER_EXP</t>
  </si>
  <si>
    <t>BMDL</t>
  </si>
  <si>
    <t>Phân cấp danh mục dữ liệu, cấp độ dữ liệu, phân quyền dữ liệu cho 1 CDE (UL thực tế nhân theo số lượng CDE)</t>
  </si>
  <si>
    <t>BMDL_EXP</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</si>
  <si>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</si>
  <si>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</si>
  <si>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</si>
  <si>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</si>
  <si>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</si>
  <si>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</si>
  <si>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</si>
  <si>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</si>
  <si>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</si>
  <si>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</si>
  <si>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</si>
  <si>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</si>
  <si>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</si>
  <si>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</si>
  <si>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</si>
  <si>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</si>
  <si>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(Chức năng và phi chức năng)</t>
  </si>
  <si>
    <t>2. Bảng hướng dẫn thời điểm thực hiện ước lượng và tài liệu đầu vào cho các lần ước lượng</t>
  </si>
  <si>
    <t xml:space="preserve">       Lần
Quy
    trình</t>
  </si>
  <si>
    <t xml:space="preserve">Lần 1 </t>
  </si>
  <si>
    <t>Lần cuối ( Tùy chọn)</t>
  </si>
  <si>
    <t>Thời điểm thực hiện</t>
  </si>
  <si>
    <t>Tài liệu đầu vào</t>
  </si>
  <si>
    <t>Biểu mẫu thực hiện</t>
  </si>
  <si>
    <t>- Trong giai đoạn Khảo sát sơ bộ, chốt xong kế hoạch kế hoạch thực hiện với khách hàng.
- Tài liệu ULNL đảm bảo hoàn thành trước khi chốt kế hoạch với khách hàng..</t>
  </si>
  <si>
    <t>Khảo sát sơ bộ</t>
  </si>
  <si>
    <t>Biểu mẫu ước lượng nỗ lực.</t>
  </si>
  <si>
    <t xml:space="preserve">- Trong giai đoạn Phát triển, sau khi tài liệu Thiết kế chi tiết được phê duyệt.  
</t>
  </si>
  <si>
    <t>Thiết kế chi tiết, Thiết kế cơ sở dữ liệu</t>
  </si>
  <si>
    <t>Biểu mẫu ước lượng nỗ lực</t>
  </si>
  <si>
    <t xml:space="preserve"> </t>
  </si>
  <si>
    <t>3. Chi tiết các bước thực hiện ước lượng nỗ lực thực hiện phần mềm</t>
  </si>
  <si>
    <t xml:space="preserve">Bước 1 </t>
  </si>
  <si>
    <t>Xác định dự án thực hiện trên công nghệ Java, WEB, Mobile…</t>
  </si>
  <si>
    <t>Bước 2</t>
  </si>
  <si>
    <r>
      <rPr>
        <sz val="12"/>
        <rFont val="Times New Roman"/>
        <charset val="134"/>
      </rPr>
      <t xml:space="preserve">- Liệt kê các chức năng của hệ thống vào sheet NL Chuc nang </t>
    </r>
    <r>
      <rPr>
        <sz val="12"/>
        <color indexed="10"/>
        <rFont val="Times New Roman"/>
        <charset val="134"/>
      </rPr>
      <t>tại cột "Tên chức năng" và cột "Mô tả chức năng"</t>
    </r>
    <r>
      <rPr>
        <sz val="12"/>
        <rFont val="Times New Roman"/>
        <charset val="134"/>
      </rPr>
      <t xml:space="preserve">
</t>
    </r>
  </si>
  <si>
    <t>Bước 3</t>
  </si>
  <si>
    <r>
      <rPr>
        <sz val="12"/>
        <color rgb="FFFF0000"/>
        <rFont val="Times New Roman"/>
        <charset val="134"/>
      </rP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charset val="134"/>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</si>
  <si>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</si>
  <si>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rPr>
        <sz val="12"/>
        <rFont val="Times New Roman"/>
        <charset val="134"/>
      </rPr>
      <t xml:space="preserve">Căn cứ vào CSDL phi chức năng liệt kê các yêu cầu phi chức </t>
    </r>
    <r>
      <rPr>
        <sz val="12"/>
        <color indexed="10"/>
        <rFont val="Times New Roman"/>
        <charset val="134"/>
      </rPr>
      <t xml:space="preserve">năng cần thực hiện vào sheet NL phi chức năng.
</t>
    </r>
    <r>
      <rPr>
        <i/>
        <sz val="12"/>
        <color indexed="10"/>
        <rFont val="Times New Roman"/>
        <charset val="134"/>
      </rPr>
      <t>Ghi chú: Trong quá trình thực hiện cho phép điều chỉnh nguồn lực sai số +/- 10%</t>
    </r>
  </si>
  <si>
    <t>Bước 5</t>
  </si>
  <si>
    <r>
      <rPr>
        <sz val="12"/>
        <color indexed="10"/>
        <rFont val="Times New Roman"/>
        <charset val="134"/>
      </rPr>
      <t xml:space="preserve">Thực hiện vào sheet NL QTDL.
</t>
    </r>
    <r>
      <rPr>
        <i/>
        <sz val="12"/>
        <color indexed="10"/>
        <rFont val="Times New Roman"/>
        <charset val="134"/>
      </rPr>
      <t>Ghi chú: Trong quá trình thực hiện cho phép điều chỉnh nguồn lực sai số +/- 10%</t>
    </r>
  </si>
  <si>
    <t>Bước 6</t>
  </si>
  <si>
    <t>Dữ liệu sẽ tự tính toán hiện thị tại sheet "Tổng hơp". Dự án muốn hiện chi tiết dữ liệu nào có thể tự điều chỉnh để hiển thị.</t>
  </si>
  <si>
    <t>HƯỚNG DẪN ƯỚC LƯỢNG NỖ LỰC TÁI SỬ DỤNG  PHẦN MỀM</t>
  </si>
  <si>
    <r>
      <rPr>
        <b/>
        <i/>
        <sz val="14"/>
        <rFont val="Times New Roman"/>
        <charset val="134"/>
      </rPr>
      <t xml:space="preserve">1. Mục đích, cách thức: </t>
    </r>
    <r>
      <rPr>
        <i/>
        <sz val="14"/>
        <rFont val="Times New Roman"/>
        <charset val="134"/>
      </rPr>
      <t>Đánh giá khả năng tái sử dụng của hệ thống để đưa ra ULNL chuẩn.</t>
    </r>
  </si>
  <si>
    <t>2. Bảng hướng dẫn thời điểm thực hiện đánh giá khả năng tái sử dụng</t>
  </si>
  <si>
    <t xml:space="preserve">Trong giai đoạn Khảo sát sơ bộ, tìm hiểu yêu cầu kĩ thuật, nghiệp vụ của hệ thống
</t>
  </si>
  <si>
    <t>Tài liệu kỹ thuật, nghiệp vụ của hệ thống</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</si>
  <si>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</si>
  <si>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</si>
  <si>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</si>
  <si>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</si>
  <si>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</si>
  <si>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</si>
  <si>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</si>
  <si>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tạo PTYC</t>
  </si>
  <si>
    <t>viết Unit test</t>
  </si>
  <si>
    <t>viết kịch bản kiểm thử</t>
  </si>
  <si>
    <t>viết HDSD</t>
  </si>
  <si>
    <t>viết kịch bản kiểm thử tự động</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</si>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</sst>
</file>

<file path=xl/styles.xml><?xml version="1.0" encoding="utf-8"?>
<styleSheet xmlns="http://schemas.openxmlformats.org/spreadsheetml/2006/main">
  <numFmts count="16">
    <numFmt numFmtId="176" formatCode="_-&quot;$&quot;* #,##0_-;\-&quot;$&quot;* #,##0_-;_-&quot;$&quot;* &quot;-&quot;_-;_-@_-"/>
    <numFmt numFmtId="177" formatCode="0.0%"/>
    <numFmt numFmtId="178" formatCode="&quot;$&quot;#,##0\ ;\(&quot;$&quot;#,##0\)"/>
    <numFmt numFmtId="179" formatCode="&quot;￥&quot;#,##0;&quot;￥&quot;\-#,##0"/>
    <numFmt numFmtId="180" formatCode="[$-409]d\-mmm\-yy;@"/>
    <numFmt numFmtId="181" formatCode="0.0"/>
    <numFmt numFmtId="182" formatCode="#,##0\ &quot;DM&quot;;\-#,##0\ &quot;DM&quot;"/>
    <numFmt numFmtId="183" formatCode="_ * #,##0_ ;_ * \-#,##0_ ;_ * &quot;-&quot;_ ;_ @_ "/>
    <numFmt numFmtId="184" formatCode="_-&quot;$&quot;* #,##0.00_-;\-&quot;$&quot;* #,##0.00_-;_-&quot;$&quot;* &quot;-&quot;??_-;_-@_-"/>
    <numFmt numFmtId="185" formatCode="0.000%"/>
    <numFmt numFmtId="42" formatCode="_(&quot;$&quot;* #,##0_);_(&quot;$&quot;* \(#,##0\);_(&quot;$&quot;* &quot;-&quot;_);_(@_)"/>
    <numFmt numFmtId="186" formatCode="_-* #,##0.00_-;\-* #,##0.00_-;_-* &quot;-&quot;??_-;_-@_-"/>
    <numFmt numFmtId="187" formatCode="00.000"/>
    <numFmt numFmtId="44" formatCode="_(&quot;$&quot;* #,##0.00_);_(&quot;$&quot;* \(#,##0.00\);_(&quot;$&quot;* &quot;-&quot;??_);_(@_)"/>
    <numFmt numFmtId="188" formatCode="_ * #,##0.00_ ;_ * \-#,##0.00_ ;_ * &quot;-&quot;??_ ;_ @_ "/>
    <numFmt numFmtId="189" formatCode="_-* #,##0_-;\-* #,##0_-;_-* &quot;-&quot;_-;_-@_-"/>
  </numFmts>
  <fonts count="97">
    <font>
      <sz val="10"/>
      <name val="Arial"/>
      <charset val="134"/>
    </font>
    <font>
      <sz val="12"/>
      <name val="Times New Roman"/>
      <charset val="134"/>
    </font>
    <font>
      <b/>
      <i/>
      <sz val="10"/>
      <name val="Arial"/>
      <charset val="134"/>
    </font>
    <font>
      <sz val="10"/>
      <color rgb="FFFF0000"/>
      <name val="Arial"/>
      <charset val="134"/>
    </font>
    <font>
      <b/>
      <sz val="15"/>
      <color theme="1"/>
      <name val="Times New Roman"/>
      <charset val="134"/>
    </font>
    <font>
      <b/>
      <sz val="12"/>
      <name val="Times New Roman"/>
      <charset val="134"/>
    </font>
    <font>
      <sz val="12"/>
      <color theme="1"/>
      <name val="Times New Roman"/>
      <charset val="134"/>
    </font>
    <font>
      <sz val="12"/>
      <color rgb="FF000000"/>
      <name val="Times New Roman"/>
      <charset val="134"/>
    </font>
    <font>
      <b/>
      <sz val="10"/>
      <name val="Arial"/>
      <charset val="134"/>
    </font>
    <font>
      <b/>
      <sz val="12.5"/>
      <color theme="1"/>
      <name val="Times New Roman"/>
      <charset val="134"/>
    </font>
    <font>
      <b/>
      <sz val="12"/>
      <color theme="1"/>
      <name val="Times New Roman"/>
      <charset val="134"/>
    </font>
    <font>
      <sz val="10"/>
      <name val="Times New Roman"/>
      <charset val="134"/>
    </font>
    <font>
      <sz val="13"/>
      <name val="Times New Roman"/>
      <charset val="134"/>
    </font>
    <font>
      <b/>
      <sz val="16"/>
      <name val="Times New Roman"/>
      <charset val="134"/>
    </font>
    <font>
      <b/>
      <i/>
      <sz val="14"/>
      <name val="Times New Roman"/>
      <charset val="134"/>
    </font>
    <font>
      <i/>
      <sz val="12"/>
      <color rgb="FF0000CC"/>
      <name val="Times New Roman"/>
      <charset val="134"/>
    </font>
    <font>
      <b/>
      <sz val="13"/>
      <name val="Times New Roman"/>
      <charset val="134"/>
    </font>
    <font>
      <u/>
      <sz val="12"/>
      <name val="Times New Roman"/>
      <charset val="134"/>
    </font>
    <font>
      <sz val="12"/>
      <color rgb="FFFF0000"/>
      <name val="Times New Roman"/>
      <charset val="134"/>
    </font>
    <font>
      <sz val="12"/>
      <color indexed="10"/>
      <name val="Times New Roman"/>
      <charset val="134"/>
    </font>
    <font>
      <b/>
      <i/>
      <sz val="12"/>
      <name val="Times New Roman"/>
      <charset val="134"/>
    </font>
    <font>
      <i/>
      <sz val="12"/>
      <name val="Times New Roman"/>
      <charset val="134"/>
    </font>
    <font>
      <b/>
      <i/>
      <sz val="15"/>
      <name val="Times New Roman"/>
      <charset val="134"/>
    </font>
    <font>
      <b/>
      <i/>
      <sz val="15"/>
      <color rgb="FF0000FF"/>
      <name val="Times New Roman"/>
      <charset val="134"/>
    </font>
    <font>
      <sz val="10"/>
      <color theme="1"/>
      <name val="Arial"/>
      <charset val="134"/>
    </font>
    <font>
      <i/>
      <sz val="12"/>
      <color rgb="FFFF0000"/>
      <name val="Times New Roman"/>
      <charset val="134"/>
    </font>
    <font>
      <i/>
      <sz val="10"/>
      <color rgb="FFFF0000"/>
      <name val="Arial"/>
      <charset val="134"/>
    </font>
    <font>
      <b/>
      <sz val="14"/>
      <name val="Times New Roman"/>
      <charset val="134"/>
    </font>
    <font>
      <sz val="12"/>
      <color rgb="FF000099"/>
      <name val="Times New Roman"/>
      <charset val="134"/>
    </font>
    <font>
      <sz val="14"/>
      <name val="Times New Roman"/>
      <charset val="134"/>
    </font>
    <font>
      <sz val="11"/>
      <color theme="1"/>
      <name val="Times New Roman"/>
      <charset val="134"/>
    </font>
    <font>
      <sz val="11"/>
      <name val="Times New Roman"/>
      <charset val="134"/>
    </font>
    <font>
      <b/>
      <sz val="11"/>
      <color theme="1"/>
      <name val="Times New Roman"/>
      <charset val="134"/>
    </font>
    <font>
      <sz val="12"/>
      <color rgb="FF0033CC"/>
      <name val="Times New Roman"/>
      <charset val="134"/>
    </font>
    <font>
      <b/>
      <sz val="16"/>
      <color indexed="12"/>
      <name val="Times New Roman"/>
      <charset val="134"/>
    </font>
    <font>
      <i/>
      <sz val="11"/>
      <color indexed="12"/>
      <name val="Times New Roman"/>
      <charset val="134"/>
    </font>
    <font>
      <b/>
      <sz val="12"/>
      <color rgb="FFFF0000"/>
      <name val="Times New Roman"/>
      <charset val="134"/>
    </font>
    <font>
      <b/>
      <sz val="12"/>
      <color rgb="FF0033CC"/>
      <name val="Times New Roman"/>
      <charset val="134"/>
    </font>
    <font>
      <b/>
      <sz val="14"/>
      <color indexed="12"/>
      <name val="Times New Roman"/>
      <charset val="134"/>
    </font>
    <font>
      <b/>
      <sz val="15"/>
      <color rgb="FFFF0000"/>
      <name val="Times New Roman"/>
      <charset val="134"/>
    </font>
    <font>
      <sz val="15"/>
      <color theme="1"/>
      <name val="Times New Roman"/>
      <charset val="134"/>
    </font>
    <font>
      <sz val="12"/>
      <color rgb="FFCCFFCC"/>
      <name val="Times New Roman"/>
      <charset val="134"/>
    </font>
    <font>
      <b/>
      <i/>
      <sz val="12"/>
      <color rgb="FFFF0000"/>
      <name val="Times New Roman"/>
      <charset val="134"/>
    </font>
    <font>
      <b/>
      <sz val="13"/>
      <color theme="1"/>
      <name val="Times New Roman"/>
      <charset val="134"/>
    </font>
    <font>
      <sz val="10"/>
      <color theme="1"/>
      <name val="Times New Roman"/>
      <charset val="134"/>
    </font>
    <font>
      <i/>
      <sz val="11"/>
      <name val="Times New Roman"/>
      <charset val="134"/>
    </font>
    <font>
      <sz val="12.5"/>
      <color theme="1"/>
      <name val="Times New Roman"/>
      <charset val="134"/>
    </font>
    <font>
      <b/>
      <sz val="14"/>
      <color rgb="FF0033CC"/>
      <name val="Times New Roman"/>
      <charset val="134"/>
    </font>
    <font>
      <sz val="13"/>
      <color rgb="FF000000"/>
      <name val="Times New Roman"/>
      <charset val="134"/>
    </font>
    <font>
      <sz val="12.5"/>
      <name val="Times New Roman"/>
      <charset val="134"/>
    </font>
    <font>
      <b/>
      <i/>
      <sz val="16"/>
      <color rgb="FF0000FF"/>
      <name val="Times New Roman"/>
      <charset val="134"/>
    </font>
    <font>
      <i/>
      <sz val="12"/>
      <color indexed="12"/>
      <name val="Times New Roman"/>
      <charset val="134"/>
    </font>
    <font>
      <b/>
      <sz val="12"/>
      <color indexed="16"/>
      <name val="Times New Roman"/>
      <charset val="134"/>
    </font>
    <font>
      <b/>
      <sz val="15"/>
      <name val="Times New Roman"/>
      <charset val="134"/>
    </font>
    <font>
      <b/>
      <sz val="16"/>
      <color rgb="FF0000FF"/>
      <name val="Times New Roman"/>
      <charset val="134"/>
    </font>
    <font>
      <sz val="18"/>
      <name val="Times New Roman"/>
      <charset val="134"/>
    </font>
    <font>
      <b/>
      <sz val="24"/>
      <name val="Times New Roman"/>
      <charset val="134"/>
    </font>
    <font>
      <b/>
      <sz val="22"/>
      <name val="Times New Roman"/>
      <charset val="134"/>
    </font>
    <font>
      <u/>
      <sz val="10"/>
      <color indexed="12"/>
      <name val="Arial"/>
      <charset val="134"/>
    </font>
    <font>
      <sz val="11"/>
      <color theme="0"/>
      <name val="Calibri"/>
      <charset val="0"/>
      <scheme val="minor"/>
    </font>
    <font>
      <sz val="11"/>
      <color theme="1"/>
      <name val="Calibri"/>
      <charset val="134"/>
      <scheme val="minor"/>
    </font>
    <font>
      <sz val="12"/>
      <name val="新細明體"/>
      <charset val="136"/>
    </font>
    <font>
      <sz val="11"/>
      <color theme="1"/>
      <name val="Calibri"/>
      <charset val="0"/>
      <scheme val="minor"/>
    </font>
    <font>
      <b/>
      <sz val="15"/>
      <color theme="3"/>
      <name val="Calibri"/>
      <charset val="134"/>
      <scheme val="minor"/>
    </font>
    <font>
      <b/>
      <sz val="12"/>
      <name val="Arial"/>
      <charset val="134"/>
    </font>
    <font>
      <b/>
      <sz val="11"/>
      <color theme="3"/>
      <name val="Calibri"/>
      <charset val="134"/>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sz val="12"/>
      <name val="바탕체"/>
      <charset val="134"/>
    </font>
    <font>
      <sz val="11"/>
      <color rgb="FF9C6500"/>
      <name val="Calibri"/>
      <charset val="0"/>
      <scheme val="minor"/>
    </font>
    <font>
      <sz val="11"/>
      <name val="돋움"/>
      <charset val="134"/>
    </font>
    <font>
      <sz val="10"/>
      <name val="굴림체"/>
      <charset val="134"/>
    </font>
    <font>
      <sz val="14"/>
      <name val="뼻뮝"/>
      <charset val="134"/>
    </font>
    <font>
      <b/>
      <sz val="11"/>
      <color rgb="FFFFFFFF"/>
      <name val="Calibri"/>
      <charset val="0"/>
      <scheme val="minor"/>
    </font>
    <font>
      <sz val="11"/>
      <color rgb="FF006100"/>
      <name val="Calibri"/>
      <charset val="0"/>
      <scheme val="minor"/>
    </font>
    <font>
      <u/>
      <sz val="10"/>
      <color theme="10"/>
      <name val="Arial"/>
      <charset val="134"/>
    </font>
    <font>
      <b/>
      <sz val="13"/>
      <color theme="3"/>
      <name val="Calibri"/>
      <charset val="134"/>
      <scheme val="minor"/>
    </font>
    <font>
      <u/>
      <sz val="11"/>
      <color rgb="FF800080"/>
      <name val="Calibri"/>
      <charset val="0"/>
      <scheme val="minor"/>
    </font>
    <font>
      <sz val="11"/>
      <color rgb="FFFA7D00"/>
      <name val="Calibri"/>
      <charset val="0"/>
      <scheme val="minor"/>
    </font>
    <font>
      <sz val="10"/>
      <name val="Arial"/>
      <charset val="163"/>
    </font>
    <font>
      <i/>
      <sz val="11"/>
      <color rgb="FF7F7F7F"/>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
      <sz val="12"/>
      <name val="뼻뮝"/>
      <charset val="134"/>
    </font>
    <font>
      <sz val="9"/>
      <name val="ＭＳ ゴシック"/>
      <charset val="128"/>
    </font>
    <font>
      <i/>
      <sz val="14"/>
      <name val="Times New Roman"/>
      <charset val="134"/>
    </font>
    <font>
      <i/>
      <sz val="12"/>
      <color indexed="10"/>
      <name val="Times New Roman"/>
      <charset val="134"/>
    </font>
    <font>
      <sz val="10"/>
      <color indexed="8"/>
      <name val="Times New Roman"/>
      <charset val="134"/>
    </font>
    <font>
      <sz val="15"/>
      <color indexed="8"/>
      <name val="Times New Roman"/>
      <charset val="134"/>
    </font>
    <font>
      <b/>
      <sz val="15"/>
      <color indexed="8"/>
      <name val="Times New Roman"/>
      <charset val="134"/>
    </font>
    <font>
      <sz val="8"/>
      <name val="Tahoma"/>
      <charset val="134"/>
    </font>
    <font>
      <sz val="9"/>
      <name val="Tahoma"/>
      <charset val="134"/>
    </font>
    <font>
      <b/>
      <sz val="8"/>
      <name val="Tahoma"/>
      <charset val="134"/>
    </font>
    <font>
      <b/>
      <sz val="9"/>
      <name val="Tahoma"/>
      <charset val="134"/>
    </font>
  </fonts>
  <fills count="41">
    <fill>
      <patternFill patternType="none"/>
    </fill>
    <fill>
      <patternFill patternType="gray125"/>
    </fill>
    <fill>
      <patternFill patternType="solid">
        <fgColor indexed="42"/>
        <bgColor indexed="64"/>
      </patternFill>
    </fill>
    <fill>
      <patternFill patternType="solid">
        <fgColor theme="0" tint="-0.149998474074526"/>
        <bgColor indexed="64"/>
      </patternFill>
    </fill>
    <fill>
      <patternFill patternType="solid">
        <fgColor rgb="FFFFFF00"/>
        <bgColor indexed="64"/>
      </patternFill>
    </fill>
    <fill>
      <patternFill patternType="solid">
        <fgColor indexed="9"/>
        <bgColor indexed="64"/>
      </patternFill>
    </fill>
    <fill>
      <patternFill patternType="solid">
        <fgColor rgb="FFCCFFCC"/>
        <bgColor indexed="64"/>
      </patternFill>
    </fill>
    <fill>
      <patternFill patternType="solid">
        <fgColor theme="0"/>
        <bgColor indexed="64"/>
      </patternFill>
    </fill>
    <fill>
      <patternFill patternType="solid">
        <fgColor theme="4" tint="0.599993896298105"/>
        <bgColor indexed="64"/>
      </patternFill>
    </fill>
    <fill>
      <patternFill patternType="solid">
        <fgColor theme="9" tint="-0.249977111117893"/>
        <bgColor indexed="64"/>
      </patternFill>
    </fill>
    <fill>
      <patternFill patternType="solid">
        <fgColor theme="3"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bgColor indexed="64"/>
      </patternFill>
    </fill>
  </fills>
  <borders count="24">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diagonalDown="1">
      <left style="thin">
        <color auto="1"/>
      </left>
      <right style="thin">
        <color auto="1"/>
      </right>
      <top style="thin">
        <color auto="1"/>
      </top>
      <bottom/>
      <diagonal style="thin">
        <color auto="1"/>
      </diagonal>
    </border>
    <border diagonalDown="1">
      <left style="thin">
        <color auto="1"/>
      </left>
      <right style="thin">
        <color auto="1"/>
      </right>
      <top/>
      <bottom style="thin">
        <color auto="1"/>
      </bottom>
      <diagonal style="thin">
        <color auto="1"/>
      </diagonal>
    </border>
    <border>
      <left/>
      <right/>
      <top style="thin">
        <color auto="1"/>
      </top>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style="medium">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85">
    <xf numFmtId="0" fontId="0" fillId="0" borderId="0"/>
    <xf numFmtId="0" fontId="87" fillId="0" borderId="0"/>
    <xf numFmtId="186" fontId="61" fillId="0" borderId="0" applyFont="0" applyFill="0" applyBorder="0" applyAlignment="0" applyProtection="0"/>
    <xf numFmtId="189" fontId="61" fillId="0" borderId="0" applyFont="0" applyFill="0" applyBorder="0" applyAlignment="0" applyProtection="0"/>
    <xf numFmtId="0" fontId="73" fillId="0" borderId="0"/>
    <xf numFmtId="187" fontId="72" fillId="0" borderId="0" applyFont="0" applyFill="0" applyBorder="0" applyAlignment="0" applyProtection="0"/>
    <xf numFmtId="179" fontId="72" fillId="0" borderId="0" applyFont="0" applyFill="0" applyBorder="0" applyAlignment="0" applyProtection="0"/>
    <xf numFmtId="182" fontId="72" fillId="0" borderId="0" applyFont="0" applyFill="0" applyBorder="0" applyAlignment="0" applyProtection="0"/>
    <xf numFmtId="0" fontId="86" fillId="0" borderId="0"/>
    <xf numFmtId="0" fontId="74" fillId="0" borderId="0" applyFont="0" applyFill="0" applyBorder="0" applyAlignment="0" applyProtection="0"/>
    <xf numFmtId="40" fontId="74" fillId="0" borderId="0" applyFont="0" applyFill="0" applyBorder="0" applyAlignment="0" applyProtection="0"/>
    <xf numFmtId="9" fontId="0" fillId="0" borderId="0" applyFont="0" applyFill="0" applyBorder="0" applyAlignment="0" applyProtection="0"/>
    <xf numFmtId="9" fontId="81" fillId="0" borderId="0" applyFont="0" applyFill="0" applyBorder="0" applyAlignment="0" applyProtection="0"/>
    <xf numFmtId="9" fontId="0" fillId="0" borderId="0" applyFont="0" applyFill="0" applyBorder="0" applyAlignment="0" applyProtection="0"/>
    <xf numFmtId="0" fontId="0" fillId="0" borderId="0"/>
    <xf numFmtId="0" fontId="60" fillId="0" borderId="0"/>
    <xf numFmtId="0" fontId="60" fillId="0" borderId="0"/>
    <xf numFmtId="0" fontId="0" fillId="0" borderId="0"/>
    <xf numFmtId="0" fontId="77" fillId="0" borderId="0" applyNumberFormat="0" applyFill="0" applyBorder="0" applyAlignment="0" applyProtection="0">
      <alignment vertical="top"/>
      <protection locked="0"/>
    </xf>
    <xf numFmtId="0" fontId="64" fillId="0" borderId="21" applyNumberFormat="0" applyAlignment="0" applyProtection="0">
      <alignment horizontal="left" vertical="center"/>
    </xf>
    <xf numFmtId="178" fontId="0" fillId="0" borderId="0" applyFont="0" applyFill="0" applyBorder="0" applyAlignment="0" applyProtection="0"/>
    <xf numFmtId="2" fontId="0" fillId="0" borderId="0" applyFont="0" applyFill="0" applyBorder="0" applyAlignment="0" applyProtection="0"/>
    <xf numFmtId="3" fontId="0" fillId="0" borderId="0" applyFont="0" applyFill="0" applyBorder="0" applyAlignment="0" applyProtection="0"/>
    <xf numFmtId="0" fontId="59" fillId="27" borderId="0" applyNumberFormat="0" applyBorder="0" applyAlignment="0" applyProtection="0">
      <alignment vertical="center"/>
    </xf>
    <xf numFmtId="0" fontId="62" fillId="36" borderId="0" applyNumberFormat="0" applyBorder="0" applyAlignment="0" applyProtection="0">
      <alignment vertical="center"/>
    </xf>
    <xf numFmtId="0" fontId="59" fillId="33" borderId="0" applyNumberFormat="0" applyBorder="0" applyAlignment="0" applyProtection="0">
      <alignment vertical="center"/>
    </xf>
    <xf numFmtId="0" fontId="59" fillId="26" borderId="0" applyNumberFormat="0" applyBorder="0" applyAlignment="0" applyProtection="0">
      <alignment vertical="center"/>
    </xf>
    <xf numFmtId="0" fontId="0" fillId="0" borderId="0" applyFont="0" applyFill="0" applyBorder="0" applyAlignment="0" applyProtection="0"/>
    <xf numFmtId="0" fontId="62" fillId="29" borderId="0" applyNumberFormat="0" applyBorder="0" applyAlignment="0" applyProtection="0">
      <alignment vertical="center"/>
    </xf>
    <xf numFmtId="0" fontId="62" fillId="38" borderId="0" applyNumberFormat="0" applyBorder="0" applyAlignment="0" applyProtection="0">
      <alignment vertical="center"/>
    </xf>
    <xf numFmtId="0" fontId="59" fillId="24" borderId="0" applyNumberFormat="0" applyBorder="0" applyAlignment="0" applyProtection="0">
      <alignment vertical="center"/>
    </xf>
    <xf numFmtId="185" fontId="72" fillId="0" borderId="0" applyFont="0" applyFill="0" applyBorder="0" applyAlignment="0" applyProtection="0"/>
    <xf numFmtId="0" fontId="59" fillId="22" borderId="0" applyNumberFormat="0" applyBorder="0" applyAlignment="0" applyProtection="0">
      <alignment vertical="center"/>
    </xf>
    <xf numFmtId="0" fontId="62" fillId="21" borderId="0" applyNumberFormat="0" applyBorder="0" applyAlignment="0" applyProtection="0">
      <alignment vertical="center"/>
    </xf>
    <xf numFmtId="0" fontId="59" fillId="40" borderId="0" applyNumberFormat="0" applyBorder="0" applyAlignment="0" applyProtection="0">
      <alignment vertical="center"/>
    </xf>
    <xf numFmtId="0" fontId="80" fillId="0" borderId="22" applyNumberFormat="0" applyFill="0" applyAlignment="0" applyProtection="0">
      <alignment vertical="center"/>
    </xf>
    <xf numFmtId="0" fontId="62" fillId="20" borderId="0" applyNumberFormat="0" applyBorder="0" applyAlignment="0" applyProtection="0">
      <alignment vertical="center"/>
    </xf>
    <xf numFmtId="0" fontId="59" fillId="34" borderId="0" applyNumberFormat="0" applyBorder="0" applyAlignment="0" applyProtection="0">
      <alignment vertical="center"/>
    </xf>
    <xf numFmtId="0" fontId="59" fillId="23" borderId="0" applyNumberFormat="0" applyBorder="0" applyAlignment="0" applyProtection="0">
      <alignment vertical="center"/>
    </xf>
    <xf numFmtId="0" fontId="62" fillId="11" borderId="0" applyNumberFormat="0" applyBorder="0" applyAlignment="0" applyProtection="0">
      <alignment vertical="center"/>
    </xf>
    <xf numFmtId="0" fontId="0" fillId="0" borderId="0"/>
    <xf numFmtId="0" fontId="62" fillId="32" borderId="0" applyNumberFormat="0" applyBorder="0" applyAlignment="0" applyProtection="0">
      <alignment vertical="center"/>
    </xf>
    <xf numFmtId="0" fontId="59" fillId="30" borderId="0" applyNumberFormat="0" applyBorder="0" applyAlignment="0" applyProtection="0">
      <alignment vertical="center"/>
    </xf>
    <xf numFmtId="38" fontId="74" fillId="0" borderId="0" applyFont="0" applyFill="0" applyBorder="0" applyAlignment="0" applyProtection="0"/>
    <xf numFmtId="0" fontId="62" fillId="8" borderId="0" applyNumberFormat="0" applyBorder="0" applyAlignment="0" applyProtection="0">
      <alignment vertical="center"/>
    </xf>
    <xf numFmtId="0" fontId="0" fillId="0" borderId="0"/>
    <xf numFmtId="0" fontId="62" fillId="35" borderId="0" applyNumberFormat="0" applyBorder="0" applyAlignment="0" applyProtection="0">
      <alignment vertical="center"/>
    </xf>
    <xf numFmtId="0" fontId="59" fillId="18" borderId="0" applyNumberFormat="0" applyBorder="0" applyAlignment="0" applyProtection="0">
      <alignment vertical="center"/>
    </xf>
    <xf numFmtId="0" fontId="71" fillId="17" borderId="0" applyNumberFormat="0" applyBorder="0" applyAlignment="0" applyProtection="0">
      <alignment vertical="center"/>
    </xf>
    <xf numFmtId="184" fontId="61" fillId="0" borderId="0" applyFont="0" applyFill="0" applyBorder="0" applyAlignment="0" applyProtection="0"/>
    <xf numFmtId="9" fontId="70" fillId="0" borderId="0" applyFont="0" applyFill="0" applyBorder="0" applyAlignment="0" applyProtection="0"/>
    <xf numFmtId="9" fontId="0" fillId="0" borderId="0" applyFont="0" applyFill="0" applyBorder="0" applyAlignment="0" applyProtection="0"/>
    <xf numFmtId="0" fontId="59" fillId="31" borderId="0" applyNumberFormat="0" applyBorder="0" applyAlignment="0" applyProtection="0">
      <alignment vertical="center"/>
    </xf>
    <xf numFmtId="0" fontId="84" fillId="39" borderId="0" applyNumberFormat="0" applyBorder="0" applyAlignment="0" applyProtection="0">
      <alignment vertical="center"/>
    </xf>
    <xf numFmtId="0" fontId="60" fillId="0" borderId="0">
      <alignment vertical="center"/>
    </xf>
    <xf numFmtId="0" fontId="62" fillId="19" borderId="0" applyNumberFormat="0" applyBorder="0" applyAlignment="0" applyProtection="0">
      <alignment vertical="center"/>
    </xf>
    <xf numFmtId="0" fontId="69" fillId="0" borderId="19" applyNumberFormat="0" applyFill="0" applyAlignment="0" applyProtection="0">
      <alignment vertical="center"/>
    </xf>
    <xf numFmtId="0" fontId="85" fillId="14" borderId="23" applyNumberFormat="0" applyAlignment="0" applyProtection="0">
      <alignment vertical="center"/>
    </xf>
    <xf numFmtId="0" fontId="0" fillId="0" borderId="0"/>
    <xf numFmtId="44" fontId="60" fillId="0" borderId="0" applyFont="0" applyFill="0" applyBorder="0" applyAlignment="0" applyProtection="0">
      <alignment vertical="center"/>
    </xf>
    <xf numFmtId="0" fontId="62" fillId="37" borderId="0" applyNumberFormat="0" applyBorder="0" applyAlignment="0" applyProtection="0">
      <alignment vertical="center"/>
    </xf>
    <xf numFmtId="0" fontId="60" fillId="16" borderId="18" applyNumberFormat="0" applyFont="0" applyAlignment="0" applyProtection="0">
      <alignment vertical="center"/>
    </xf>
    <xf numFmtId="0" fontId="67" fillId="15" borderId="17" applyNumberFormat="0" applyAlignment="0" applyProtection="0">
      <alignment vertical="center"/>
    </xf>
    <xf numFmtId="0" fontId="65" fillId="0" borderId="0" applyNumberFormat="0" applyFill="0" applyBorder="0" applyAlignment="0" applyProtection="0">
      <alignment vertical="center"/>
    </xf>
    <xf numFmtId="0" fontId="66" fillId="14" borderId="17" applyNumberFormat="0" applyAlignment="0" applyProtection="0">
      <alignment vertical="center"/>
    </xf>
    <xf numFmtId="0" fontId="76" fillId="28" borderId="0" applyNumberFormat="0" applyBorder="0" applyAlignment="0" applyProtection="0">
      <alignment vertical="center"/>
    </xf>
    <xf numFmtId="0" fontId="65" fillId="0" borderId="16" applyNumberFormat="0" applyFill="0" applyAlignment="0" applyProtection="0">
      <alignment vertical="center"/>
    </xf>
    <xf numFmtId="0" fontId="82" fillId="0" borderId="0" applyNumberFormat="0" applyFill="0" applyBorder="0" applyAlignment="0" applyProtection="0">
      <alignment vertical="center"/>
    </xf>
    <xf numFmtId="0" fontId="64" fillId="0" borderId="5">
      <alignment horizontal="left" vertical="center"/>
    </xf>
    <xf numFmtId="0" fontId="63" fillId="0" borderId="15" applyNumberFormat="0" applyFill="0" applyAlignment="0" applyProtection="0">
      <alignment vertical="center"/>
    </xf>
    <xf numFmtId="183" fontId="60" fillId="0" borderId="0" applyFont="0" applyFill="0" applyBorder="0" applyAlignment="0" applyProtection="0">
      <alignment vertical="center"/>
    </xf>
    <xf numFmtId="0" fontId="62" fillId="13" borderId="0" applyNumberFormat="0" applyBorder="0" applyAlignment="0" applyProtection="0">
      <alignment vertical="center"/>
    </xf>
    <xf numFmtId="0" fontId="68" fillId="0" borderId="0" applyNumberFormat="0" applyFill="0" applyBorder="0" applyAlignment="0" applyProtection="0">
      <alignment vertical="center"/>
    </xf>
    <xf numFmtId="42" fontId="60" fillId="0" borderId="0" applyFont="0" applyFill="0" applyBorder="0" applyAlignment="0" applyProtection="0">
      <alignment vertical="center"/>
    </xf>
    <xf numFmtId="0" fontId="83" fillId="0" borderId="0" applyNumberFormat="0" applyFill="0" applyBorder="0" applyAlignment="0" applyProtection="0">
      <alignment vertical="center"/>
    </xf>
    <xf numFmtId="0" fontId="61" fillId="0" borderId="0"/>
    <xf numFmtId="0" fontId="74" fillId="0" borderId="0" applyFont="0" applyFill="0" applyBorder="0" applyAlignment="0" applyProtection="0"/>
    <xf numFmtId="0" fontId="79" fillId="0" borderId="0" applyNumberFormat="0" applyFill="0" applyBorder="0" applyAlignment="0" applyProtection="0">
      <alignment vertical="center"/>
    </xf>
    <xf numFmtId="0" fontId="78" fillId="0" borderId="15" applyNumberFormat="0" applyFill="0" applyAlignment="0" applyProtection="0">
      <alignment vertical="center"/>
    </xf>
    <xf numFmtId="188" fontId="60" fillId="0" borderId="0" applyFont="0" applyFill="0" applyBorder="0" applyAlignment="0" applyProtection="0">
      <alignment vertical="center"/>
    </xf>
    <xf numFmtId="176" fontId="61" fillId="0" borderId="0" applyFont="0" applyFill="0" applyBorder="0" applyAlignment="0" applyProtection="0"/>
    <xf numFmtId="0" fontId="75" fillId="25" borderId="20" applyNumberFormat="0" applyAlignment="0" applyProtection="0">
      <alignment vertical="center"/>
    </xf>
    <xf numFmtId="0" fontId="59" fillId="12" borderId="0" applyNumberFormat="0" applyBorder="0" applyAlignment="0" applyProtection="0">
      <alignment vertical="center"/>
    </xf>
    <xf numFmtId="9" fontId="0" fillId="0" borderId="0" applyFont="0" applyFill="0" applyBorder="0" applyAlignment="0" applyProtection="0"/>
    <xf numFmtId="0" fontId="58" fillId="0" borderId="0" applyNumberFormat="0" applyFill="0" applyBorder="0" applyAlignment="0" applyProtection="0">
      <alignment vertical="top"/>
      <protection locked="0"/>
    </xf>
  </cellStyleXfs>
  <cellXfs count="556">
    <xf numFmtId="0" fontId="0" fillId="0" borderId="0" xfId="0"/>
    <xf numFmtId="0" fontId="1" fillId="0" borderId="0" xfId="17" applyFont="1" applyFill="1" applyAlignment="1">
      <alignment vertical="top"/>
    </xf>
    <xf numFmtId="0" fontId="0" fillId="0" borderId="0" xfId="17" applyFill="1"/>
    <xf numFmtId="0" fontId="0" fillId="0" borderId="0" xfId="17" applyFill="1" applyAlignment="1">
      <alignment wrapText="1"/>
    </xf>
    <xf numFmtId="0" fontId="2" fillId="0" borderId="1" xfId="17" applyFont="1" applyFill="1" applyBorder="1"/>
    <xf numFmtId="0" fontId="2" fillId="0" borderId="0" xfId="17" applyFont="1" applyFill="1" applyBorder="1" applyAlignment="1">
      <alignment horizontal="left" wrapText="1"/>
    </xf>
    <xf numFmtId="0" fontId="0" fillId="0" borderId="2" xfId="17" applyFont="1" applyFill="1" applyBorder="1"/>
    <xf numFmtId="0" fontId="0" fillId="0" borderId="0" xfId="17" applyFont="1" applyFill="1" applyBorder="1" applyAlignment="1">
      <alignment horizontal="left" wrapText="1"/>
    </xf>
    <xf numFmtId="0" fontId="3" fillId="0" borderId="2" xfId="17" applyFont="1" applyFill="1" applyBorder="1"/>
    <xf numFmtId="0" fontId="0" fillId="0" borderId="0" xfId="17" applyFill="1" applyBorder="1" applyAlignment="1">
      <alignment horizontal="left" wrapText="1"/>
    </xf>
    <xf numFmtId="0" fontId="2" fillId="0" borderId="2" xfId="17" applyFont="1" applyFill="1" applyBorder="1"/>
    <xf numFmtId="0" fontId="2" fillId="0" borderId="2" xfId="17" applyFont="1" applyFill="1" applyBorder="1" applyAlignment="1">
      <alignment wrapText="1"/>
    </xf>
    <xf numFmtId="0" fontId="0" fillId="0" borderId="0" xfId="17" applyFont="1" applyFill="1" applyBorder="1"/>
    <xf numFmtId="0" fontId="0" fillId="0" borderId="2" xfId="17" applyFont="1" applyFill="1" applyBorder="1" applyAlignment="1">
      <alignment vertical="top"/>
    </xf>
    <xf numFmtId="0" fontId="3" fillId="0" borderId="2" xfId="17" applyFont="1" applyFill="1" applyBorder="1" applyAlignment="1">
      <alignment vertical="top" wrapText="1"/>
    </xf>
    <xf numFmtId="0" fontId="0" fillId="0" borderId="0" xfId="17" applyFill="1" applyBorder="1"/>
    <xf numFmtId="0" fontId="3" fillId="0" borderId="2" xfId="17" applyFont="1" applyFill="1" applyBorder="1" applyAlignment="1">
      <alignment vertical="top"/>
    </xf>
    <xf numFmtId="0" fontId="0" fillId="0" borderId="2" xfId="17" applyFont="1" applyFill="1" applyBorder="1" applyAlignment="1">
      <alignment vertical="top" wrapText="1"/>
    </xf>
    <xf numFmtId="0" fontId="0" fillId="0" borderId="0" xfId="17" applyFill="1" applyBorder="1" applyAlignment="1">
      <alignment wrapText="1"/>
    </xf>
    <xf numFmtId="0" fontId="0" fillId="0" borderId="2" xfId="17" applyFill="1" applyBorder="1" applyAlignment="1">
      <alignment wrapText="1"/>
    </xf>
    <xf numFmtId="0" fontId="0" fillId="0" borderId="2" xfId="17" applyFill="1" applyBorder="1"/>
    <xf numFmtId="0" fontId="4" fillId="0" borderId="0" xfId="0" applyFont="1" applyFill="1" applyAlignment="1">
      <alignment horizontal="center" vertical="top" wrapText="1"/>
    </xf>
    <xf numFmtId="0" fontId="0" fillId="0" borderId="0" xfId="0" applyAlignment="1">
      <alignment wrapText="1"/>
    </xf>
    <xf numFmtId="0" fontId="5" fillId="2" borderId="2" xfId="14" applyFont="1" applyFill="1" applyBorder="1" applyAlignment="1" applyProtection="1">
      <alignment horizontal="center" vertical="center" wrapText="1"/>
      <protection locked="0"/>
    </xf>
    <xf numFmtId="0" fontId="1" fillId="0" borderId="2" xfId="14" applyFont="1" applyFill="1" applyBorder="1" applyAlignment="1" applyProtection="1">
      <alignment horizontal="center" vertical="center" wrapText="1"/>
      <protection locked="0"/>
    </xf>
    <xf numFmtId="0" fontId="1" fillId="0" borderId="2" xfId="14" applyFont="1" applyFill="1" applyBorder="1" applyAlignment="1" applyProtection="1">
      <alignment horizontal="left" vertical="center" wrapText="1"/>
      <protection locked="0"/>
    </xf>
    <xf numFmtId="0" fontId="1" fillId="3" borderId="2" xfId="14" applyFont="1" applyFill="1" applyBorder="1" applyAlignment="1" applyProtection="1">
      <alignment horizontal="left" vertical="center" wrapText="1"/>
      <protection locked="0"/>
    </xf>
    <xf numFmtId="0" fontId="1" fillId="0" borderId="2" xfId="0" applyFont="1" applyFill="1" applyBorder="1" applyAlignment="1">
      <alignment vertical="center" wrapText="1"/>
    </xf>
    <xf numFmtId="0" fontId="1" fillId="3" borderId="2" xfId="0" applyFont="1" applyFill="1" applyBorder="1" applyAlignment="1">
      <alignment vertical="center" wrapText="1"/>
    </xf>
    <xf numFmtId="0" fontId="6" fillId="0" borderId="2" xfId="0" applyFont="1" applyFill="1" applyBorder="1" applyAlignment="1">
      <alignment wrapText="1"/>
    </xf>
    <xf numFmtId="0" fontId="1" fillId="0" borderId="2" xfId="0" applyFont="1" applyFill="1" applyBorder="1" applyAlignment="1">
      <alignment horizontal="center" wrapText="1"/>
    </xf>
    <xf numFmtId="0" fontId="1" fillId="3" borderId="2" xfId="0" applyFont="1" applyFill="1" applyBorder="1" applyAlignment="1">
      <alignment horizontal="center" wrapText="1"/>
    </xf>
    <xf numFmtId="0" fontId="6" fillId="3" borderId="2" xfId="0" applyFont="1" applyFill="1" applyBorder="1" applyAlignment="1">
      <alignment wrapText="1"/>
    </xf>
    <xf numFmtId="0" fontId="6" fillId="3" borderId="2" xfId="0" applyFont="1" applyFill="1" applyBorder="1" applyAlignment="1">
      <alignment horizontal="left" wrapText="1"/>
    </xf>
    <xf numFmtId="0" fontId="6" fillId="0" borderId="2" xfId="0" applyFont="1" applyFill="1" applyBorder="1" applyAlignment="1">
      <alignment horizontal="left" wrapText="1"/>
    </xf>
    <xf numFmtId="0" fontId="1" fillId="0"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0"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6" fillId="3" borderId="2" xfId="0" applyFont="1" applyFill="1" applyBorder="1" applyAlignment="1">
      <alignment vertical="center" wrapText="1"/>
    </xf>
    <xf numFmtId="0" fontId="7"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8" fillId="4" borderId="2" xfId="0" applyFont="1" applyFill="1" applyBorder="1" applyAlignment="1">
      <alignment wrapText="1"/>
    </xf>
    <xf numFmtId="0" fontId="6" fillId="4" borderId="2" xfId="0" applyFont="1" applyFill="1" applyBorder="1" applyAlignment="1">
      <alignment vertical="center" wrapText="1"/>
    </xf>
    <xf numFmtId="0" fontId="0" fillId="4" borderId="2" xfId="0" applyFill="1" applyBorder="1" applyAlignment="1">
      <alignment wrapText="1"/>
    </xf>
    <xf numFmtId="0" fontId="9" fillId="4" borderId="2" xfId="0" applyFont="1" applyFill="1" applyBorder="1" applyAlignment="1">
      <alignment vertical="top"/>
    </xf>
    <xf numFmtId="0" fontId="6" fillId="3"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0" fillId="4" borderId="2" xfId="0" applyFont="1" applyFill="1" applyBorder="1" applyAlignment="1">
      <alignment vertical="top"/>
    </xf>
    <xf numFmtId="0" fontId="0" fillId="4" borderId="0" xfId="0" applyFill="1" applyAlignment="1">
      <alignment wrapText="1"/>
    </xf>
    <xf numFmtId="0" fontId="11" fillId="0" borderId="0" xfId="17" applyFont="1" applyFill="1" applyAlignment="1">
      <alignment vertical="center" wrapText="1"/>
    </xf>
    <xf numFmtId="0" fontId="12" fillId="5" borderId="0" xfId="17" applyFont="1" applyFill="1" applyAlignment="1">
      <alignment vertical="center" wrapText="1"/>
    </xf>
    <xf numFmtId="0" fontId="11" fillId="5" borderId="0" xfId="17" applyFont="1" applyFill="1" applyAlignment="1">
      <alignment wrapText="1"/>
    </xf>
    <xf numFmtId="0" fontId="13" fillId="5" borderId="0" xfId="17" applyFont="1" applyFill="1" applyBorder="1" applyAlignment="1" applyProtection="1">
      <alignment horizontal="center" vertical="center" wrapText="1"/>
      <protection locked="0"/>
    </xf>
    <xf numFmtId="0" fontId="14" fillId="5" borderId="0" xfId="17" applyFont="1" applyFill="1" applyAlignment="1">
      <alignment horizontal="left" wrapText="1"/>
    </xf>
    <xf numFmtId="0" fontId="5" fillId="2" borderId="3" xfId="17" applyFont="1" applyFill="1" applyBorder="1" applyAlignment="1">
      <alignment horizontal="center" vertical="center" wrapText="1"/>
    </xf>
    <xf numFmtId="0" fontId="5" fillId="6" borderId="2" xfId="17" applyFont="1" applyFill="1" applyBorder="1" applyAlignment="1">
      <alignment horizontal="center" vertical="center" wrapText="1"/>
    </xf>
    <xf numFmtId="0" fontId="1" fillId="0" borderId="3" xfId="17" applyFont="1" applyFill="1" applyBorder="1" applyAlignment="1">
      <alignment horizontal="center" vertical="center" wrapText="1"/>
    </xf>
    <xf numFmtId="0" fontId="1" fillId="0" borderId="2" xfId="17" applyFont="1" applyFill="1" applyBorder="1" applyAlignment="1">
      <alignment horizontal="left" vertical="center" wrapText="1"/>
    </xf>
    <xf numFmtId="0" fontId="15" fillId="0" borderId="2" xfId="17" applyFont="1" applyFill="1" applyBorder="1" applyAlignment="1">
      <alignment horizontal="left" vertical="center" wrapText="1"/>
    </xf>
    <xf numFmtId="0" fontId="12" fillId="5" borderId="0" xfId="17" applyFont="1" applyFill="1" applyAlignment="1">
      <alignment horizontal="left" wrapText="1"/>
    </xf>
    <xf numFmtId="0" fontId="16" fillId="5" borderId="0" xfId="17" applyFont="1" applyFill="1" applyBorder="1" applyAlignment="1">
      <alignment horizontal="center" wrapText="1"/>
    </xf>
    <xf numFmtId="0" fontId="1" fillId="5" borderId="2" xfId="17" applyFont="1" applyFill="1" applyBorder="1" applyAlignment="1">
      <alignment horizontal="center" vertical="center" wrapText="1"/>
    </xf>
    <xf numFmtId="0" fontId="17" fillId="5" borderId="4" xfId="84" applyFont="1" applyFill="1" applyBorder="1" applyAlignment="1" applyProtection="1">
      <alignment horizontal="center" vertical="center" wrapText="1"/>
    </xf>
    <xf numFmtId="0" fontId="1" fillId="5" borderId="2" xfId="84" applyFont="1" applyFill="1" applyBorder="1" applyAlignment="1" applyProtection="1">
      <alignment horizontal="left" vertical="center" wrapText="1"/>
    </xf>
    <xf numFmtId="0" fontId="1" fillId="5" borderId="1" xfId="84" applyFont="1" applyFill="1" applyBorder="1" applyAlignment="1" applyProtection="1">
      <alignment horizontal="left" vertical="center" wrapText="1"/>
    </xf>
    <xf numFmtId="0" fontId="1" fillId="5" borderId="5" xfId="84" applyFont="1" applyFill="1" applyBorder="1" applyAlignment="1" applyProtection="1">
      <alignment horizontal="left" vertical="center" wrapText="1"/>
    </xf>
    <xf numFmtId="0" fontId="11" fillId="5" borderId="0" xfId="17" applyFont="1" applyFill="1" applyAlignment="1">
      <alignment horizontal="left" wrapText="1"/>
    </xf>
    <xf numFmtId="0" fontId="1" fillId="5" borderId="4" xfId="84" applyFont="1" applyFill="1" applyBorder="1" applyAlignment="1" applyProtection="1">
      <alignment horizontal="left" vertical="center" wrapText="1"/>
    </xf>
    <xf numFmtId="0" fontId="11" fillId="5" borderId="0" xfId="17" applyFont="1" applyFill="1" applyAlignment="1">
      <alignment vertical="center" wrapText="1"/>
    </xf>
    <xf numFmtId="0" fontId="12" fillId="0" borderId="0" xfId="17" applyFont="1" applyFill="1" applyAlignment="1">
      <alignment vertical="center" wrapText="1"/>
    </xf>
    <xf numFmtId="0" fontId="1" fillId="5" borderId="0" xfId="17" applyFont="1" applyFill="1" applyAlignment="1">
      <alignment horizontal="left" vertical="top" wrapText="1"/>
    </xf>
    <xf numFmtId="0" fontId="5" fillId="2" borderId="6" xfId="17" applyFont="1" applyFill="1" applyBorder="1" applyAlignment="1">
      <alignment horizontal="center" vertical="center" wrapText="1"/>
    </xf>
    <xf numFmtId="0" fontId="5" fillId="2" borderId="7" xfId="17" applyFont="1" applyFill="1" applyBorder="1" applyAlignment="1">
      <alignment horizontal="left" vertical="center" wrapText="1"/>
    </xf>
    <xf numFmtId="0" fontId="5" fillId="2" borderId="8" xfId="17" applyFont="1" applyFill="1" applyBorder="1" applyAlignment="1">
      <alignment horizontal="left" vertical="center" wrapText="1"/>
    </xf>
    <xf numFmtId="0" fontId="1" fillId="0" borderId="3" xfId="17" applyFont="1" applyFill="1" applyBorder="1" applyAlignment="1">
      <alignment horizontal="left" vertical="center" wrapText="1"/>
    </xf>
    <xf numFmtId="0" fontId="17" fillId="5" borderId="1" xfId="84" applyFont="1" applyFill="1" applyBorder="1" applyAlignment="1" applyProtection="1">
      <alignment horizontal="center" vertical="center" wrapText="1"/>
    </xf>
    <xf numFmtId="0" fontId="18" fillId="5" borderId="1" xfId="84" applyFont="1" applyFill="1" applyBorder="1" applyAlignment="1" applyProtection="1">
      <alignment horizontal="left" vertical="center" wrapText="1"/>
    </xf>
    <xf numFmtId="0" fontId="1" fillId="0" borderId="2" xfId="17" applyFont="1" applyFill="1" applyBorder="1" applyAlignment="1">
      <alignment horizontal="center" vertical="center" wrapText="1"/>
    </xf>
    <xf numFmtId="0" fontId="17" fillId="0" borderId="1" xfId="84" applyFont="1" applyFill="1" applyBorder="1" applyAlignment="1" applyProtection="1">
      <alignment horizontal="center" vertical="center" wrapText="1"/>
    </xf>
    <xf numFmtId="0" fontId="17" fillId="0" borderId="4" xfId="84" applyFont="1" applyFill="1" applyBorder="1" applyAlignment="1" applyProtection="1">
      <alignment horizontal="center" vertical="center" wrapText="1"/>
    </xf>
    <xf numFmtId="0" fontId="19" fillId="0" borderId="2" xfId="84" applyFont="1" applyFill="1" applyBorder="1" applyAlignment="1" applyProtection="1">
      <alignment horizontal="left" vertical="center" wrapText="1"/>
    </xf>
    <xf numFmtId="0" fontId="1" fillId="0" borderId="2" xfId="84" applyFont="1" applyFill="1" applyBorder="1" applyAlignment="1" applyProtection="1">
      <alignment horizontal="left" vertical="center" wrapText="1"/>
    </xf>
    <xf numFmtId="0" fontId="14" fillId="2" borderId="1" xfId="0" applyFont="1" applyFill="1" applyBorder="1" applyAlignment="1">
      <alignment horizontal="center" vertical="center"/>
    </xf>
    <xf numFmtId="0" fontId="14" fillId="2" borderId="5" xfId="0" applyFont="1" applyFill="1" applyBorder="1" applyAlignment="1">
      <alignment horizontal="center" vertical="center"/>
    </xf>
    <xf numFmtId="0" fontId="20" fillId="2" borderId="1" xfId="0" applyFont="1" applyFill="1" applyBorder="1" applyAlignment="1">
      <alignment horizontal="left" vertical="center"/>
    </xf>
    <xf numFmtId="0" fontId="20" fillId="2" borderId="5" xfId="0" applyFont="1" applyFill="1" applyBorder="1" applyAlignment="1">
      <alignment horizontal="left" vertical="center"/>
    </xf>
    <xf numFmtId="0" fontId="20" fillId="2" borderId="2" xfId="0" applyFont="1" applyFill="1" applyBorder="1" applyAlignment="1">
      <alignment horizontal="left" vertical="center"/>
    </xf>
    <xf numFmtId="0" fontId="20" fillId="2" borderId="2" xfId="0" applyFont="1" applyFill="1" applyBorder="1" applyAlignment="1">
      <alignment vertical="center" wrapText="1"/>
    </xf>
    <xf numFmtId="0" fontId="20" fillId="2" borderId="1"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1" fillId="2" borderId="1" xfId="0" applyFont="1" applyFill="1" applyBorder="1" applyAlignment="1">
      <alignment horizontal="left" vertical="center" wrapText="1"/>
    </xf>
    <xf numFmtId="0" fontId="21" fillId="2" borderId="4" xfId="0" applyFont="1" applyFill="1" applyBorder="1" applyAlignment="1">
      <alignment horizontal="left" vertical="center" wrapText="1"/>
    </xf>
    <xf numFmtId="0" fontId="1" fillId="2" borderId="6" xfId="0" applyFont="1" applyFill="1" applyBorder="1" applyAlignment="1">
      <alignment vertical="center" wrapText="1"/>
    </xf>
    <xf numFmtId="0" fontId="20" fillId="2" borderId="2" xfId="0" applyFont="1" applyFill="1" applyBorder="1" applyAlignment="1">
      <alignment horizontal="center" vertical="center" wrapText="1"/>
    </xf>
    <xf numFmtId="0" fontId="22" fillId="2" borderId="2" xfId="0" applyFont="1" applyFill="1" applyBorder="1" applyAlignment="1">
      <alignment vertical="center" wrapText="1"/>
    </xf>
    <xf numFmtId="0" fontId="22" fillId="2" borderId="1" xfId="0" applyFont="1" applyFill="1" applyBorder="1" applyAlignment="1">
      <alignment horizontal="left" vertical="center" wrapText="1"/>
    </xf>
    <xf numFmtId="0" fontId="22" fillId="2" borderId="4" xfId="0" applyFont="1" applyFill="1" applyBorder="1" applyAlignment="1">
      <alignment horizontal="left" vertical="center" wrapText="1"/>
    </xf>
    <xf numFmtId="0" fontId="14" fillId="2" borderId="4" xfId="0" applyFont="1" applyFill="1" applyBorder="1" applyAlignment="1">
      <alignment horizontal="center" vertical="center"/>
    </xf>
    <xf numFmtId="9" fontId="0" fillId="0" borderId="0" xfId="0" applyNumberFormat="1" applyAlignment="1">
      <alignment wrapText="1"/>
    </xf>
    <xf numFmtId="0" fontId="20" fillId="2" borderId="4" xfId="0" applyFont="1" applyFill="1" applyBorder="1" applyAlignment="1">
      <alignment horizontal="left" vertical="center"/>
    </xf>
    <xf numFmtId="10" fontId="20" fillId="2" borderId="2" xfId="0" applyNumberFormat="1" applyFont="1" applyFill="1" applyBorder="1" applyAlignment="1">
      <alignment horizontal="center" vertical="center"/>
    </xf>
    <xf numFmtId="10" fontId="20" fillId="2" borderId="2" xfId="0" applyNumberFormat="1" applyFont="1" applyFill="1" applyBorder="1" applyAlignment="1">
      <alignment horizontal="center" vertical="center" wrapText="1"/>
    </xf>
    <xf numFmtId="2" fontId="1" fillId="2" borderId="2" xfId="0" applyNumberFormat="1" applyFont="1" applyFill="1" applyBorder="1" applyAlignment="1">
      <alignment horizontal="center" vertical="center" wrapText="1"/>
    </xf>
    <xf numFmtId="177" fontId="1" fillId="2" borderId="2" xfId="0" applyNumberFormat="1" applyFont="1" applyFill="1" applyBorder="1" applyAlignment="1">
      <alignment horizontal="center" vertical="center"/>
    </xf>
    <xf numFmtId="10" fontId="1" fillId="2" borderId="2" xfId="0" applyNumberFormat="1" applyFont="1" applyFill="1" applyBorder="1" applyAlignment="1">
      <alignment horizontal="center" vertical="center"/>
    </xf>
    <xf numFmtId="10" fontId="20" fillId="7" borderId="2" xfId="0" applyNumberFormat="1" applyFont="1" applyFill="1" applyBorder="1" applyAlignment="1">
      <alignment horizontal="center" vertical="center"/>
    </xf>
    <xf numFmtId="10" fontId="1" fillId="2" borderId="6" xfId="0" applyNumberFormat="1" applyFont="1" applyFill="1" applyBorder="1" applyAlignment="1">
      <alignment horizontal="center" vertical="center"/>
    </xf>
    <xf numFmtId="10" fontId="20" fillId="7" borderId="6" xfId="0" applyNumberFormat="1" applyFont="1" applyFill="1" applyBorder="1" applyAlignment="1">
      <alignment horizontal="center" vertical="center"/>
    </xf>
    <xf numFmtId="4" fontId="23" fillId="2" borderId="2" xfId="0" applyNumberFormat="1" applyFont="1" applyFill="1" applyBorder="1" applyAlignment="1">
      <alignment horizontal="center" vertical="center" wrapText="1"/>
    </xf>
    <xf numFmtId="2" fontId="22" fillId="2" borderId="2" xfId="0" applyNumberFormat="1" applyFont="1" applyFill="1" applyBorder="1" applyAlignment="1">
      <alignment vertical="center" wrapText="1"/>
    </xf>
    <xf numFmtId="0" fontId="4" fillId="0" borderId="0" xfId="0" applyFont="1" applyFill="1" applyAlignment="1">
      <alignment vertical="top" wrapText="1"/>
    </xf>
    <xf numFmtId="0" fontId="24" fillId="8" borderId="0" xfId="0" applyFont="1" applyFill="1" applyAlignment="1">
      <alignment horizontal="center" vertical="center"/>
    </xf>
    <xf numFmtId="0" fontId="0" fillId="7" borderId="0" xfId="0" applyFont="1" applyFill="1"/>
    <xf numFmtId="0" fontId="24" fillId="0" borderId="0" xfId="0" applyFont="1"/>
    <xf numFmtId="0" fontId="24" fillId="0" borderId="0" xfId="0" applyFont="1" applyAlignment="1">
      <alignment wrapText="1"/>
    </xf>
    <xf numFmtId="1" fontId="24" fillId="0" borderId="0" xfId="0" applyNumberFormat="1" applyFont="1" applyFill="1" applyAlignment="1">
      <alignment horizontal="right"/>
    </xf>
    <xf numFmtId="0" fontId="24" fillId="0" borderId="0" xfId="0" applyFont="1" applyFill="1"/>
    <xf numFmtId="0" fontId="24" fillId="0" borderId="0" xfId="0" applyFont="1" applyFill="1" applyAlignment="1">
      <alignment wrapText="1"/>
    </xf>
    <xf numFmtId="0" fontId="10" fillId="8" borderId="2" xfId="0" applyFont="1" applyFill="1" applyBorder="1" applyAlignment="1">
      <alignment horizontal="center" vertical="center"/>
    </xf>
    <xf numFmtId="0" fontId="10" fillId="8" borderId="2" xfId="0" applyFont="1" applyFill="1" applyBorder="1" applyAlignment="1">
      <alignment horizontal="center" vertical="center" wrapText="1"/>
    </xf>
    <xf numFmtId="0" fontId="1" fillId="7" borderId="2" xfId="0" applyFont="1" applyFill="1" applyBorder="1" applyAlignment="1">
      <alignment horizontal="center" vertical="center"/>
    </xf>
    <xf numFmtId="0" fontId="1" fillId="7" borderId="2" xfId="0" applyFont="1" applyFill="1" applyBorder="1"/>
    <xf numFmtId="0" fontId="1" fillId="7" borderId="2" xfId="0" applyFont="1" applyFill="1" applyBorder="1" applyAlignment="1">
      <alignment vertical="center" wrapText="1"/>
    </xf>
    <xf numFmtId="0" fontId="1" fillId="7" borderId="6" xfId="0" applyFont="1" applyFill="1" applyBorder="1" applyAlignment="1">
      <alignment horizontal="center" vertical="center"/>
    </xf>
    <xf numFmtId="0" fontId="1" fillId="7" borderId="2" xfId="0" applyFont="1" applyFill="1" applyBorder="1" applyAlignment="1">
      <alignment vertical="center"/>
    </xf>
    <xf numFmtId="0" fontId="1" fillId="7" borderId="3" xfId="0" applyFont="1" applyFill="1" applyBorder="1" applyAlignment="1">
      <alignment horizontal="center" vertical="center"/>
    </xf>
    <xf numFmtId="0" fontId="25" fillId="7" borderId="2" xfId="0" applyFont="1" applyFill="1" applyBorder="1" applyAlignment="1">
      <alignment vertical="center"/>
    </xf>
    <xf numFmtId="0" fontId="25" fillId="7" borderId="2" xfId="0" applyFont="1" applyFill="1" applyBorder="1" applyAlignment="1">
      <alignment vertical="center" wrapText="1"/>
    </xf>
    <xf numFmtId="0" fontId="1" fillId="7" borderId="3" xfId="0" applyFont="1" applyFill="1" applyBorder="1" applyAlignment="1">
      <alignment vertical="center" wrapText="1"/>
    </xf>
    <xf numFmtId="0" fontId="1" fillId="7" borderId="6" xfId="0" applyFont="1" applyFill="1" applyBorder="1" applyAlignment="1">
      <alignment vertical="center"/>
    </xf>
    <xf numFmtId="0" fontId="25" fillId="7" borderId="6" xfId="0" applyFont="1" applyFill="1" applyBorder="1" applyAlignment="1">
      <alignment vertical="center"/>
    </xf>
    <xf numFmtId="0" fontId="1" fillId="0" borderId="2" xfId="0" applyFont="1" applyFill="1" applyBorder="1" applyAlignment="1">
      <alignment vertical="center"/>
    </xf>
    <xf numFmtId="0" fontId="1" fillId="7" borderId="2" xfId="0" applyFont="1" applyFill="1" applyBorder="1" applyAlignment="1">
      <alignment horizontal="left" vertical="center" wrapText="1"/>
    </xf>
    <xf numFmtId="0" fontId="25" fillId="0" borderId="2" xfId="0" applyFont="1" applyFill="1" applyBorder="1" applyAlignment="1">
      <alignment vertical="center"/>
    </xf>
    <xf numFmtId="1" fontId="10" fillId="8" borderId="2" xfId="0" applyNumberFormat="1" applyFont="1" applyFill="1" applyBorder="1" applyAlignment="1">
      <alignment horizontal="center" vertical="center" wrapText="1"/>
    </xf>
    <xf numFmtId="0" fontId="1" fillId="7" borderId="2" xfId="0" applyFont="1" applyFill="1" applyBorder="1" applyAlignment="1">
      <alignment wrapText="1"/>
    </xf>
    <xf numFmtId="1" fontId="0" fillId="7" borderId="0" xfId="0" applyNumberFormat="1" applyFont="1" applyFill="1"/>
    <xf numFmtId="0" fontId="21" fillId="7" borderId="2" xfId="0" applyFont="1" applyFill="1" applyBorder="1"/>
    <xf numFmtId="0" fontId="25" fillId="7" borderId="2" xfId="0" applyFont="1" applyFill="1" applyBorder="1" applyAlignment="1">
      <alignment wrapText="1"/>
    </xf>
    <xf numFmtId="0" fontId="21" fillId="7" borderId="2" xfId="0" applyFont="1" applyFill="1" applyBorder="1" applyAlignment="1">
      <alignment vertical="center" wrapText="1"/>
    </xf>
    <xf numFmtId="1" fontId="1" fillId="7" borderId="2" xfId="0" applyNumberFormat="1" applyFont="1" applyFill="1" applyBorder="1" applyAlignment="1">
      <alignment horizontal="right"/>
    </xf>
    <xf numFmtId="1" fontId="25" fillId="7" borderId="2" xfId="0" applyNumberFormat="1" applyFont="1" applyFill="1" applyBorder="1" applyAlignment="1">
      <alignment horizontal="right"/>
    </xf>
    <xf numFmtId="0" fontId="1" fillId="0" borderId="2" xfId="0" applyFont="1" applyFill="1" applyBorder="1"/>
    <xf numFmtId="0" fontId="24" fillId="0" borderId="2" xfId="0" applyFont="1" applyBorder="1"/>
    <xf numFmtId="1" fontId="26" fillId="0" borderId="2" xfId="0" applyNumberFormat="1" applyFont="1" applyFill="1" applyBorder="1" applyAlignment="1">
      <alignment horizontal="right"/>
    </xf>
    <xf numFmtId="0" fontId="0" fillId="0" borderId="0" xfId="0" applyFont="1" applyFill="1"/>
    <xf numFmtId="0" fontId="24" fillId="0" borderId="0" xfId="0" applyFont="1" applyAlignment="1">
      <alignment vertical="top"/>
    </xf>
    <xf numFmtId="0" fontId="24" fillId="0" borderId="0" xfId="0" applyFont="1" applyFill="1" applyAlignment="1">
      <alignment vertical="top"/>
    </xf>
    <xf numFmtId="0" fontId="1" fillId="0" borderId="2" xfId="0" applyFont="1" applyFill="1" applyBorder="1" applyAlignment="1">
      <alignment horizontal="center" vertical="center"/>
    </xf>
    <xf numFmtId="0" fontId="1" fillId="0" borderId="2" xfId="0" applyFont="1" applyFill="1" applyBorder="1" applyAlignment="1">
      <alignment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7" fillId="0" borderId="2" xfId="0" applyFont="1" applyBorder="1" applyAlignment="1">
      <alignment vertical="top" wrapText="1"/>
    </xf>
    <xf numFmtId="0" fontId="0" fillId="0" borderId="2" xfId="0" applyBorder="1"/>
    <xf numFmtId="9" fontId="1" fillId="0" borderId="2" xfId="0" applyNumberFormat="1" applyFont="1" applyFill="1" applyBorder="1" applyAlignment="1">
      <alignment vertical="center" wrapText="1"/>
    </xf>
    <xf numFmtId="1" fontId="0" fillId="0" borderId="0" xfId="0" applyNumberFormat="1" applyFont="1" applyFill="1"/>
    <xf numFmtId="1" fontId="1" fillId="0" borderId="2" xfId="0" applyNumberFormat="1" applyFont="1" applyFill="1" applyBorder="1" applyAlignment="1">
      <alignment horizontal="right"/>
    </xf>
    <xf numFmtId="0" fontId="0" fillId="0" borderId="0" xfId="0" applyFill="1"/>
    <xf numFmtId="0" fontId="3" fillId="0" borderId="0" xfId="0" applyFont="1"/>
    <xf numFmtId="0" fontId="0" fillId="0" borderId="2" xfId="0" applyFont="1" applyBorder="1" applyAlignment="1">
      <alignment horizontal="center"/>
    </xf>
    <xf numFmtId="0" fontId="27" fillId="0" borderId="1" xfId="0" applyFont="1" applyBorder="1" applyAlignment="1">
      <alignment horizontal="center" wrapText="1"/>
    </xf>
    <xf numFmtId="0" fontId="27" fillId="0" borderId="5" xfId="0" applyFont="1" applyBorder="1" applyAlignment="1">
      <alignment horizontal="center"/>
    </xf>
    <xf numFmtId="0" fontId="1" fillId="0" borderId="2" xfId="14" applyFont="1" applyFill="1" applyBorder="1" applyAlignment="1" applyProtection="1">
      <alignment vertical="center" wrapText="1"/>
      <protection locked="0"/>
    </xf>
    <xf numFmtId="0" fontId="28" fillId="0" borderId="2" xfId="14" applyFont="1" applyFill="1" applyBorder="1" applyAlignment="1" applyProtection="1">
      <alignment horizontal="center" vertical="center" wrapText="1"/>
      <protection locked="0"/>
    </xf>
    <xf numFmtId="0" fontId="28" fillId="0" borderId="2" xfId="0" applyFont="1" applyFill="1" applyBorder="1" applyAlignment="1">
      <alignment vertical="center" wrapText="1"/>
    </xf>
    <xf numFmtId="0" fontId="28" fillId="0" borderId="2" xfId="14" applyFont="1" applyFill="1" applyBorder="1" applyAlignment="1" applyProtection="1">
      <alignment vertical="center" wrapText="1"/>
      <protection locked="0"/>
    </xf>
    <xf numFmtId="0" fontId="27" fillId="0" borderId="4" xfId="0" applyFont="1" applyBorder="1" applyAlignment="1">
      <alignment horizontal="center"/>
    </xf>
    <xf numFmtId="0" fontId="1" fillId="0" borderId="0" xfId="0" applyFont="1"/>
    <xf numFmtId="0" fontId="1" fillId="0" borderId="2" xfId="0" applyFont="1" applyFill="1" applyBorder="1" applyAlignment="1">
      <alignment horizontal="center"/>
    </xf>
    <xf numFmtId="181" fontId="28" fillId="0" borderId="2" xfId="0" applyNumberFormat="1" applyFont="1" applyFill="1" applyBorder="1" applyAlignment="1">
      <alignment horizontal="center" wrapText="1"/>
    </xf>
    <xf numFmtId="0" fontId="0" fillId="0" borderId="0" xfId="0" applyFont="1"/>
    <xf numFmtId="0" fontId="1" fillId="0" borderId="2" xfId="0" applyFont="1" applyFill="1" applyBorder="1" applyAlignment="1">
      <alignment vertical="top"/>
    </xf>
    <xf numFmtId="0" fontId="1" fillId="0" borderId="2" xfId="0" applyFont="1" applyFill="1" applyBorder="1" applyAlignment="1"/>
    <xf numFmtId="0" fontId="28" fillId="0" borderId="2" xfId="0" applyFont="1" applyFill="1" applyBorder="1" applyAlignment="1">
      <alignment horizontal="center" wrapText="1"/>
    </xf>
    <xf numFmtId="0" fontId="1" fillId="0" borderId="2" xfId="0" applyFont="1" applyFill="1" applyBorder="1" applyAlignment="1">
      <alignment horizontal="center" vertical="center" wrapText="1"/>
    </xf>
    <xf numFmtId="0" fontId="18" fillId="0" borderId="4" xfId="0" applyFont="1" applyFill="1" applyBorder="1" applyAlignment="1">
      <alignment wrapText="1"/>
    </xf>
    <xf numFmtId="0" fontId="18" fillId="0" borderId="2" xfId="0" applyFont="1" applyFill="1" applyBorder="1" applyAlignment="1">
      <alignment wrapText="1"/>
    </xf>
    <xf numFmtId="0" fontId="18" fillId="0" borderId="0" xfId="0" applyFont="1" applyFill="1" applyBorder="1" applyAlignment="1">
      <alignment wrapText="1"/>
    </xf>
    <xf numFmtId="0" fontId="1" fillId="0" borderId="2" xfId="0" applyFont="1" applyFill="1" applyBorder="1" applyAlignment="1" applyProtection="1">
      <alignment horizontal="left" vertical="center" wrapText="1"/>
      <protection locked="0"/>
    </xf>
    <xf numFmtId="0" fontId="1" fillId="0" borderId="2" xfId="0" applyFont="1" applyFill="1" applyBorder="1" applyAlignment="1">
      <alignment vertical="top" wrapText="1"/>
    </xf>
    <xf numFmtId="0" fontId="1" fillId="0" borderId="2" xfId="0" applyFont="1" applyFill="1" applyBorder="1" applyAlignment="1">
      <alignment horizontal="center" vertical="top" wrapText="1"/>
    </xf>
    <xf numFmtId="0" fontId="6" fillId="0" borderId="0" xfId="0" applyFont="1" applyBorder="1"/>
    <xf numFmtId="0" fontId="6" fillId="0" borderId="2" xfId="0" applyFont="1" applyFill="1" applyBorder="1" applyAlignment="1">
      <alignment horizontal="left" vertical="top" wrapText="1"/>
    </xf>
    <xf numFmtId="0" fontId="29" fillId="0" borderId="2" xfId="0" applyFont="1" applyFill="1" applyBorder="1" applyAlignment="1">
      <alignment vertical="top" wrapText="1"/>
    </xf>
    <xf numFmtId="0" fontId="29" fillId="7" borderId="2" xfId="14" applyFont="1" applyFill="1" applyBorder="1" applyAlignment="1" applyProtection="1">
      <alignment vertical="center" wrapText="1"/>
      <protection locked="0"/>
    </xf>
    <xf numFmtId="0" fontId="29" fillId="0" borderId="2" xfId="0" applyFont="1" applyFill="1" applyBorder="1"/>
    <xf numFmtId="0" fontId="29" fillId="0" borderId="2" xfId="0" applyFont="1" applyFill="1" applyBorder="1" applyAlignment="1">
      <alignment wrapText="1"/>
    </xf>
    <xf numFmtId="0" fontId="30" fillId="0" borderId="0" xfId="0" applyFont="1" applyAlignment="1">
      <alignment vertical="center" wrapText="1"/>
    </xf>
    <xf numFmtId="0" fontId="30" fillId="0" borderId="0" xfId="0" applyFont="1" applyAlignment="1">
      <alignment horizontal="center" vertical="top" wrapText="1"/>
    </xf>
    <xf numFmtId="0" fontId="30" fillId="0" borderId="0" xfId="0" applyFont="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vertical="top" wrapText="1"/>
    </xf>
    <xf numFmtId="0" fontId="1" fillId="5" borderId="2" xfId="14" applyFont="1" applyFill="1" applyBorder="1" applyAlignment="1" applyProtection="1">
      <alignment horizontal="left" vertical="top" wrapText="1"/>
      <protection locked="0"/>
    </xf>
    <xf numFmtId="0" fontId="6" fillId="0" borderId="2" xfId="0" applyFont="1" applyBorder="1" applyAlignment="1">
      <alignment horizontal="center" vertical="top" wrapText="1"/>
    </xf>
    <xf numFmtId="0" fontId="30" fillId="8" borderId="0" xfId="0" applyFont="1" applyFill="1" applyAlignment="1">
      <alignment vertical="top"/>
    </xf>
    <xf numFmtId="0" fontId="30" fillId="8" borderId="0" xfId="0" applyFont="1" applyFill="1" applyAlignment="1">
      <alignment vertical="top" wrapText="1"/>
    </xf>
    <xf numFmtId="0" fontId="31" fillId="0" borderId="0" xfId="0" applyFont="1" applyFill="1" applyAlignment="1">
      <alignment vertical="top"/>
    </xf>
    <xf numFmtId="0" fontId="30" fillId="0" borderId="0" xfId="0" applyFont="1" applyFill="1" applyAlignment="1">
      <alignment horizontal="center" vertical="top"/>
    </xf>
    <xf numFmtId="0" fontId="30" fillId="0" borderId="0" xfId="0" applyFont="1" applyFill="1" applyAlignment="1">
      <alignment vertical="top"/>
    </xf>
    <xf numFmtId="0" fontId="30" fillId="0" borderId="0" xfId="0" applyFont="1" applyFill="1" applyAlignment="1">
      <alignment vertical="top" wrapText="1"/>
    </xf>
    <xf numFmtId="0" fontId="32" fillId="8" borderId="2" xfId="0" applyFont="1" applyFill="1" applyBorder="1" applyAlignment="1">
      <alignment horizontal="center" vertical="top"/>
    </xf>
    <xf numFmtId="0" fontId="32" fillId="8" borderId="2" xfId="0" applyFont="1" applyFill="1" applyBorder="1" applyAlignment="1">
      <alignment horizontal="center" vertical="top" wrapText="1"/>
    </xf>
    <xf numFmtId="0" fontId="1" fillId="0" borderId="2" xfId="0" applyFont="1" applyFill="1" applyBorder="1" applyAlignment="1">
      <alignment horizontal="center" vertical="top"/>
    </xf>
    <xf numFmtId="0" fontId="1" fillId="0" borderId="2" xfId="0" applyFont="1" applyFill="1" applyBorder="1" applyAlignment="1" applyProtection="1">
      <alignment wrapText="1"/>
      <protection locked="0"/>
    </xf>
    <xf numFmtId="0" fontId="1" fillId="0" borderId="2" xfId="0" applyFont="1" applyFill="1" applyBorder="1" applyAlignment="1" applyProtection="1">
      <alignment vertical="top" wrapText="1"/>
      <protection locked="0"/>
    </xf>
    <xf numFmtId="9" fontId="1" fillId="0" borderId="2" xfId="51" applyFont="1" applyFill="1" applyBorder="1" applyAlignment="1">
      <alignment wrapText="1"/>
    </xf>
    <xf numFmtId="0" fontId="1" fillId="0" borderId="2" xfId="0" applyFont="1" applyBorder="1" applyAlignment="1">
      <alignment wrapText="1"/>
    </xf>
    <xf numFmtId="0" fontId="7" fillId="0" borderId="2" xfId="0" applyFont="1" applyFill="1" applyBorder="1" applyAlignment="1">
      <alignment vertical="center" wrapText="1"/>
    </xf>
    <xf numFmtId="0" fontId="6" fillId="8" borderId="0" xfId="0" applyFont="1" applyFill="1" applyAlignment="1">
      <alignment vertical="top"/>
    </xf>
    <xf numFmtId="0" fontId="6" fillId="8" borderId="0" xfId="0" applyFont="1" applyFill="1" applyAlignment="1">
      <alignment vertical="top" wrapText="1"/>
    </xf>
    <xf numFmtId="0" fontId="1" fillId="0" borderId="0" xfId="0" applyFont="1" applyFill="1" applyAlignment="1">
      <alignment vertical="top"/>
    </xf>
    <xf numFmtId="0" fontId="6" fillId="0" borderId="0" xfId="0" applyFont="1" applyFill="1" applyAlignment="1">
      <alignment vertical="top"/>
    </xf>
    <xf numFmtId="9" fontId="0" fillId="0" borderId="0" xfId="51" applyFont="1" applyFill="1"/>
    <xf numFmtId="9" fontId="0" fillId="0" borderId="0" xfId="51" applyFont="1"/>
    <xf numFmtId="0" fontId="1" fillId="0" borderId="2" xfId="0" applyFont="1" applyBorder="1" applyAlignment="1">
      <alignment vertical="center" wrapText="1"/>
    </xf>
    <xf numFmtId="0" fontId="0" fillId="0" borderId="0" xfId="0" applyFill="1" applyProtection="1">
      <protection locked="0"/>
    </xf>
    <xf numFmtId="0" fontId="0" fillId="0" borderId="0" xfId="0" applyFont="1" applyFill="1" applyProtection="1">
      <protection locked="0"/>
    </xf>
    <xf numFmtId="0" fontId="0" fillId="0" borderId="0" xfId="0" applyProtection="1">
      <protection locked="0"/>
    </xf>
    <xf numFmtId="0" fontId="6" fillId="0" borderId="2" xfId="0" applyFont="1" applyBorder="1" applyAlignment="1">
      <alignment horizontal="left" vertical="center" wrapText="1"/>
    </xf>
    <xf numFmtId="0" fontId="1" fillId="2" borderId="0" xfId="14" applyFont="1" applyFill="1" applyAlignment="1" applyProtection="1">
      <alignment horizontal="center" vertical="center"/>
      <protection locked="0"/>
    </xf>
    <xf numFmtId="0" fontId="1" fillId="2" borderId="0" xfId="14" applyFont="1" applyFill="1" applyAlignment="1" applyProtection="1">
      <alignment vertical="center"/>
      <protection locked="0"/>
    </xf>
    <xf numFmtId="2" fontId="1" fillId="2" borderId="0" xfId="14" applyNumberFormat="1" applyFont="1" applyFill="1" applyAlignment="1" applyProtection="1">
      <alignment vertical="center"/>
      <protection locked="0"/>
    </xf>
    <xf numFmtId="0" fontId="33" fillId="2" borderId="0" xfId="14" applyFont="1" applyFill="1" applyAlignment="1" applyProtection="1">
      <alignment vertical="center"/>
      <protection locked="0"/>
    </xf>
    <xf numFmtId="0" fontId="34" fillId="2" borderId="0" xfId="14" applyFont="1" applyFill="1" applyBorder="1" applyAlignment="1" applyProtection="1">
      <alignment horizontal="center" vertical="center" wrapText="1"/>
      <protection locked="0"/>
    </xf>
    <xf numFmtId="0" fontId="13" fillId="7" borderId="0" xfId="14" applyFont="1" applyFill="1" applyBorder="1" applyAlignment="1" applyProtection="1">
      <alignment horizontal="center" vertical="center" wrapText="1"/>
      <protection locked="0"/>
    </xf>
    <xf numFmtId="0" fontId="35" fillId="2" borderId="0" xfId="14" applyFont="1" applyFill="1" applyBorder="1" applyAlignment="1" applyProtection="1">
      <alignment horizontal="left" vertical="center"/>
      <protection locked="0"/>
    </xf>
    <xf numFmtId="0" fontId="27" fillId="2" borderId="0" xfId="14" applyFont="1" applyFill="1" applyBorder="1" applyAlignment="1" applyProtection="1">
      <alignment horizontal="center" vertical="center"/>
      <protection locked="0"/>
    </xf>
    <xf numFmtId="0" fontId="36" fillId="2" borderId="0" xfId="14" applyFont="1" applyFill="1" applyAlignment="1" applyProtection="1">
      <alignment vertical="center"/>
      <protection locked="0"/>
    </xf>
    <xf numFmtId="2" fontId="36" fillId="2" borderId="0" xfId="14" applyNumberFormat="1" applyFont="1" applyFill="1" applyAlignment="1" applyProtection="1">
      <alignment vertical="center"/>
      <protection locked="0"/>
    </xf>
    <xf numFmtId="0" fontId="1" fillId="2" borderId="0" xfId="14" applyFont="1" applyFill="1" applyBorder="1" applyAlignment="1" applyProtection="1">
      <alignment horizontal="center" vertical="center"/>
      <protection locked="0"/>
    </xf>
    <xf numFmtId="0" fontId="5" fillId="2" borderId="2" xfId="14" applyFont="1" applyFill="1" applyBorder="1" applyAlignment="1" applyProtection="1">
      <alignment horizontal="center" vertical="center"/>
      <protection locked="0"/>
    </xf>
    <xf numFmtId="0" fontId="5" fillId="6" borderId="2" xfId="14" applyFont="1" applyFill="1" applyBorder="1" applyAlignment="1" applyProtection="1">
      <alignment horizontal="center" vertical="center" wrapText="1"/>
      <protection locked="0"/>
    </xf>
    <xf numFmtId="0" fontId="1" fillId="5" borderId="2" xfId="14" applyFont="1" applyFill="1" applyBorder="1" applyAlignment="1" applyProtection="1">
      <alignment horizontal="center" vertical="top" wrapText="1"/>
      <protection locked="0"/>
    </xf>
    <xf numFmtId="0" fontId="6" fillId="0" borderId="2" xfId="17" applyFont="1" applyBorder="1" applyAlignment="1">
      <alignment vertical="top" wrapText="1"/>
    </xf>
    <xf numFmtId="0" fontId="6" fillId="6" borderId="2" xfId="17" applyFont="1" applyFill="1" applyBorder="1" applyAlignment="1">
      <alignment vertical="top" wrapText="1"/>
    </xf>
    <xf numFmtId="0" fontId="1" fillId="7" borderId="2" xfId="17" applyFont="1" applyFill="1" applyBorder="1"/>
    <xf numFmtId="0" fontId="1" fillId="0" borderId="2" xfId="17" applyFont="1" applyFill="1" applyBorder="1"/>
    <xf numFmtId="0" fontId="1" fillId="2" borderId="2" xfId="14" applyFont="1" applyFill="1" applyBorder="1" applyAlignment="1" applyProtection="1">
      <alignment horizontal="center" vertical="center"/>
      <protection locked="0"/>
    </xf>
    <xf numFmtId="0" fontId="5" fillId="2" borderId="2" xfId="14" applyFont="1" applyFill="1" applyBorder="1" applyAlignment="1" applyProtection="1">
      <alignment vertical="center"/>
      <protection locked="0"/>
    </xf>
    <xf numFmtId="0" fontId="1" fillId="2" borderId="0" xfId="14" applyFont="1" applyFill="1" applyAlignment="1" applyProtection="1">
      <alignment horizontal="left" vertical="center"/>
      <protection locked="0"/>
    </xf>
    <xf numFmtId="2" fontId="1" fillId="6" borderId="0" xfId="14" applyNumberFormat="1" applyFont="1" applyFill="1" applyAlignment="1" applyProtection="1">
      <alignment vertical="center"/>
      <protection locked="0"/>
    </xf>
    <xf numFmtId="2" fontId="1" fillId="2" borderId="0" xfId="14" applyNumberFormat="1" applyFont="1" applyFill="1" applyAlignment="1" applyProtection="1">
      <alignment horizontal="center" vertical="center"/>
      <protection locked="0"/>
    </xf>
    <xf numFmtId="0" fontId="33" fillId="2" borderId="0" xfId="14" applyFont="1" applyFill="1" applyAlignment="1" applyProtection="1">
      <alignment horizontal="center" vertical="center"/>
      <protection locked="0"/>
    </xf>
    <xf numFmtId="2" fontId="10" fillId="6" borderId="6" xfId="17" applyNumberFormat="1" applyFont="1" applyFill="1" applyBorder="1" applyAlignment="1">
      <alignment horizontal="center" vertical="center" wrapText="1"/>
    </xf>
    <xf numFmtId="0" fontId="37" fillId="2" borderId="2" xfId="14" applyFont="1" applyFill="1" applyBorder="1" applyAlignment="1" applyProtection="1">
      <alignment horizontal="center" vertical="center" wrapText="1"/>
      <protection locked="0"/>
    </xf>
    <xf numFmtId="2" fontId="10" fillId="6" borderId="3" xfId="17" applyNumberFormat="1" applyFont="1" applyFill="1" applyBorder="1" applyAlignment="1">
      <alignment horizontal="center" vertical="center" wrapText="1"/>
    </xf>
    <xf numFmtId="1" fontId="6" fillId="6" borderId="2" xfId="17" applyNumberFormat="1" applyFont="1" applyFill="1" applyBorder="1" applyAlignment="1">
      <alignment vertical="top" wrapText="1"/>
    </xf>
    <xf numFmtId="0" fontId="33" fillId="2" borderId="2" xfId="14" applyFont="1" applyFill="1" applyBorder="1" applyAlignment="1" applyProtection="1">
      <alignment horizontal="center" vertical="top"/>
      <protection locked="0"/>
    </xf>
    <xf numFmtId="0" fontId="33" fillId="2" borderId="2" xfId="14" applyFont="1" applyFill="1" applyBorder="1" applyAlignment="1" applyProtection="1">
      <alignment vertical="top"/>
      <protection locked="0"/>
    </xf>
    <xf numFmtId="1" fontId="33" fillId="2" borderId="2" xfId="14" applyNumberFormat="1" applyFont="1" applyFill="1" applyBorder="1" applyAlignment="1" applyProtection="1">
      <alignment vertical="top"/>
      <protection locked="0"/>
    </xf>
    <xf numFmtId="1" fontId="5" fillId="6" borderId="2" xfId="14" applyNumberFormat="1" applyFont="1" applyFill="1" applyBorder="1" applyAlignment="1" applyProtection="1">
      <alignment vertical="center"/>
      <protection locked="0"/>
    </xf>
    <xf numFmtId="0" fontId="33" fillId="2" borderId="2" xfId="14" applyFont="1" applyFill="1" applyBorder="1" applyAlignment="1" applyProtection="1">
      <alignment vertical="center"/>
      <protection locked="0"/>
    </xf>
    <xf numFmtId="2" fontId="5" fillId="6" borderId="2" xfId="14" applyNumberFormat="1" applyFont="1" applyFill="1" applyBorder="1" applyAlignment="1" applyProtection="1">
      <alignment vertical="center"/>
      <protection locked="0"/>
    </xf>
    <xf numFmtId="0" fontId="37" fillId="2" borderId="2" xfId="14" applyFont="1" applyFill="1" applyBorder="1" applyAlignment="1" applyProtection="1">
      <alignment vertical="center"/>
      <protection locked="0"/>
    </xf>
    <xf numFmtId="2" fontId="37" fillId="2" borderId="2" xfId="14" applyNumberFormat="1" applyFont="1" applyFill="1" applyBorder="1" applyAlignment="1" applyProtection="1">
      <alignment vertical="center"/>
      <protection locked="0"/>
    </xf>
    <xf numFmtId="0" fontId="1" fillId="2" borderId="0" xfId="14" applyFont="1" applyFill="1" applyAlignment="1" applyProtection="1">
      <alignment horizontal="center" vertical="center" wrapText="1"/>
      <protection locked="0"/>
    </xf>
    <xf numFmtId="0" fontId="1" fillId="2" borderId="0" xfId="14" applyFont="1" applyFill="1" applyAlignment="1" applyProtection="1">
      <alignment vertical="top"/>
      <protection locked="0"/>
    </xf>
    <xf numFmtId="0" fontId="0" fillId="6" borderId="0" xfId="58" applyFill="1"/>
    <xf numFmtId="0" fontId="34" fillId="2" borderId="0" xfId="58" applyFont="1" applyFill="1" applyBorder="1" applyAlignment="1" applyProtection="1">
      <alignment vertical="center"/>
      <protection locked="0"/>
    </xf>
    <xf numFmtId="0" fontId="38" fillId="2" borderId="0" xfId="58" applyFont="1" applyFill="1" applyBorder="1" applyAlignment="1" applyProtection="1">
      <alignment vertical="center"/>
      <protection locked="0"/>
    </xf>
    <xf numFmtId="0" fontId="0" fillId="6" borderId="0" xfId="58" applyFont="1" applyFill="1"/>
    <xf numFmtId="0" fontId="0" fillId="6" borderId="0" xfId="58" applyFill="1" applyAlignment="1">
      <alignment horizontal="left" vertical="center" wrapText="1"/>
    </xf>
    <xf numFmtId="0" fontId="4" fillId="2" borderId="0" xfId="0" applyFont="1" applyFill="1" applyAlignment="1" applyProtection="1">
      <alignment vertical="center"/>
      <protection locked="0"/>
    </xf>
    <xf numFmtId="0" fontId="1" fillId="2" borderId="0" xfId="0" applyFont="1" applyFill="1" applyAlignment="1" applyProtection="1">
      <alignment horizontal="center" vertical="center" wrapText="1"/>
      <protection locked="0"/>
    </xf>
    <xf numFmtId="0" fontId="1" fillId="2" borderId="0" xfId="0" applyFont="1" applyFill="1" applyAlignment="1" applyProtection="1">
      <alignment vertical="center" wrapText="1"/>
      <protection locked="0"/>
    </xf>
    <xf numFmtId="0" fontId="1" fillId="2" borderId="0" xfId="0" applyFont="1" applyFill="1" applyAlignment="1" applyProtection="1">
      <alignment horizontal="center" vertical="center"/>
      <protection locked="0"/>
    </xf>
    <xf numFmtId="0" fontId="4" fillId="2" borderId="0" xfId="0" applyFont="1" applyFill="1" applyBorder="1" applyAlignment="1" applyProtection="1">
      <alignment vertical="center"/>
      <protection locked="0"/>
    </xf>
    <xf numFmtId="0" fontId="1" fillId="2" borderId="0" xfId="0" applyFont="1" applyFill="1" applyAlignment="1" applyProtection="1">
      <alignment vertical="center"/>
      <protection locked="0"/>
    </xf>
    <xf numFmtId="0" fontId="34" fillId="2" borderId="0" xfId="0" applyFont="1" applyFill="1" applyBorder="1" applyAlignment="1" applyProtection="1">
      <alignment vertical="center" wrapText="1"/>
      <protection locked="0"/>
    </xf>
    <xf numFmtId="0" fontId="34" fillId="2" borderId="0" xfId="0" applyFont="1" applyFill="1" applyBorder="1" applyAlignment="1" applyProtection="1">
      <alignment vertical="center"/>
      <protection locked="0"/>
    </xf>
    <xf numFmtId="0" fontId="35" fillId="2" borderId="0" xfId="0" applyFont="1" applyFill="1" applyBorder="1" applyAlignment="1" applyProtection="1">
      <alignment horizontal="left" vertical="center"/>
      <protection locked="0"/>
    </xf>
    <xf numFmtId="0" fontId="27" fillId="2" borderId="0" xfId="0" applyFont="1" applyFill="1" applyBorder="1" applyAlignment="1" applyProtection="1">
      <alignment horizontal="center" vertical="center"/>
      <protection locked="0"/>
    </xf>
    <xf numFmtId="0" fontId="4" fillId="2" borderId="0" xfId="0" applyFont="1" applyFill="1" applyBorder="1" applyAlignment="1" applyProtection="1">
      <alignment horizontal="left" vertical="center"/>
      <protection locked="0"/>
    </xf>
    <xf numFmtId="0" fontId="4" fillId="2" borderId="0"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protection locked="0"/>
    </xf>
    <xf numFmtId="0" fontId="1" fillId="5" borderId="2" xfId="0" applyFont="1" applyFill="1" applyBorder="1" applyAlignment="1" applyProtection="1">
      <alignment vertical="center" wrapText="1"/>
      <protection locked="0"/>
    </xf>
    <xf numFmtId="0" fontId="1" fillId="0" borderId="2" xfId="0" applyFont="1" applyBorder="1" applyAlignment="1">
      <alignment vertical="center"/>
    </xf>
    <xf numFmtId="0" fontId="1" fillId="5" borderId="2" xfId="0" applyFont="1" applyFill="1" applyBorder="1" applyAlignment="1" applyProtection="1">
      <alignment horizontal="left" vertical="center" wrapText="1"/>
      <protection locked="0"/>
    </xf>
    <xf numFmtId="0" fontId="1" fillId="0" borderId="2" xfId="0" applyFont="1" applyBorder="1" applyAlignment="1">
      <alignment horizontal="justify" vertical="center"/>
    </xf>
    <xf numFmtId="0" fontId="6" fillId="2" borderId="0" xfId="0" applyFont="1" applyFill="1" applyAlignment="1" applyProtection="1">
      <alignment vertical="center"/>
      <protection locked="0"/>
    </xf>
    <xf numFmtId="0" fontId="36" fillId="2" borderId="0" xfId="0" applyFont="1" applyFill="1" applyBorder="1" applyAlignment="1" applyProtection="1">
      <alignment horizontal="left" vertical="center"/>
      <protection locked="0"/>
    </xf>
    <xf numFmtId="0" fontId="39" fillId="2" borderId="0" xfId="0" applyFont="1" applyFill="1" applyBorder="1" applyAlignment="1" applyProtection="1">
      <alignment horizontal="left" vertical="center"/>
      <protection locked="0"/>
    </xf>
    <xf numFmtId="0" fontId="39" fillId="2" borderId="0" xfId="0" applyFont="1" applyFill="1" applyBorder="1" applyAlignment="1" applyProtection="1">
      <alignment horizontal="center" vertical="center"/>
      <protection locked="0"/>
    </xf>
    <xf numFmtId="0" fontId="40" fillId="2" borderId="0" xfId="0" applyFont="1" applyFill="1" applyAlignment="1" applyProtection="1">
      <alignment vertical="center"/>
      <protection locked="0"/>
    </xf>
    <xf numFmtId="0" fontId="20" fillId="2" borderId="0" xfId="0" applyFont="1" applyFill="1" applyAlignment="1" applyProtection="1">
      <alignment horizontal="left" vertical="center" wrapText="1"/>
      <protection locked="0"/>
    </xf>
    <xf numFmtId="0" fontId="4" fillId="2" borderId="0" xfId="0" applyFont="1" applyFill="1" applyBorder="1" applyAlignment="1" applyProtection="1">
      <alignment horizontal="left" vertical="center" wrapText="1"/>
      <protection locked="0"/>
    </xf>
    <xf numFmtId="0" fontId="10" fillId="2" borderId="0" xfId="0" applyFont="1" applyFill="1" applyBorder="1" applyAlignment="1" applyProtection="1">
      <alignment vertical="center"/>
      <protection locked="0"/>
    </xf>
    <xf numFmtId="0" fontId="5" fillId="2" borderId="0" xfId="0" applyFont="1" applyFill="1" applyAlignment="1" applyProtection="1">
      <alignment horizontal="left" vertical="center" wrapText="1"/>
      <protection locked="0"/>
    </xf>
    <xf numFmtId="0" fontId="6" fillId="2" borderId="0" xfId="0" applyFont="1" applyFill="1" applyAlignment="1" applyProtection="1">
      <alignment horizontal="center" vertical="center"/>
      <protection locked="0"/>
    </xf>
    <xf numFmtId="0" fontId="41" fillId="2" borderId="0" xfId="0" applyFont="1" applyFill="1" applyAlignment="1" applyProtection="1">
      <alignment horizontal="left" vertical="center" wrapText="1"/>
      <protection locked="0"/>
    </xf>
    <xf numFmtId="0" fontId="1" fillId="5" borderId="2" xfId="0" applyFont="1" applyFill="1" applyBorder="1" applyAlignment="1" applyProtection="1">
      <alignment horizontal="center" vertical="center" wrapText="1"/>
      <protection locked="0"/>
    </xf>
    <xf numFmtId="0" fontId="6" fillId="2" borderId="0" xfId="0" applyFont="1" applyFill="1" applyBorder="1" applyAlignment="1" applyProtection="1">
      <alignment horizontal="center" vertical="center"/>
      <protection locked="0"/>
    </xf>
    <xf numFmtId="0" fontId="4" fillId="2" borderId="0" xfId="0" applyFont="1" applyFill="1" applyBorder="1" applyAlignment="1" applyProtection="1">
      <alignment vertical="center" wrapText="1"/>
      <protection locked="0"/>
    </xf>
    <xf numFmtId="0" fontId="18" fillId="2" borderId="0" xfId="0" applyFont="1" applyFill="1" applyBorder="1" applyAlignment="1" applyProtection="1">
      <alignment vertical="center"/>
      <protection locked="0"/>
    </xf>
    <xf numFmtId="0" fontId="18" fillId="2" borderId="0" xfId="0" applyFont="1" applyFill="1" applyAlignment="1" applyProtection="1">
      <alignment horizontal="left" vertical="center" wrapText="1"/>
      <protection locked="0"/>
    </xf>
    <xf numFmtId="0" fontId="18" fillId="2" borderId="0" xfId="0" applyFont="1" applyFill="1" applyBorder="1" applyAlignment="1" applyProtection="1">
      <alignment vertical="center" wrapText="1"/>
      <protection locked="0"/>
    </xf>
    <xf numFmtId="2" fontId="39" fillId="2" borderId="0" xfId="0" applyNumberFormat="1" applyFont="1" applyFill="1" applyBorder="1" applyAlignment="1" applyProtection="1">
      <alignment horizontal="center" vertical="center"/>
      <protection locked="0"/>
    </xf>
    <xf numFmtId="0" fontId="42" fillId="2" borderId="0" xfId="0" applyFont="1" applyFill="1" applyAlignment="1" applyProtection="1">
      <alignment horizontal="left" vertical="center" wrapText="1"/>
      <protection locked="0"/>
    </xf>
    <xf numFmtId="0" fontId="5" fillId="2" borderId="0" xfId="0" applyFont="1" applyFill="1" applyAlignment="1" applyProtection="1">
      <alignment horizontal="center" vertical="center"/>
    </xf>
    <xf numFmtId="0" fontId="41" fillId="2" borderId="0" xfId="0" applyFont="1" applyFill="1" applyAlignment="1" applyProtection="1">
      <alignment vertical="center" wrapText="1"/>
      <protection locked="0"/>
    </xf>
    <xf numFmtId="0" fontId="5" fillId="2" borderId="6" xfId="0" applyFont="1" applyFill="1" applyBorder="1" applyAlignment="1" applyProtection="1">
      <alignment vertical="center" wrapText="1"/>
      <protection locked="0"/>
    </xf>
    <xf numFmtId="0" fontId="1" fillId="6" borderId="2"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protection locked="0"/>
    </xf>
    <xf numFmtId="0" fontId="43" fillId="2" borderId="0" xfId="0" applyFont="1" applyFill="1" applyBorder="1" applyAlignment="1" applyProtection="1">
      <alignment horizontal="center" vertical="center"/>
      <protection locked="0"/>
    </xf>
    <xf numFmtId="2" fontId="36" fillId="2" borderId="0" xfId="0" applyNumberFormat="1" applyFont="1" applyFill="1" applyBorder="1" applyAlignment="1" applyProtection="1">
      <alignment horizontal="center" vertical="center"/>
      <protection locked="0"/>
    </xf>
    <xf numFmtId="0" fontId="36" fillId="2" borderId="0" xfId="0" applyFont="1" applyFill="1" applyBorder="1" applyAlignment="1" applyProtection="1">
      <alignment horizontal="center" vertical="center"/>
      <protection locked="0"/>
    </xf>
    <xf numFmtId="0" fontId="18" fillId="2" borderId="0" xfId="0" applyFont="1" applyFill="1" applyAlignment="1" applyProtection="1">
      <alignment vertical="center"/>
      <protection locked="0"/>
    </xf>
    <xf numFmtId="2" fontId="1" fillId="2" borderId="0" xfId="0" applyNumberFormat="1" applyFont="1" applyFill="1" applyAlignment="1" applyProtection="1">
      <alignment vertical="center" wrapText="1"/>
      <protection locked="0"/>
    </xf>
    <xf numFmtId="0" fontId="5" fillId="2" borderId="2" xfId="0" applyFont="1" applyFill="1" applyBorder="1" applyAlignment="1" applyProtection="1">
      <alignment vertical="center" wrapText="1"/>
      <protection locked="0"/>
    </xf>
    <xf numFmtId="0" fontId="1" fillId="2" borderId="9" xfId="0" applyFont="1" applyFill="1" applyBorder="1" applyAlignment="1" applyProtection="1">
      <alignment horizontal="center" vertical="center" wrapText="1"/>
      <protection locked="0"/>
    </xf>
    <xf numFmtId="0" fontId="1" fillId="2" borderId="0" xfId="0" applyFont="1" applyFill="1" applyAlignment="1" applyProtection="1">
      <alignment horizontal="left" vertical="center" wrapText="1"/>
      <protection locked="0"/>
    </xf>
    <xf numFmtId="0" fontId="6" fillId="2" borderId="0" xfId="0" applyFont="1" applyFill="1" applyBorder="1" applyAlignment="1" applyProtection="1">
      <alignment horizontal="left" vertical="center"/>
      <protection locked="0"/>
    </xf>
    <xf numFmtId="0" fontId="1" fillId="2" borderId="9" xfId="0" applyFont="1" applyFill="1" applyBorder="1" applyAlignment="1" applyProtection="1">
      <alignment horizontal="left" vertical="center" wrapText="1"/>
      <protection locked="0"/>
    </xf>
    <xf numFmtId="0" fontId="6" fillId="2" borderId="0" xfId="0" applyFont="1" applyFill="1" applyBorder="1" applyAlignment="1" applyProtection="1">
      <alignment vertical="center"/>
      <protection locked="0"/>
    </xf>
    <xf numFmtId="49" fontId="1" fillId="5" borderId="2" xfId="0" applyNumberFormat="1" applyFont="1" applyFill="1" applyBorder="1" applyAlignment="1" applyProtection="1">
      <alignment horizontal="center" vertical="center" wrapText="1"/>
      <protection locked="0"/>
    </xf>
    <xf numFmtId="0" fontId="6" fillId="2" borderId="10" xfId="0" applyFont="1" applyFill="1" applyBorder="1" applyAlignment="1" applyProtection="1">
      <alignment horizontal="center" vertical="center"/>
      <protection locked="0"/>
    </xf>
    <xf numFmtId="0" fontId="1" fillId="2" borderId="0" xfId="0" applyFont="1" applyFill="1" applyBorder="1" applyAlignment="1" applyProtection="1">
      <alignment horizontal="left" vertical="center" wrapText="1"/>
      <protection locked="0"/>
    </xf>
    <xf numFmtId="0" fontId="44" fillId="2" borderId="0" xfId="0" applyFont="1" applyFill="1" applyAlignment="1" applyProtection="1">
      <alignment vertical="center"/>
      <protection locked="0"/>
    </xf>
    <xf numFmtId="0" fontId="20" fillId="2" borderId="11" xfId="0" applyFont="1" applyFill="1" applyBorder="1" applyAlignment="1" applyProtection="1">
      <alignment horizontal="left" vertical="center" wrapText="1"/>
      <protection locked="0"/>
    </xf>
    <xf numFmtId="0" fontId="1" fillId="2" borderId="0" xfId="0" applyFont="1" applyFill="1" applyBorder="1" applyAlignment="1" applyProtection="1">
      <alignment vertical="center" wrapText="1"/>
      <protection locked="0"/>
    </xf>
    <xf numFmtId="0" fontId="1" fillId="2" borderId="0" xfId="0" applyFont="1" applyFill="1" applyBorder="1" applyAlignment="1" applyProtection="1">
      <alignment horizontal="center" vertical="center" wrapText="1"/>
      <protection locked="0"/>
    </xf>
    <xf numFmtId="0" fontId="13" fillId="2" borderId="0" xfId="14" applyFont="1" applyFill="1" applyBorder="1" applyAlignment="1" applyProtection="1">
      <alignment horizontal="center" vertical="center" wrapText="1"/>
      <protection locked="0"/>
    </xf>
    <xf numFmtId="0" fontId="27" fillId="6" borderId="0" xfId="0" applyFont="1" applyFill="1" applyBorder="1" applyAlignment="1" applyProtection="1">
      <alignment horizontal="center" vertical="center"/>
      <protection locked="0"/>
    </xf>
    <xf numFmtId="0" fontId="45" fillId="2" borderId="0" xfId="14" applyFont="1" applyFill="1" applyBorder="1" applyAlignment="1" applyProtection="1">
      <alignment horizontal="left" vertical="center"/>
      <protection locked="0"/>
    </xf>
    <xf numFmtId="0" fontId="21" fillId="2" borderId="0" xfId="14" applyFont="1" applyFill="1" applyBorder="1" applyAlignment="1" applyProtection="1">
      <alignment horizontal="left" vertical="center"/>
      <protection locked="0"/>
    </xf>
    <xf numFmtId="0" fontId="5" fillId="2" borderId="0" xfId="14" applyFont="1" applyFill="1" applyAlignment="1" applyProtection="1">
      <alignment vertical="center"/>
      <protection locked="0"/>
    </xf>
    <xf numFmtId="2" fontId="5" fillId="2" borderId="0" xfId="14" applyNumberFormat="1" applyFont="1" applyFill="1" applyAlignment="1" applyProtection="1">
      <alignment vertical="center"/>
      <protection locked="0"/>
    </xf>
    <xf numFmtId="0" fontId="1" fillId="6" borderId="2" xfId="0" applyFont="1" applyFill="1" applyBorder="1" applyAlignment="1">
      <alignment vertical="top" wrapText="1"/>
    </xf>
    <xf numFmtId="0" fontId="6" fillId="0" borderId="2" xfId="0" applyFont="1" applyFill="1" applyBorder="1"/>
    <xf numFmtId="0" fontId="6" fillId="7" borderId="2" xfId="0" applyFont="1" applyFill="1" applyBorder="1" applyAlignment="1">
      <alignment vertical="top" wrapText="1"/>
    </xf>
    <xf numFmtId="0" fontId="11" fillId="0" borderId="0" xfId="0" applyFont="1"/>
    <xf numFmtId="2" fontId="5" fillId="6" borderId="6" xfId="0" applyNumberFormat="1" applyFont="1" applyFill="1" applyBorder="1" applyAlignment="1">
      <alignment horizontal="center" vertical="center" wrapText="1"/>
    </xf>
    <xf numFmtId="2" fontId="5" fillId="6" borderId="3" xfId="0" applyNumberFormat="1" applyFont="1" applyFill="1" applyBorder="1" applyAlignment="1">
      <alignment horizontal="center" vertical="center" wrapText="1"/>
    </xf>
    <xf numFmtId="2" fontId="1" fillId="4" borderId="2" xfId="0" applyNumberFormat="1" applyFont="1" applyFill="1" applyBorder="1" applyAlignment="1">
      <alignment vertical="top" wrapText="1"/>
    </xf>
    <xf numFmtId="2" fontId="1" fillId="6" borderId="2" xfId="0" applyNumberFormat="1" applyFont="1" applyFill="1" applyBorder="1" applyAlignment="1">
      <alignment vertical="top" wrapText="1"/>
    </xf>
    <xf numFmtId="0" fontId="1" fillId="2" borderId="0" xfId="17" applyFont="1" applyFill="1" applyAlignment="1" applyProtection="1">
      <alignment horizontal="center" vertical="center"/>
      <protection locked="0"/>
    </xf>
    <xf numFmtId="0" fontId="1" fillId="2" borderId="0" xfId="17" applyFont="1" applyFill="1" applyAlignment="1" applyProtection="1">
      <alignment horizontal="center" vertical="center" wrapText="1"/>
      <protection locked="0"/>
    </xf>
    <xf numFmtId="0" fontId="1" fillId="2" borderId="0" xfId="17" applyFont="1" applyFill="1" applyAlignment="1" applyProtection="1">
      <alignment vertical="center" wrapText="1"/>
      <protection locked="0"/>
    </xf>
    <xf numFmtId="0" fontId="33" fillId="2" borderId="0" xfId="17" applyFont="1" applyFill="1" applyAlignment="1" applyProtection="1">
      <alignment vertical="center"/>
      <protection locked="0"/>
    </xf>
    <xf numFmtId="0" fontId="1" fillId="2" borderId="0" xfId="17" applyFont="1" applyFill="1" applyAlignment="1" applyProtection="1">
      <alignment vertical="center"/>
      <protection locked="0"/>
    </xf>
    <xf numFmtId="0" fontId="1" fillId="2" borderId="0" xfId="17" applyFont="1" applyFill="1" applyAlignment="1" applyProtection="1">
      <alignment horizontal="left" vertical="center" wrapText="1"/>
      <protection locked="0"/>
    </xf>
    <xf numFmtId="0" fontId="33" fillId="2" borderId="0" xfId="17" applyFont="1" applyFill="1" applyAlignment="1" applyProtection="1">
      <alignment horizontal="left" vertical="center" wrapText="1"/>
      <protection locked="0"/>
    </xf>
    <xf numFmtId="0" fontId="33" fillId="2" borderId="0" xfId="17" applyFont="1" applyFill="1" applyAlignment="1" applyProtection="1">
      <alignment vertical="center" wrapText="1"/>
      <protection locked="0"/>
    </xf>
    <xf numFmtId="0" fontId="1" fillId="4" borderId="0" xfId="17" applyFont="1" applyFill="1" applyAlignment="1" applyProtection="1">
      <alignment vertical="center"/>
      <protection locked="0"/>
    </xf>
    <xf numFmtId="0" fontId="13" fillId="2" borderId="0" xfId="17" applyFont="1" applyFill="1" applyBorder="1" applyAlignment="1" applyProtection="1">
      <alignment horizontal="center" vertical="center" wrapText="1"/>
      <protection locked="0"/>
    </xf>
    <xf numFmtId="0" fontId="27" fillId="6" borderId="0" xfId="17" applyFont="1" applyFill="1" applyBorder="1" applyAlignment="1" applyProtection="1">
      <alignment horizontal="center" vertical="center"/>
      <protection locked="0"/>
    </xf>
    <xf numFmtId="0" fontId="45" fillId="2" borderId="0" xfId="17" applyFont="1" applyFill="1" applyBorder="1" applyAlignment="1" applyProtection="1">
      <alignment horizontal="left" vertical="center"/>
      <protection locked="0"/>
    </xf>
    <xf numFmtId="0" fontId="45" fillId="2" borderId="0" xfId="17" applyFont="1" applyFill="1" applyBorder="1" applyAlignment="1" applyProtection="1">
      <alignment horizontal="left" vertical="center" wrapText="1"/>
      <protection locked="0"/>
    </xf>
    <xf numFmtId="0" fontId="1" fillId="2" borderId="0" xfId="17" applyFont="1" applyFill="1" applyBorder="1" applyAlignment="1" applyProtection="1">
      <alignment horizontal="center" vertical="center"/>
      <protection locked="0"/>
    </xf>
    <xf numFmtId="0" fontId="1" fillId="2" borderId="0" xfId="17" applyFont="1" applyFill="1" applyBorder="1" applyAlignment="1" applyProtection="1">
      <alignment horizontal="center" vertical="center" wrapText="1"/>
      <protection locked="0"/>
    </xf>
    <xf numFmtId="0" fontId="5" fillId="2" borderId="6" xfId="17" applyFont="1" applyFill="1" applyBorder="1" applyAlignment="1" applyProtection="1">
      <alignment horizontal="center" vertical="center"/>
      <protection locked="0"/>
    </xf>
    <xf numFmtId="0" fontId="5" fillId="2" borderId="6" xfId="17" applyFont="1" applyFill="1" applyBorder="1" applyAlignment="1" applyProtection="1">
      <alignment horizontal="center" vertical="center" wrapText="1"/>
      <protection locked="0"/>
    </xf>
    <xf numFmtId="0" fontId="5" fillId="2" borderId="3" xfId="17" applyFont="1" applyFill="1" applyBorder="1" applyAlignment="1" applyProtection="1">
      <alignment horizontal="center" vertical="center"/>
      <protection locked="0"/>
    </xf>
    <xf numFmtId="0" fontId="5" fillId="2" borderId="3" xfId="17" applyFont="1" applyFill="1" applyBorder="1" applyAlignment="1" applyProtection="1">
      <alignment horizontal="center" vertical="center" wrapText="1"/>
      <protection locked="0"/>
    </xf>
    <xf numFmtId="0" fontId="5" fillId="9" borderId="6" xfId="17" applyFont="1" applyFill="1" applyBorder="1" applyAlignment="1" applyProtection="1">
      <alignment horizontal="center" vertical="center" wrapText="1"/>
      <protection locked="0"/>
    </xf>
    <xf numFmtId="0" fontId="5" fillId="9" borderId="12" xfId="17" applyFont="1" applyFill="1" applyBorder="1" applyAlignment="1" applyProtection="1">
      <alignment horizontal="left" vertical="center" wrapText="1"/>
      <protection locked="0"/>
    </xf>
    <xf numFmtId="0" fontId="5" fillId="9" borderId="9" xfId="17" applyFont="1" applyFill="1" applyBorder="1" applyAlignment="1" applyProtection="1">
      <alignment horizontal="left" vertical="center" wrapText="1"/>
      <protection locked="0"/>
    </xf>
    <xf numFmtId="0" fontId="5" fillId="9" borderId="13" xfId="17" applyFont="1" applyFill="1" applyBorder="1" applyAlignment="1" applyProtection="1">
      <alignment horizontal="left" vertical="center" wrapText="1"/>
      <protection locked="0"/>
    </xf>
    <xf numFmtId="0" fontId="1" fillId="5" borderId="2" xfId="17" applyFont="1" applyFill="1" applyBorder="1" applyAlignment="1" applyProtection="1">
      <alignment horizontal="center" vertical="center" wrapText="1"/>
      <protection locked="0"/>
    </xf>
    <xf numFmtId="49" fontId="1" fillId="5" borderId="2" xfId="17" applyNumberFormat="1" applyFont="1" applyFill="1" applyBorder="1" applyAlignment="1" applyProtection="1">
      <alignment horizontal="left" vertical="center" wrapText="1"/>
      <protection locked="0"/>
    </xf>
    <xf numFmtId="0" fontId="1" fillId="0" borderId="2" xfId="17" applyFont="1" applyFill="1" applyBorder="1" applyAlignment="1" applyProtection="1">
      <alignment horizontal="center" vertical="center" wrapText="1"/>
      <protection locked="0"/>
    </xf>
    <xf numFmtId="49" fontId="1" fillId="0" borderId="2" xfId="17" applyNumberFormat="1" applyFont="1" applyFill="1" applyBorder="1" applyAlignment="1" applyProtection="1">
      <alignment horizontal="left" vertical="center" wrapText="1"/>
      <protection locked="0"/>
    </xf>
    <xf numFmtId="49" fontId="1" fillId="0" borderId="2" xfId="17" applyNumberFormat="1" applyFont="1" applyFill="1" applyBorder="1" applyAlignment="1" applyProtection="1">
      <alignment horizontal="center" vertical="center" wrapText="1"/>
      <protection locked="0"/>
    </xf>
    <xf numFmtId="0" fontId="5" fillId="2" borderId="12" xfId="17" applyFont="1" applyFill="1" applyBorder="1" applyAlignment="1" applyProtection="1">
      <alignment horizontal="center" vertical="center" wrapText="1"/>
      <protection locked="0"/>
    </xf>
    <xf numFmtId="0" fontId="5" fillId="2" borderId="9" xfId="17" applyFont="1" applyFill="1" applyBorder="1" applyAlignment="1" applyProtection="1">
      <alignment horizontal="center" vertical="center" wrapText="1"/>
      <protection locked="0"/>
    </xf>
    <xf numFmtId="0" fontId="5" fillId="2" borderId="6" xfId="17" applyFont="1" applyFill="1" applyBorder="1" applyAlignment="1" applyProtection="1">
      <alignment vertical="center" wrapText="1"/>
      <protection locked="0"/>
    </xf>
    <xf numFmtId="0" fontId="5" fillId="2" borderId="2" xfId="17" applyFont="1" applyFill="1" applyBorder="1" applyAlignment="1" applyProtection="1">
      <alignment horizontal="center" vertical="center" wrapText="1"/>
      <protection locked="0"/>
    </xf>
    <xf numFmtId="0" fontId="1" fillId="9" borderId="6" xfId="17" applyFont="1" applyFill="1" applyBorder="1" applyAlignment="1" applyProtection="1">
      <alignment horizontal="right" vertical="center" wrapText="1"/>
      <protection locked="0"/>
    </xf>
    <xf numFmtId="0" fontId="1" fillId="6" borderId="2" xfId="17" applyFont="1" applyFill="1" applyBorder="1" applyAlignment="1" applyProtection="1">
      <alignment horizontal="right" vertical="center" wrapText="1"/>
    </xf>
    <xf numFmtId="2" fontId="1" fillId="6" borderId="2" xfId="17" applyNumberFormat="1" applyFont="1" applyFill="1" applyBorder="1" applyAlignment="1" applyProtection="1">
      <alignment horizontal="right" vertical="center" wrapText="1"/>
    </xf>
    <xf numFmtId="0" fontId="27" fillId="2" borderId="0" xfId="17" applyFont="1" applyFill="1" applyBorder="1" applyAlignment="1" applyProtection="1">
      <alignment horizontal="center" vertical="center" wrapText="1"/>
      <protection locked="0"/>
    </xf>
    <xf numFmtId="0" fontId="27" fillId="2" borderId="0" xfId="17" applyFont="1" applyFill="1" applyBorder="1" applyAlignment="1" applyProtection="1">
      <alignment horizontal="left" vertical="center"/>
      <protection locked="0"/>
    </xf>
    <xf numFmtId="0" fontId="1" fillId="2" borderId="0" xfId="17" applyFont="1" applyFill="1" applyBorder="1" applyAlignment="1" applyProtection="1">
      <alignment horizontal="left" vertical="center" wrapText="1"/>
      <protection locked="0"/>
    </xf>
    <xf numFmtId="0" fontId="5" fillId="2" borderId="13" xfId="17" applyFont="1" applyFill="1" applyBorder="1" applyAlignment="1" applyProtection="1">
      <alignment horizontal="center" vertical="center" wrapText="1"/>
      <protection locked="0"/>
    </xf>
    <xf numFmtId="0" fontId="1" fillId="9" borderId="6" xfId="17" applyFont="1" applyFill="1" applyBorder="1" applyAlignment="1" applyProtection="1">
      <alignment horizontal="left" vertical="center" wrapText="1"/>
    </xf>
    <xf numFmtId="0" fontId="46" fillId="0" borderId="2" xfId="0" applyFont="1" applyFill="1" applyBorder="1" applyAlignment="1">
      <alignment horizontal="center" vertical="center"/>
    </xf>
    <xf numFmtId="0" fontId="1" fillId="6" borderId="2" xfId="17" applyFont="1" applyFill="1" applyBorder="1" applyAlignment="1" applyProtection="1">
      <alignment horizontal="left" vertical="center" wrapText="1"/>
    </xf>
    <xf numFmtId="0" fontId="47" fillId="2" borderId="0" xfId="17" applyFont="1" applyFill="1" applyBorder="1" applyAlignment="1" applyProtection="1">
      <alignment horizontal="left" vertical="center"/>
      <protection locked="0"/>
    </xf>
    <xf numFmtId="0" fontId="47" fillId="6" borderId="0" xfId="17" applyFont="1" applyFill="1" applyBorder="1" applyAlignment="1" applyProtection="1">
      <alignment horizontal="center" vertical="center"/>
      <protection locked="0"/>
    </xf>
    <xf numFmtId="0" fontId="33" fillId="2" borderId="0" xfId="17" applyFont="1" applyFill="1" applyBorder="1" applyAlignment="1" applyProtection="1">
      <alignment horizontal="left" vertical="center" wrapText="1"/>
      <protection locked="0"/>
    </xf>
    <xf numFmtId="0" fontId="33" fillId="2" borderId="0" xfId="17" applyFont="1" applyFill="1" applyBorder="1" applyAlignment="1" applyProtection="1">
      <alignment horizontal="center" vertical="center" wrapText="1"/>
      <protection locked="0"/>
    </xf>
    <xf numFmtId="0" fontId="37" fillId="2" borderId="1" xfId="17" applyFont="1" applyFill="1" applyBorder="1" applyAlignment="1" applyProtection="1">
      <alignment horizontal="center" vertical="center" wrapText="1"/>
      <protection locked="0"/>
    </xf>
    <xf numFmtId="0" fontId="37" fillId="2" borderId="5" xfId="17" applyFont="1" applyFill="1" applyBorder="1" applyAlignment="1" applyProtection="1">
      <alignment horizontal="center" vertical="center" wrapText="1"/>
      <protection locked="0"/>
    </xf>
    <xf numFmtId="0" fontId="37" fillId="2" borderId="2" xfId="17" applyFont="1" applyFill="1" applyBorder="1" applyAlignment="1" applyProtection="1">
      <alignment horizontal="center" vertical="center" wrapText="1"/>
      <protection locked="0"/>
    </xf>
    <xf numFmtId="0" fontId="33" fillId="9" borderId="6" xfId="17" applyFont="1" applyFill="1" applyBorder="1" applyAlignment="1" applyProtection="1">
      <alignment horizontal="left" vertical="center" wrapText="1"/>
    </xf>
    <xf numFmtId="0" fontId="33" fillId="9" borderId="6" xfId="17" applyFont="1" applyFill="1" applyBorder="1" applyAlignment="1" applyProtection="1">
      <alignment horizontal="right" vertical="center" wrapText="1"/>
    </xf>
    <xf numFmtId="0" fontId="33" fillId="2" borderId="2" xfId="17" applyFont="1" applyFill="1" applyBorder="1" applyAlignment="1" applyProtection="1">
      <alignment horizontal="center" vertical="center" wrapText="1"/>
      <protection locked="0"/>
    </xf>
    <xf numFmtId="0" fontId="33" fillId="6" borderId="2" xfId="17" applyFont="1" applyFill="1" applyBorder="1" applyAlignment="1" applyProtection="1">
      <alignment horizontal="right" vertical="center" wrapText="1"/>
    </xf>
    <xf numFmtId="0" fontId="33" fillId="2" borderId="0" xfId="17" applyFont="1" applyFill="1" applyBorder="1" applyAlignment="1" applyProtection="1">
      <alignment horizontal="center" vertical="center"/>
      <protection locked="0"/>
    </xf>
    <xf numFmtId="0" fontId="37" fillId="2" borderId="4" xfId="17" applyFont="1" applyFill="1" applyBorder="1" applyAlignment="1" applyProtection="1">
      <alignment horizontal="center" vertical="center" wrapText="1"/>
      <protection locked="0"/>
    </xf>
    <xf numFmtId="0" fontId="37" fillId="2" borderId="2" xfId="17" applyFont="1" applyFill="1" applyBorder="1" applyAlignment="1" applyProtection="1">
      <alignment vertical="center" wrapText="1"/>
      <protection locked="0"/>
    </xf>
    <xf numFmtId="0" fontId="33" fillId="9" borderId="6" xfId="17" applyFont="1" applyFill="1" applyBorder="1" applyAlignment="1" applyProtection="1">
      <alignment horizontal="right" vertical="center" wrapText="1"/>
      <protection locked="0"/>
    </xf>
    <xf numFmtId="9" fontId="28" fillId="0" borderId="2" xfId="17" applyNumberFormat="1" applyFont="1" applyBorder="1" applyAlignment="1">
      <alignment horizontal="right" vertical="center" wrapText="1"/>
    </xf>
    <xf numFmtId="0" fontId="1" fillId="2" borderId="0" xfId="17" applyFont="1" applyFill="1" applyBorder="1" applyAlignment="1" applyProtection="1">
      <alignment vertical="center"/>
      <protection locked="0"/>
    </xf>
    <xf numFmtId="0" fontId="1" fillId="9" borderId="6" xfId="17" applyFont="1" applyFill="1" applyBorder="1" applyAlignment="1" applyProtection="1">
      <alignment horizontal="center" vertical="center" wrapText="1"/>
      <protection locked="0"/>
    </xf>
    <xf numFmtId="0" fontId="1" fillId="9" borderId="6" xfId="17" applyFont="1" applyFill="1" applyBorder="1" applyAlignment="1" applyProtection="1">
      <alignment vertical="center" wrapText="1"/>
      <protection locked="0"/>
    </xf>
    <xf numFmtId="0" fontId="1" fillId="0" borderId="2" xfId="17" applyFont="1" applyBorder="1" applyAlignment="1" applyProtection="1">
      <alignment vertical="center" wrapText="1"/>
      <protection locked="0"/>
    </xf>
    <xf numFmtId="0" fontId="1" fillId="4" borderId="0" xfId="17" applyFont="1" applyFill="1" applyAlignment="1" applyProtection="1">
      <alignment horizontal="center" vertical="center"/>
      <protection locked="0"/>
    </xf>
    <xf numFmtId="0" fontId="1" fillId="2" borderId="1" xfId="17" applyFont="1" applyFill="1" applyBorder="1" applyAlignment="1" applyProtection="1">
      <alignment horizontal="center" vertical="center" wrapText="1"/>
      <protection locked="0"/>
    </xf>
    <xf numFmtId="0" fontId="37" fillId="4" borderId="2" xfId="17" applyFont="1" applyFill="1" applyBorder="1" applyAlignment="1" applyProtection="1">
      <alignment horizontal="center" vertical="center" wrapText="1"/>
      <protection locked="0"/>
    </xf>
    <xf numFmtId="0" fontId="1" fillId="4" borderId="6" xfId="17" applyFont="1" applyFill="1" applyBorder="1" applyAlignment="1" applyProtection="1">
      <alignment vertical="center" wrapText="1"/>
      <protection locked="0"/>
    </xf>
    <xf numFmtId="0" fontId="1" fillId="2" borderId="2" xfId="17" applyFont="1" applyFill="1" applyBorder="1" applyAlignment="1" applyProtection="1">
      <alignment vertical="center"/>
      <protection locked="0"/>
    </xf>
    <xf numFmtId="0" fontId="1" fillId="4" borderId="2" xfId="17" applyFont="1" applyFill="1" applyBorder="1" applyAlignment="1" applyProtection="1">
      <alignment vertical="center" wrapText="1"/>
      <protection locked="0"/>
    </xf>
    <xf numFmtId="0" fontId="1" fillId="4" borderId="2" xfId="17" applyFont="1" applyFill="1" applyBorder="1" applyAlignment="1" applyProtection="1">
      <alignment horizontal="left" vertical="top" wrapText="1"/>
      <protection locked="0"/>
    </xf>
    <xf numFmtId="49" fontId="1" fillId="5" borderId="2" xfId="17" applyNumberFormat="1" applyFont="1" applyFill="1" applyBorder="1" applyAlignment="1" applyProtection="1">
      <alignment horizontal="center" vertical="center" wrapText="1"/>
      <protection locked="0"/>
    </xf>
    <xf numFmtId="0" fontId="1" fillId="9" borderId="2" xfId="17" applyFont="1" applyFill="1" applyBorder="1" applyAlignment="1" applyProtection="1">
      <alignment horizontal="center" vertical="center" wrapText="1"/>
      <protection locked="0"/>
    </xf>
    <xf numFmtId="0" fontId="5" fillId="9" borderId="2" xfId="17" applyFont="1" applyFill="1" applyBorder="1" applyAlignment="1" applyProtection="1">
      <alignment horizontal="left" vertical="center" wrapText="1"/>
      <protection locked="0"/>
    </xf>
    <xf numFmtId="0" fontId="1" fillId="9" borderId="2" xfId="17" applyFont="1" applyFill="1" applyBorder="1" applyAlignment="1" applyProtection="1">
      <alignment horizontal="right" vertical="center" wrapText="1"/>
    </xf>
    <xf numFmtId="2" fontId="1" fillId="9" borderId="2" xfId="17" applyNumberFormat="1" applyFont="1" applyFill="1" applyBorder="1" applyAlignment="1" applyProtection="1">
      <alignment horizontal="right" vertical="center" wrapText="1"/>
    </xf>
    <xf numFmtId="0" fontId="1" fillId="9" borderId="2" xfId="17" applyFont="1" applyFill="1" applyBorder="1" applyAlignment="1">
      <alignment vertical="center" wrapText="1"/>
    </xf>
    <xf numFmtId="0" fontId="1" fillId="9" borderId="2" xfId="17" applyFont="1" applyFill="1" applyBorder="1" applyAlignment="1" applyProtection="1">
      <alignment horizontal="left" vertical="center" wrapText="1"/>
    </xf>
    <xf numFmtId="0" fontId="33" fillId="9" borderId="2" xfId="17" applyFont="1" applyFill="1" applyBorder="1" applyAlignment="1" applyProtection="1">
      <alignment horizontal="center" vertical="center" wrapText="1"/>
      <protection locked="0"/>
    </xf>
    <xf numFmtId="0" fontId="33" fillId="9" borderId="2" xfId="17" applyFont="1" applyFill="1" applyBorder="1" applyAlignment="1" applyProtection="1">
      <alignment horizontal="right" vertical="center" wrapText="1"/>
    </xf>
    <xf numFmtId="0" fontId="1" fillId="9" borderId="2" xfId="17" applyFont="1" applyFill="1" applyBorder="1" applyAlignment="1" applyProtection="1">
      <alignment vertical="center" wrapText="1"/>
      <protection locked="0"/>
    </xf>
    <xf numFmtId="0" fontId="1" fillId="4" borderId="2" xfId="17" applyFont="1" applyFill="1" applyBorder="1" applyAlignment="1" applyProtection="1">
      <alignment vertical="center"/>
      <protection locked="0"/>
    </xf>
    <xf numFmtId="0" fontId="1" fillId="2" borderId="2" xfId="17" applyFont="1" applyFill="1" applyBorder="1" applyAlignment="1" applyProtection="1">
      <alignment vertical="center" wrapText="1"/>
      <protection locked="0"/>
    </xf>
    <xf numFmtId="0" fontId="48" fillId="0" borderId="2" xfId="0" applyFont="1" applyBorder="1" applyAlignment="1">
      <alignment horizontal="left" vertical="center"/>
    </xf>
    <xf numFmtId="0" fontId="48" fillId="0" borderId="2" xfId="0" applyFont="1" applyBorder="1" applyAlignment="1">
      <alignment horizontal="left" vertical="center" wrapText="1"/>
    </xf>
    <xf numFmtId="0" fontId="1" fillId="5" borderId="3" xfId="17" applyFont="1" applyFill="1" applyBorder="1" applyAlignment="1" applyProtection="1">
      <alignment horizontal="center" vertical="center" wrapText="1"/>
      <protection locked="0"/>
    </xf>
    <xf numFmtId="49" fontId="1" fillId="5" borderId="3" xfId="17" applyNumberFormat="1" applyFont="1" applyFill="1" applyBorder="1" applyAlignment="1" applyProtection="1">
      <alignment horizontal="left" vertical="center" wrapText="1"/>
      <protection locked="0"/>
    </xf>
    <xf numFmtId="0" fontId="1" fillId="6" borderId="3" xfId="17" applyFont="1" applyFill="1" applyBorder="1" applyAlignment="1" applyProtection="1">
      <alignment horizontal="right" vertical="center" wrapText="1"/>
    </xf>
    <xf numFmtId="2" fontId="1" fillId="6" borderId="3" xfId="17" applyNumberFormat="1" applyFont="1" applyFill="1" applyBorder="1" applyAlignment="1" applyProtection="1">
      <alignment horizontal="right" vertical="center" wrapText="1"/>
    </xf>
    <xf numFmtId="0" fontId="1" fillId="0" borderId="3" xfId="14" applyFont="1" applyFill="1" applyBorder="1" applyAlignment="1" applyProtection="1">
      <alignment horizontal="center" vertical="center" wrapText="1"/>
      <protection locked="0"/>
    </xf>
    <xf numFmtId="0" fontId="1" fillId="6" borderId="3" xfId="17" applyFont="1" applyFill="1" applyBorder="1" applyAlignment="1" applyProtection="1">
      <alignment horizontal="left" vertical="center" wrapText="1"/>
    </xf>
    <xf numFmtId="0" fontId="33" fillId="2" borderId="3" xfId="17" applyFont="1" applyFill="1" applyBorder="1" applyAlignment="1" applyProtection="1">
      <alignment horizontal="center" vertical="center" wrapText="1"/>
      <protection locked="0"/>
    </xf>
    <xf numFmtId="0" fontId="33" fillId="6" borderId="3" xfId="17" applyFont="1" applyFill="1" applyBorder="1" applyAlignment="1" applyProtection="1">
      <alignment horizontal="right" vertical="center" wrapText="1"/>
    </xf>
    <xf numFmtId="0" fontId="1" fillId="0" borderId="3" xfId="17" applyFont="1" applyBorder="1" applyAlignment="1" applyProtection="1">
      <alignment vertical="center" wrapText="1"/>
      <protection locked="0"/>
    </xf>
    <xf numFmtId="0" fontId="1" fillId="4" borderId="3" xfId="17" applyFont="1" applyFill="1" applyBorder="1" applyAlignment="1" applyProtection="1">
      <alignment vertical="center" wrapText="1"/>
      <protection locked="0"/>
    </xf>
    <xf numFmtId="0" fontId="1" fillId="4" borderId="14" xfId="17" applyFont="1" applyFill="1" applyBorder="1" applyAlignment="1" applyProtection="1">
      <alignment vertical="center" wrapText="1"/>
      <protection locked="0"/>
    </xf>
    <xf numFmtId="2" fontId="1" fillId="2" borderId="0" xfId="17" applyNumberFormat="1" applyFont="1" applyFill="1" applyAlignment="1" applyProtection="1">
      <alignment vertical="center"/>
      <protection locked="0"/>
    </xf>
    <xf numFmtId="49" fontId="1" fillId="5" borderId="6" xfId="17" applyNumberFormat="1" applyFont="1" applyFill="1" applyBorder="1" applyAlignment="1" applyProtection="1">
      <alignment vertical="center" wrapText="1"/>
      <protection locked="0"/>
    </xf>
    <xf numFmtId="49" fontId="1" fillId="5" borderId="3" xfId="17" applyNumberFormat="1" applyFont="1" applyFill="1" applyBorder="1" applyAlignment="1" applyProtection="1">
      <alignment vertical="center" wrapText="1"/>
      <protection locked="0"/>
    </xf>
    <xf numFmtId="0" fontId="1" fillId="0" borderId="0" xfId="17" applyFont="1" applyFill="1" applyAlignment="1" applyProtection="1">
      <alignment vertical="center"/>
      <protection locked="0"/>
    </xf>
    <xf numFmtId="0" fontId="1" fillId="4" borderId="0" xfId="17" applyFont="1" applyFill="1" applyBorder="1" applyAlignment="1" applyProtection="1">
      <alignment vertical="center" wrapText="1"/>
      <protection locked="0"/>
    </xf>
    <xf numFmtId="0" fontId="1" fillId="5" borderId="0" xfId="17" applyFont="1" applyFill="1" applyBorder="1" applyAlignment="1" applyProtection="1">
      <alignment horizontal="center" vertical="center" wrapText="1"/>
      <protection locked="0"/>
    </xf>
    <xf numFmtId="49" fontId="1" fillId="5" borderId="0" xfId="17" applyNumberFormat="1" applyFont="1" applyFill="1" applyBorder="1" applyAlignment="1" applyProtection="1">
      <alignment horizontal="left" vertical="center" wrapText="1"/>
      <protection locked="0"/>
    </xf>
    <xf numFmtId="0" fontId="33" fillId="2" borderId="0" xfId="17" applyFont="1" applyFill="1" applyAlignment="1" applyProtection="1">
      <alignment horizontal="center" vertical="center"/>
      <protection locked="0"/>
    </xf>
    <xf numFmtId="0" fontId="37" fillId="2" borderId="0" xfId="17" applyFont="1" applyFill="1" applyAlignment="1" applyProtection="1">
      <alignment horizontal="left" vertical="center"/>
      <protection locked="0"/>
    </xf>
    <xf numFmtId="0" fontId="33" fillId="2" borderId="0" xfId="17" applyFont="1" applyFill="1" applyAlignment="1" applyProtection="1">
      <alignment horizontal="center" vertical="center" wrapText="1"/>
      <protection locked="0"/>
    </xf>
    <xf numFmtId="0" fontId="5" fillId="2" borderId="0" xfId="17" applyFont="1" applyFill="1" applyAlignment="1" applyProtection="1">
      <alignment horizontal="left" vertical="center"/>
      <protection locked="0"/>
    </xf>
    <xf numFmtId="0" fontId="20" fillId="2" borderId="0" xfId="17" applyFont="1" applyFill="1" applyAlignment="1" applyProtection="1">
      <alignment horizontal="left" vertical="center"/>
      <protection locked="0"/>
    </xf>
    <xf numFmtId="0" fontId="20" fillId="2" borderId="0" xfId="17" applyFont="1" applyFill="1" applyAlignment="1" applyProtection="1">
      <alignment horizontal="left" vertical="center" wrapText="1"/>
      <protection locked="0"/>
    </xf>
    <xf numFmtId="9" fontId="1" fillId="2" borderId="0" xfId="83" applyFont="1" applyFill="1" applyAlignment="1" applyProtection="1">
      <alignment horizontal="center" vertical="center" wrapText="1"/>
      <protection locked="0"/>
    </xf>
    <xf numFmtId="0" fontId="1" fillId="6" borderId="0" xfId="17" applyFont="1" applyFill="1" applyBorder="1" applyAlignment="1" applyProtection="1">
      <alignment horizontal="right" vertical="center" wrapText="1"/>
    </xf>
    <xf numFmtId="2" fontId="1" fillId="6" borderId="0" xfId="17" applyNumberFormat="1" applyFont="1" applyFill="1" applyBorder="1" applyAlignment="1" applyProtection="1">
      <alignment horizontal="right" vertical="center" wrapText="1"/>
    </xf>
    <xf numFmtId="2" fontId="37" fillId="2" borderId="0" xfId="17" applyNumberFormat="1" applyFont="1" applyFill="1" applyAlignment="1" applyProtection="1">
      <alignment horizontal="right" vertical="center"/>
    </xf>
    <xf numFmtId="2" fontId="5" fillId="2" borderId="0" xfId="17" applyNumberFormat="1" applyFont="1" applyFill="1" applyAlignment="1" applyProtection="1">
      <alignment horizontal="right" vertical="center"/>
    </xf>
    <xf numFmtId="0" fontId="5" fillId="2" borderId="0" xfId="17" applyFont="1" applyFill="1" applyAlignment="1" applyProtection="1">
      <alignment horizontal="center" vertical="center"/>
    </xf>
    <xf numFmtId="9" fontId="1" fillId="2" borderId="0" xfId="83" applyFont="1" applyFill="1" applyAlignment="1" applyProtection="1">
      <alignment vertical="center"/>
      <protection locked="0"/>
    </xf>
    <xf numFmtId="0" fontId="1" fillId="0" borderId="0" xfId="14" applyFont="1" applyFill="1" applyBorder="1" applyAlignment="1" applyProtection="1">
      <alignment horizontal="center" vertical="center" wrapText="1"/>
      <protection locked="0"/>
    </xf>
    <xf numFmtId="0" fontId="1" fillId="6" borderId="0" xfId="17" applyFont="1" applyFill="1" applyBorder="1" applyAlignment="1" applyProtection="1">
      <alignment horizontal="left" vertical="center" wrapText="1"/>
    </xf>
    <xf numFmtId="0" fontId="33" fillId="2" borderId="0" xfId="17" applyFont="1" applyFill="1" applyAlignment="1" applyProtection="1">
      <alignment horizontal="left" vertical="center"/>
      <protection locked="0"/>
    </xf>
    <xf numFmtId="0" fontId="1" fillId="2" borderId="0" xfId="17" applyFont="1" applyFill="1" applyAlignment="1" applyProtection="1">
      <alignment horizontal="left" vertical="center"/>
      <protection locked="0"/>
    </xf>
    <xf numFmtId="0" fontId="33" fillId="6" borderId="0" xfId="17" applyFont="1" applyFill="1" applyBorder="1" applyAlignment="1" applyProtection="1">
      <alignment horizontal="right" vertical="center" wrapText="1"/>
    </xf>
    <xf numFmtId="0" fontId="37" fillId="2" borderId="0" xfId="17" applyFont="1" applyFill="1" applyAlignment="1" applyProtection="1">
      <alignment vertical="center" wrapText="1"/>
      <protection locked="0"/>
    </xf>
    <xf numFmtId="9" fontId="28" fillId="0" borderId="0" xfId="17" applyNumberFormat="1" applyFont="1" applyBorder="1" applyAlignment="1">
      <alignment horizontal="right" vertical="center" wrapText="1"/>
    </xf>
    <xf numFmtId="2" fontId="33" fillId="2" borderId="0" xfId="17" applyNumberFormat="1" applyFont="1" applyFill="1" applyAlignment="1" applyProtection="1">
      <alignment vertical="center" wrapText="1"/>
      <protection locked="0"/>
    </xf>
    <xf numFmtId="0" fontId="37" fillId="2" borderId="0" xfId="17" applyFont="1" applyFill="1" applyAlignment="1" applyProtection="1">
      <alignment horizontal="right" vertical="center"/>
      <protection locked="0"/>
    </xf>
    <xf numFmtId="0" fontId="37" fillId="2" borderId="0" xfId="17" applyFont="1" applyFill="1" applyAlignment="1" applyProtection="1">
      <alignment horizontal="center" vertical="center"/>
      <protection locked="0"/>
    </xf>
    <xf numFmtId="0" fontId="1" fillId="0" borderId="0" xfId="17" applyFont="1" applyBorder="1" applyAlignment="1" applyProtection="1">
      <alignment vertical="center" wrapText="1"/>
      <protection locked="0"/>
    </xf>
    <xf numFmtId="9" fontId="33" fillId="2" borderId="0" xfId="83" applyFont="1" applyFill="1" applyAlignment="1" applyProtection="1">
      <alignment vertical="center"/>
      <protection locked="0"/>
    </xf>
    <xf numFmtId="0" fontId="5" fillId="2" borderId="0" xfId="17" applyFont="1" applyFill="1" applyAlignment="1" applyProtection="1">
      <alignment horizontal="center" vertical="center"/>
      <protection locked="0"/>
    </xf>
    <xf numFmtId="0" fontId="33" fillId="4" borderId="0" xfId="17" applyFont="1" applyFill="1" applyAlignment="1" applyProtection="1">
      <alignment vertical="center"/>
      <protection locked="0"/>
    </xf>
    <xf numFmtId="2" fontId="37" fillId="4" borderId="0" xfId="17" applyNumberFormat="1" applyFont="1" applyFill="1" applyAlignment="1" applyProtection="1">
      <alignment horizontal="right" vertical="center"/>
    </xf>
    <xf numFmtId="0" fontId="0" fillId="0" borderId="0" xfId="0" applyAlignment="1">
      <alignment horizontal="center"/>
    </xf>
    <xf numFmtId="0" fontId="8" fillId="10" borderId="2" xfId="0" applyFont="1" applyFill="1" applyBorder="1" applyAlignment="1">
      <alignment horizontal="center" vertical="center"/>
    </xf>
    <xf numFmtId="0" fontId="8" fillId="11" borderId="2" xfId="0" applyFont="1" applyFill="1" applyBorder="1" applyAlignment="1">
      <alignment horizontal="center"/>
    </xf>
    <xf numFmtId="0" fontId="1" fillId="0" borderId="2" xfId="0" applyFont="1" applyBorder="1" applyAlignment="1">
      <alignment horizontal="center" vertical="center"/>
    </xf>
    <xf numFmtId="0" fontId="9" fillId="8" borderId="2" xfId="0" applyFont="1" applyFill="1" applyBorder="1" applyAlignment="1">
      <alignment horizontal="center" vertical="top"/>
    </xf>
    <xf numFmtId="0" fontId="9" fillId="8" borderId="2" xfId="0" applyFont="1" applyFill="1" applyBorder="1" applyAlignment="1">
      <alignment horizontal="center" vertical="top" wrapText="1"/>
    </xf>
    <xf numFmtId="0" fontId="49" fillId="0" borderId="2" xfId="0" applyFont="1" applyFill="1" applyBorder="1" applyAlignment="1">
      <alignment horizontal="center" vertical="top" wrapText="1"/>
    </xf>
    <xf numFmtId="0" fontId="49" fillId="0" borderId="2" xfId="0" applyFont="1" applyFill="1" applyBorder="1" applyAlignment="1">
      <alignment vertical="top" wrapText="1"/>
    </xf>
    <xf numFmtId="0" fontId="46" fillId="0" borderId="2" xfId="0" applyFont="1" applyFill="1" applyBorder="1" applyAlignment="1">
      <alignment vertical="top" wrapText="1"/>
    </xf>
    <xf numFmtId="0" fontId="0" fillId="4" borderId="2" xfId="0" applyFill="1" applyBorder="1" applyAlignment="1" applyProtection="1">
      <alignment wrapText="1"/>
      <protection locked="0"/>
    </xf>
    <xf numFmtId="9" fontId="8" fillId="4" borderId="2" xfId="83" applyFont="1" applyFill="1" applyBorder="1" applyAlignment="1">
      <alignment wrapText="1"/>
    </xf>
    <xf numFmtId="0" fontId="9" fillId="4" borderId="2" xfId="0" applyFont="1" applyFill="1" applyBorder="1" applyAlignment="1">
      <alignment vertical="top" wrapText="1"/>
    </xf>
    <xf numFmtId="0" fontId="46" fillId="4" borderId="2" xfId="0" applyFont="1" applyFill="1" applyBorder="1" applyAlignment="1">
      <alignment vertical="top" wrapText="1"/>
    </xf>
    <xf numFmtId="0" fontId="49" fillId="4" borderId="2" xfId="0" applyFont="1" applyFill="1" applyBorder="1" applyAlignment="1">
      <alignment horizontal="center" vertical="top" wrapText="1"/>
    </xf>
    <xf numFmtId="0" fontId="30" fillId="4" borderId="0" xfId="0" applyFont="1" applyFill="1" applyAlignment="1">
      <alignment horizontal="center" vertical="top" wrapText="1"/>
    </xf>
    <xf numFmtId="0" fontId="30" fillId="4" borderId="2" xfId="0" applyFont="1" applyFill="1" applyBorder="1" applyAlignment="1">
      <alignment vertical="top" wrapText="1"/>
    </xf>
    <xf numFmtId="0" fontId="6" fillId="4" borderId="2" xfId="0" applyFont="1" applyFill="1" applyBorder="1" applyAlignment="1">
      <alignment vertical="top" wrapText="1"/>
    </xf>
    <xf numFmtId="0" fontId="9" fillId="8" borderId="6" xfId="0" applyFont="1" applyFill="1" applyBorder="1" applyAlignment="1">
      <alignment horizontal="center" vertical="top" wrapText="1"/>
    </xf>
    <xf numFmtId="0" fontId="9" fillId="8" borderId="3" xfId="0" applyFont="1" applyFill="1" applyBorder="1" applyAlignment="1">
      <alignment horizontal="center" vertical="top"/>
    </xf>
    <xf numFmtId="0" fontId="1" fillId="2" borderId="0" xfId="0" applyFont="1" applyFill="1" applyBorder="1" applyAlignment="1">
      <alignment vertical="center"/>
    </xf>
    <xf numFmtId="0" fontId="22" fillId="2" borderId="0" xfId="0" applyFont="1" applyFill="1" applyAlignment="1">
      <alignment vertical="center"/>
    </xf>
    <xf numFmtId="0" fontId="1" fillId="2" borderId="0" xfId="0" applyFont="1" applyFill="1" applyAlignment="1">
      <alignment vertical="center"/>
    </xf>
    <xf numFmtId="0" fontId="34" fillId="2" borderId="0" xfId="0" applyFont="1" applyFill="1" applyAlignment="1">
      <alignment horizontal="center" vertical="center"/>
    </xf>
    <xf numFmtId="0" fontId="27" fillId="6" borderId="0" xfId="0" applyFont="1" applyFill="1" applyBorder="1" applyAlignment="1">
      <alignment horizontal="center" vertical="center"/>
    </xf>
    <xf numFmtId="0" fontId="50" fillId="2" borderId="0" xfId="0" applyFont="1" applyFill="1" applyAlignment="1">
      <alignment vertical="center"/>
    </xf>
    <xf numFmtId="0" fontId="51" fillId="2" borderId="0" xfId="0" applyFont="1" applyFill="1" applyBorder="1" applyAlignment="1">
      <alignment horizontal="left" vertical="center"/>
    </xf>
    <xf numFmtId="0" fontId="27" fillId="2" borderId="0" xfId="0" applyFont="1" applyFill="1" applyBorder="1" applyAlignment="1">
      <alignment horizontal="center" vertical="center"/>
    </xf>
    <xf numFmtId="0" fontId="52" fillId="2" borderId="0" xfId="0" applyFont="1" applyFill="1" applyBorder="1" applyAlignment="1">
      <alignment horizontal="left" vertical="center"/>
    </xf>
    <xf numFmtId="0" fontId="5" fillId="2" borderId="0" xfId="0" applyFont="1" applyFill="1" applyBorder="1" applyAlignment="1">
      <alignment horizontal="center" vertical="center"/>
    </xf>
    <xf numFmtId="0" fontId="21" fillId="2" borderId="2" xfId="0" applyFont="1" applyFill="1" applyBorder="1" applyAlignment="1">
      <alignment horizontal="left" vertical="center" wrapText="1"/>
    </xf>
    <xf numFmtId="0" fontId="1" fillId="2" borderId="2" xfId="0" applyFont="1" applyFill="1" applyBorder="1" applyAlignment="1">
      <alignment horizontal="right" vertical="center" wrapText="1"/>
    </xf>
    <xf numFmtId="0" fontId="53" fillId="2" borderId="2" xfId="0" applyFont="1" applyFill="1" applyBorder="1" applyAlignment="1">
      <alignment vertical="center" wrapText="1"/>
    </xf>
    <xf numFmtId="0" fontId="53" fillId="2" borderId="2"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36"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20" fillId="2" borderId="6" xfId="0" applyFont="1" applyFill="1" applyBorder="1" applyAlignment="1">
      <alignment horizontal="center" vertical="center"/>
    </xf>
    <xf numFmtId="0" fontId="20" fillId="2" borderId="6" xfId="0" applyFont="1" applyFill="1" applyBorder="1" applyAlignment="1">
      <alignment horizontal="center" vertical="center" wrapText="1"/>
    </xf>
    <xf numFmtId="0" fontId="1" fillId="2" borderId="2" xfId="0" applyFont="1" applyFill="1" applyBorder="1" applyAlignment="1">
      <alignment horizontal="left" vertical="center" wrapText="1"/>
    </xf>
    <xf numFmtId="2" fontId="16" fillId="2" borderId="2" xfId="0" applyNumberFormat="1" applyFont="1" applyFill="1" applyBorder="1" applyAlignment="1">
      <alignment horizontal="center" vertical="center" wrapText="1"/>
    </xf>
    <xf numFmtId="2" fontId="16" fillId="2" borderId="2"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9" fontId="1" fillId="2" borderId="0" xfId="83" applyFont="1" applyFill="1" applyAlignment="1">
      <alignment vertical="center"/>
    </xf>
    <xf numFmtId="4" fontId="54" fillId="2" borderId="2" xfId="0" applyNumberFormat="1" applyFont="1" applyFill="1" applyBorder="1" applyAlignment="1">
      <alignment horizontal="center" vertical="center" wrapText="1"/>
    </xf>
    <xf numFmtId="2" fontId="36" fillId="2" borderId="0" xfId="0" applyNumberFormat="1" applyFont="1" applyFill="1" applyBorder="1" applyAlignment="1">
      <alignment horizontal="center" vertical="center" wrapText="1"/>
    </xf>
    <xf numFmtId="2" fontId="36" fillId="2" borderId="0" xfId="0" applyNumberFormat="1" applyFont="1" applyFill="1" applyAlignment="1">
      <alignment horizontal="center" vertical="center"/>
    </xf>
    <xf numFmtId="4" fontId="20" fillId="2" borderId="0" xfId="0" applyNumberFormat="1" applyFont="1" applyFill="1" applyBorder="1" applyAlignment="1">
      <alignment horizontal="center" vertical="center" wrapText="1"/>
    </xf>
    <xf numFmtId="0" fontId="20" fillId="2" borderId="12" xfId="0" applyFont="1" applyFill="1" applyBorder="1" applyAlignment="1">
      <alignment horizontal="center" vertical="center" wrapText="1"/>
    </xf>
    <xf numFmtId="2" fontId="5" fillId="2" borderId="2" xfId="0" applyNumberFormat="1" applyFont="1" applyFill="1" applyBorder="1" applyAlignment="1">
      <alignment horizontal="center" vertical="center" wrapText="1"/>
    </xf>
    <xf numFmtId="9" fontId="1" fillId="2" borderId="2" xfId="83" applyNumberFormat="1" applyFont="1" applyFill="1" applyBorder="1" applyAlignment="1">
      <alignment horizontal="center" vertical="center" wrapText="1"/>
    </xf>
    <xf numFmtId="0" fontId="1" fillId="5" borderId="0" xfId="0" applyFont="1" applyFill="1" applyBorder="1"/>
    <xf numFmtId="0" fontId="5" fillId="5" borderId="0" xfId="0" applyFont="1" applyFill="1" applyBorder="1"/>
    <xf numFmtId="0" fontId="1" fillId="5" borderId="0" xfId="0" applyFont="1" applyFill="1"/>
    <xf numFmtId="0" fontId="13" fillId="5" borderId="0" xfId="0" applyFont="1" applyFill="1" applyBorder="1" applyAlignment="1">
      <alignment horizontal="center"/>
    </xf>
    <xf numFmtId="15" fontId="1" fillId="5" borderId="0" xfId="0" applyNumberFormat="1" applyFont="1" applyFill="1"/>
    <xf numFmtId="180" fontId="5"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180" fontId="1" fillId="5" borderId="2" xfId="0" applyNumberFormat="1" applyFont="1" applyFill="1" applyBorder="1" applyAlignment="1">
      <alignment horizontal="center" vertical="center"/>
    </xf>
    <xf numFmtId="49" fontId="1" fillId="5" borderId="2" xfId="0" applyNumberFormat="1" applyFont="1" applyFill="1" applyBorder="1" applyAlignment="1">
      <alignment horizontal="center" vertical="center"/>
    </xf>
    <xf numFmtId="0" fontId="1" fillId="5" borderId="2" xfId="0" applyFont="1" applyFill="1" applyBorder="1" applyAlignment="1">
      <alignment horizontal="center" vertical="center"/>
    </xf>
    <xf numFmtId="180" fontId="1" fillId="5" borderId="2" xfId="0" applyNumberFormat="1" applyFont="1" applyFill="1" applyBorder="1" applyAlignment="1">
      <alignment vertical="center"/>
    </xf>
    <xf numFmtId="49" fontId="1" fillId="5" borderId="2" xfId="0" applyNumberFormat="1" applyFont="1" applyFill="1" applyBorder="1" applyAlignment="1">
      <alignment vertical="center"/>
    </xf>
    <xf numFmtId="0" fontId="1" fillId="5" borderId="2" xfId="0" applyFont="1" applyFill="1" applyBorder="1" applyAlignment="1">
      <alignment vertical="center"/>
    </xf>
    <xf numFmtId="15" fontId="1" fillId="5" borderId="2" xfId="0" applyNumberFormat="1" applyFont="1" applyFill="1" applyBorder="1" applyAlignment="1">
      <alignment horizontal="left" vertical="center"/>
    </xf>
    <xf numFmtId="0" fontId="1" fillId="5" borderId="2" xfId="0" applyFont="1" applyFill="1" applyBorder="1" applyAlignment="1">
      <alignment horizontal="left" vertical="center" wrapText="1"/>
    </xf>
    <xf numFmtId="0" fontId="1" fillId="5" borderId="2" xfId="0" applyFont="1" applyFill="1" applyBorder="1" applyAlignment="1">
      <alignment horizontal="left" vertical="center"/>
    </xf>
    <xf numFmtId="0" fontId="1" fillId="5" borderId="2" xfId="0" applyFont="1" applyFill="1" applyBorder="1" applyAlignment="1">
      <alignment vertical="center" wrapText="1"/>
    </xf>
    <xf numFmtId="0" fontId="11" fillId="0" borderId="0" xfId="45" applyFont="1" applyFill="1"/>
    <xf numFmtId="0" fontId="11" fillId="5" borderId="0" xfId="45" applyFont="1" applyFill="1" applyBorder="1"/>
    <xf numFmtId="0" fontId="29" fillId="5" borderId="0" xfId="45" applyFont="1" applyFill="1" applyBorder="1" applyAlignment="1">
      <alignment horizontal="center"/>
    </xf>
    <xf numFmtId="0" fontId="27" fillId="5" borderId="0" xfId="45" applyFont="1" applyFill="1" applyBorder="1" applyAlignment="1">
      <alignment horizontal="center"/>
    </xf>
    <xf numFmtId="0" fontId="55" fillId="5" borderId="0" xfId="45" applyFont="1" applyFill="1" applyBorder="1" applyAlignment="1">
      <alignment horizontal="center" vertical="center"/>
    </xf>
    <xf numFmtId="0" fontId="56" fillId="5" borderId="0" xfId="45" applyFont="1" applyFill="1" applyBorder="1" applyAlignment="1">
      <alignment horizontal="center" wrapText="1"/>
    </xf>
    <xf numFmtId="0" fontId="1" fillId="5" borderId="0" xfId="45" applyFont="1" applyFill="1" applyBorder="1"/>
    <xf numFmtId="0" fontId="1" fillId="5" borderId="0" xfId="45" applyFont="1" applyFill="1" applyBorder="1" applyAlignment="1"/>
    <xf numFmtId="0" fontId="1" fillId="5" borderId="0" xfId="0" applyFont="1" applyFill="1" applyBorder="1" applyAlignment="1">
      <alignment horizontal="left"/>
    </xf>
    <xf numFmtId="0" fontId="5" fillId="5" borderId="0" xfId="45" applyFont="1" applyFill="1" applyBorder="1" applyAlignment="1"/>
    <xf numFmtId="0" fontId="20" fillId="5" borderId="0" xfId="0" applyFont="1" applyFill="1" applyBorder="1" applyAlignment="1">
      <alignment horizontal="left"/>
    </xf>
    <xf numFmtId="0" fontId="1" fillId="5" borderId="0" xfId="0" applyFont="1" applyFill="1" applyBorder="1" applyAlignment="1">
      <alignment horizontal="left" indent="11"/>
    </xf>
    <xf numFmtId="0" fontId="1" fillId="5" borderId="0" xfId="45" applyFont="1" applyFill="1" applyBorder="1" applyAlignment="1">
      <alignment horizontal="left"/>
    </xf>
    <xf numFmtId="0" fontId="1" fillId="0" borderId="0" xfId="45" applyFont="1" applyFill="1" applyBorder="1"/>
    <xf numFmtId="58" fontId="1" fillId="5" borderId="0" xfId="0" applyNumberFormat="1" applyFont="1" applyFill="1" applyBorder="1"/>
    <xf numFmtId="0" fontId="57" fillId="0" borderId="0" xfId="45" applyFont="1" applyFill="1" applyAlignment="1">
      <alignment wrapText="1"/>
    </xf>
    <xf numFmtId="0" fontId="1" fillId="0" borderId="2" xfId="0" applyFont="1" applyBorder="1" applyAlignment="1" quotePrefix="1">
      <alignment vertical="top" wrapText="1"/>
    </xf>
    <xf numFmtId="0" fontId="6" fillId="7" borderId="2" xfId="0" applyFont="1" applyFill="1" applyBorder="1" applyAlignment="1" quotePrefix="1">
      <alignment vertical="top" wrapText="1"/>
    </xf>
    <xf numFmtId="0" fontId="4" fillId="2" borderId="0" xfId="0" applyFont="1" applyFill="1" applyBorder="1" applyAlignment="1" applyProtection="1" quotePrefix="1">
      <alignment horizontal="center" vertical="center"/>
      <protection locked="0"/>
    </xf>
    <xf numFmtId="0" fontId="0" fillId="6" borderId="0" xfId="58" applyFill="1" quotePrefix="1"/>
    <xf numFmtId="0" fontId="6" fillId="0" borderId="2" xfId="0" applyFont="1" applyFill="1" applyBorder="1" applyAlignment="1" quotePrefix="1">
      <alignment horizontal="left" vertical="center" wrapText="1"/>
    </xf>
    <xf numFmtId="0" fontId="6" fillId="0" borderId="2" xfId="0" applyFont="1" applyBorder="1" applyAlignment="1" quotePrefix="1">
      <alignment horizontal="left" vertical="center" wrapText="1"/>
    </xf>
    <xf numFmtId="0" fontId="6" fillId="0" borderId="2" xfId="0" applyFont="1" applyBorder="1" applyAlignment="1" quotePrefix="1">
      <alignment vertical="top" wrapText="1"/>
    </xf>
    <xf numFmtId="0" fontId="1" fillId="0" borderId="2" xfId="0" applyFont="1" applyFill="1" applyBorder="1" applyAlignment="1" quotePrefix="1">
      <alignment wrapText="1"/>
    </xf>
    <xf numFmtId="0" fontId="1" fillId="0" borderId="2" xfId="0" applyFont="1" applyFill="1" applyBorder="1" applyAlignment="1" quotePrefix="1">
      <alignment vertical="center" wrapText="1"/>
    </xf>
    <xf numFmtId="0" fontId="1" fillId="0" borderId="2" xfId="17" applyFont="1" applyFill="1" applyBorder="1" applyAlignment="1" quotePrefix="1">
      <alignment horizontal="left" vertical="center" wrapText="1"/>
    </xf>
    <xf numFmtId="0" fontId="1" fillId="5" borderId="2" xfId="84" applyFont="1" applyFill="1" applyBorder="1" applyAlignment="1" applyProtection="1" quotePrefix="1">
      <alignment horizontal="left" vertical="center" wrapText="1"/>
    </xf>
    <xf numFmtId="0" fontId="18" fillId="5" borderId="1" xfId="84" applyFont="1" applyFill="1" applyBorder="1" applyAlignment="1" applyProtection="1" quotePrefix="1">
      <alignment horizontal="left" vertical="center" wrapText="1"/>
    </xf>
    <xf numFmtId="0" fontId="1" fillId="5" borderId="1" xfId="84" applyFont="1" applyFill="1" applyBorder="1" applyAlignment="1" applyProtection="1" quotePrefix="1">
      <alignment horizontal="left" vertical="center" wrapText="1"/>
    </xf>
  </cellXfs>
  <cellStyles count="85">
    <cellStyle name="Normal" xfId="0" builtinId="0"/>
    <cellStyle name="標準_結合試験(AllOvertheWorld)" xfId="1"/>
    <cellStyle name="千分位_Book1" xfId="2"/>
    <cellStyle name="千分位[0]_Book1" xfId="3"/>
    <cellStyle name="표준_(정보부문)월별인원계획" xfId="4"/>
    <cellStyle name="통화_1202" xfId="5"/>
    <cellStyle name="통화 [0]_1202" xfId="6"/>
    <cellStyle name="콤마 [0]_1202" xfId="7"/>
    <cellStyle name="뷭?_BOOKSHIP" xfId="8"/>
    <cellStyle name="믅됞 [0.00]_PRODUCT DETAIL Q1" xfId="9"/>
    <cellStyle name="똿뗦먛귟 [0.00]_PRODUCT DETAIL Q1" xfId="10"/>
    <cellStyle name="Percent 4" xfId="11"/>
    <cellStyle name="Percent 3" xfId="12"/>
    <cellStyle name="Percent 2" xfId="13"/>
    <cellStyle name="Normal 2 3" xfId="14"/>
    <cellStyle name="Normal 2" xfId="15"/>
    <cellStyle name="Normal 2 2" xfId="16"/>
    <cellStyle name="Normal 13" xfId="17"/>
    <cellStyle name="Hyperlink 2" xfId="18"/>
    <cellStyle name="Header1" xfId="19"/>
    <cellStyle name="Currency0" xfId="20"/>
    <cellStyle name="Fixed" xfId="21"/>
    <cellStyle name="Comma0" xfId="22"/>
    <cellStyle name="60% - Accent6" xfId="23" builtinId="52"/>
    <cellStyle name="40% - Accent6" xfId="24" builtinId="51"/>
    <cellStyle name="60% - Accent5" xfId="25" builtinId="48"/>
    <cellStyle name="Accent6" xfId="26" builtinId="49"/>
    <cellStyle name="Date" xfId="27"/>
    <cellStyle name="40% - Accent5" xfId="28" builtinId="47"/>
    <cellStyle name="20% - Accent5" xfId="29" builtinId="46"/>
    <cellStyle name="60% - Accent4" xfId="30" builtinId="44"/>
    <cellStyle name="콤마_1202" xfId="31"/>
    <cellStyle name="Accent5" xfId="32" builtinId="45"/>
    <cellStyle name="40% - Accent4" xfId="33" builtinId="43"/>
    <cellStyle name="Accent4" xfId="34" builtinId="41"/>
    <cellStyle name="Linked Cell" xfId="35" builtinId="24"/>
    <cellStyle name="40% - Accent3" xfId="36" builtinId="39"/>
    <cellStyle name="60% - Accent2" xfId="37" builtinId="36"/>
    <cellStyle name="Accent3" xfId="38" builtinId="37"/>
    <cellStyle name="40% - Accent2" xfId="39" builtinId="35"/>
    <cellStyle name="Normal 4" xfId="40"/>
    <cellStyle name="20% - Accent2" xfId="41" builtinId="34"/>
    <cellStyle name="Accent2" xfId="42" builtinId="33"/>
    <cellStyle name="똿뗦먛귟_PRODUCT DETAIL Q1" xfId="43"/>
    <cellStyle name="40% - Accent1" xfId="44" builtinId="31"/>
    <cellStyle name="Normal 3" xfId="45"/>
    <cellStyle name="20% - Accent1" xfId="46" builtinId="30"/>
    <cellStyle name="Accent1" xfId="47" builtinId="29"/>
    <cellStyle name="Neutral" xfId="48" builtinId="28"/>
    <cellStyle name="貨幣_Book1" xfId="49"/>
    <cellStyle name="백분율_95" xfId="50"/>
    <cellStyle name="Percent 2 2" xfId="51"/>
    <cellStyle name="60% - Accent1" xfId="52" builtinId="32"/>
    <cellStyle name="Bad" xfId="53" builtinId="27"/>
    <cellStyle name="Normal 6" xfId="54"/>
    <cellStyle name="20% - Accent4" xfId="55" builtinId="42"/>
    <cellStyle name="Total" xfId="56" builtinId="25"/>
    <cellStyle name="Output" xfId="57" builtinId="21"/>
    <cellStyle name="Normal 5" xfId="58"/>
    <cellStyle name="Currency" xfId="59" builtinId="4"/>
    <cellStyle name="20% - Accent3" xfId="60" builtinId="38"/>
    <cellStyle name="Note" xfId="61" builtinId="10"/>
    <cellStyle name="Input" xfId="62" builtinId="20"/>
    <cellStyle name="Heading 4" xfId="63" builtinId="19"/>
    <cellStyle name="Calculation" xfId="64" builtinId="22"/>
    <cellStyle name="Good" xfId="65" builtinId="26"/>
    <cellStyle name="Heading 3" xfId="66" builtinId="18"/>
    <cellStyle name="CExplanatory Text" xfId="67" builtinId="53"/>
    <cellStyle name="Header2" xfId="68"/>
    <cellStyle name="Heading 1" xfId="69" builtinId="16"/>
    <cellStyle name="Comma [0]" xfId="70" builtinId="6"/>
    <cellStyle name="20% - Accent6" xfId="71" builtinId="50"/>
    <cellStyle name="Title" xfId="72" builtinId="15"/>
    <cellStyle name="Currency [0]" xfId="73" builtinId="7"/>
    <cellStyle name="Warning Text" xfId="74" builtinId="11"/>
    <cellStyle name="一般_Book1" xfId="75"/>
    <cellStyle name="믅됞_PRODUCT DETAIL Q1" xfId="76"/>
    <cellStyle name="Followed Hyperlink" xfId="77" builtinId="9"/>
    <cellStyle name="Heading 2" xfId="78" builtinId="17"/>
    <cellStyle name="Comma" xfId="79" builtinId="3"/>
    <cellStyle name="貨幣 [0]_Book1" xfId="80"/>
    <cellStyle name="Check Cell" xfId="81" builtinId="23"/>
    <cellStyle name="60% - Accent3" xfId="82" builtinId="40"/>
    <cellStyle name="Percent" xfId="83" builtinId="5"/>
    <cellStyle name="Hyperlink" xfId="84" builtinId="8"/>
  </cellStyles>
  <dxfs count="3">
    <dxf>
      <font>
        <color rgb="FF9C0006"/>
      </font>
      <fill>
        <patternFill patternType="solid">
          <bgColor rgb="FFFFC7CE"/>
        </patternFill>
      </fill>
    </dxf>
    <dxf>
      <font>
        <color indexed="20"/>
      </font>
      <fill>
        <patternFill patternType="solid">
          <bgColor indexed="45"/>
        </patternFill>
      </fill>
    </dxf>
    <dxf>
      <fill>
        <patternFill patternType="none"/>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externalLink" Target="externalLinks/externalLink4.xml"/><Relationship Id="rId24" Type="http://schemas.openxmlformats.org/officeDocument/2006/relationships/externalLink" Target="externalLinks/externalLink3.xml"/><Relationship Id="rId23" Type="http://schemas.openxmlformats.org/officeDocument/2006/relationships/externalLink" Target="externalLinks/externalLink2.xml"/><Relationship Id="rId22" Type="http://schemas.openxmlformats.org/officeDocument/2006/relationships/externalLink" Target="externalLinks/externalLink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180975</xdr:colOff>
      <xdr:row>0</xdr:row>
      <xdr:rowOff>19050</xdr:rowOff>
    </xdr:from>
    <xdr:to>
      <xdr:col>1</xdr:col>
      <xdr:colOff>1057275</xdr:colOff>
      <xdr:row>3</xdr:row>
      <xdr:rowOff>76200</xdr:rowOff>
    </xdr:to>
    <xdr:pic>
      <xdr:nvPicPr>
        <xdr:cNvPr id="78940" name="Picture 1"/>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80975" y="19050"/>
          <a:ext cx="14859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58831</xdr:colOff>
      <xdr:row>0</xdr:row>
      <xdr:rowOff>481853</xdr:rowOff>
    </xdr:from>
    <xdr:to>
      <xdr:col>4</xdr:col>
      <xdr:colOff>1429312</xdr:colOff>
      <xdr:row>0</xdr:row>
      <xdr:rowOff>481853</xdr:rowOff>
    </xdr:to>
    <xdr:cxnSp>
      <xdr:nvCxnSpPr>
        <xdr:cNvPr id="2" name="Straight Connector 1"/>
        <xdr:cNvCxnSpPr/>
      </xdr:nvCxnSpPr>
      <xdr:spPr>
        <a:xfrm>
          <a:off x="5182870" y="481330"/>
          <a:ext cx="13703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790575</xdr:colOff>
      <xdr:row>11</xdr:row>
      <xdr:rowOff>152400</xdr:rowOff>
    </xdr:from>
    <xdr:to>
      <xdr:col>2</xdr:col>
      <xdr:colOff>1813673</xdr:colOff>
      <xdr:row>11</xdr:row>
      <xdr:rowOff>942975</xdr:rowOff>
    </xdr:to>
    <xdr:sp>
      <xdr:nvSpPr>
        <xdr:cNvPr id="2" name="Rectangle 1"/>
        <xdr:cNvSpPr>
          <a:spLocks noChangeArrowheads="1"/>
        </xdr:cNvSpPr>
      </xdr:nvSpPr>
      <xdr:spPr>
        <a:xfrm>
          <a:off x="1247775" y="6286500"/>
          <a:ext cx="2118360" cy="79057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panose="02020603050405020304" pitchFamily="12"/>
              <a:cs typeface="Times New Roman" panose="02020603050405020304" pitchFamily="12"/>
            </a:rPr>
            <a:t>Xác định danh sách chức</a:t>
          </a:r>
          <a:r>
            <a:rPr lang="en-US" sz="1300" b="1" i="0" strike="noStrike" baseline="0">
              <a:solidFill>
                <a:srgbClr val="000000"/>
              </a:solidFill>
              <a:latin typeface="Times New Roman" panose="02020603050405020304" pitchFamily="12"/>
              <a:cs typeface="Times New Roman" panose="02020603050405020304" pitchFamily="12"/>
            </a:rPr>
            <a:t> </a:t>
          </a:r>
          <a:r>
            <a:rPr lang="vi-VN" sz="1300" b="1" i="0" strike="noStrike">
              <a:solidFill>
                <a:srgbClr val="000000"/>
              </a:solidFill>
              <a:latin typeface="Times New Roman" panose="02020603050405020304" pitchFamily="12"/>
              <a:cs typeface="Times New Roman" panose="02020603050405020304" pitchFamily="12"/>
            </a:rPr>
            <a:t>năng hệ thống</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twoCellAnchor>
  <xdr:twoCellAnchor editAs="oneCell">
    <xdr:from>
      <xdr:col>1</xdr:col>
      <xdr:colOff>838200</xdr:colOff>
      <xdr:row>12</xdr:row>
      <xdr:rowOff>133350</xdr:rowOff>
    </xdr:from>
    <xdr:to>
      <xdr:col>2</xdr:col>
      <xdr:colOff>1813673</xdr:colOff>
      <xdr:row>12</xdr:row>
      <xdr:rowOff>876299</xdr:rowOff>
    </xdr:to>
    <xdr:sp>
      <xdr:nvSpPr>
        <xdr:cNvPr id="3" name="Rectangle 1"/>
        <xdr:cNvSpPr>
          <a:spLocks noChangeArrowheads="1"/>
        </xdr:cNvSpPr>
      </xdr:nvSpPr>
      <xdr:spPr>
        <a:xfrm>
          <a:off x="1295400" y="7381875"/>
          <a:ext cx="2070735" cy="74231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panose="02020603050405020304" pitchFamily="12"/>
              <a:cs typeface="Times New Roman" panose="02020603050405020304" pitchFamily="12"/>
            </a:rPr>
            <a:t>Xác định nỗ lực</a:t>
          </a:r>
          <a:r>
            <a:rPr lang="en-US" sz="1300" b="1" i="0" strike="noStrike">
              <a:solidFill>
                <a:srgbClr val="000000"/>
              </a:solidFill>
              <a:latin typeface="Times New Roman" panose="02020603050405020304" pitchFamily="12"/>
              <a:cs typeface="Times New Roman" panose="02020603050405020304" pitchFamily="12"/>
            </a:rPr>
            <a:t> chức</a:t>
          </a:r>
          <a:r>
            <a:rPr lang="en-US" sz="1300" b="1" i="0" strike="noStrike" baseline="0">
              <a:solidFill>
                <a:srgbClr val="000000"/>
              </a:solidFill>
              <a:latin typeface="Times New Roman" panose="02020603050405020304" pitchFamily="12"/>
              <a:cs typeface="Times New Roman" panose="02020603050405020304" pitchFamily="12"/>
            </a:rPr>
            <a:t> năng</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twoCellAnchor>
  <xdr:twoCellAnchor editAs="oneCell">
    <xdr:from>
      <xdr:col>1</xdr:col>
      <xdr:colOff>828675</xdr:colOff>
      <xdr:row>13</xdr:row>
      <xdr:rowOff>161925</xdr:rowOff>
    </xdr:from>
    <xdr:to>
      <xdr:col>2</xdr:col>
      <xdr:colOff>1804148</xdr:colOff>
      <xdr:row>13</xdr:row>
      <xdr:rowOff>904874</xdr:rowOff>
    </xdr:to>
    <xdr:sp>
      <xdr:nvSpPr>
        <xdr:cNvPr id="4" name="Rectangle 1"/>
        <xdr:cNvSpPr>
          <a:spLocks noChangeArrowheads="1"/>
        </xdr:cNvSpPr>
      </xdr:nvSpPr>
      <xdr:spPr>
        <a:xfrm>
          <a:off x="1285875" y="8524875"/>
          <a:ext cx="2070735" cy="74231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panose="02020603050405020304" pitchFamily="12"/>
              <a:cs typeface="Times New Roman" panose="02020603050405020304" pitchFamily="12"/>
            </a:rPr>
            <a:t>Xác định nỗ lực </a:t>
          </a:r>
          <a:r>
            <a:rPr lang="en-US" sz="1300" b="1" i="0" strike="noStrike">
              <a:solidFill>
                <a:srgbClr val="000000"/>
              </a:solidFill>
              <a:latin typeface="Times New Roman" panose="02020603050405020304" pitchFamily="12"/>
              <a:cs typeface="Times New Roman" panose="02020603050405020304" pitchFamily="12"/>
            </a:rPr>
            <a:t>phi chức</a:t>
          </a:r>
          <a:r>
            <a:rPr lang="en-US" sz="1300" b="1" i="0" strike="noStrike" baseline="0">
              <a:solidFill>
                <a:srgbClr val="000000"/>
              </a:solidFill>
              <a:latin typeface="Times New Roman" panose="02020603050405020304" pitchFamily="12"/>
              <a:cs typeface="Times New Roman" panose="02020603050405020304" pitchFamily="12"/>
            </a:rPr>
            <a:t> năng (QTDA, Triển khai...)</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twoCellAnchor>
  <xdr:twoCellAnchor editAs="oneCell">
    <xdr:from>
      <xdr:col>1</xdr:col>
      <xdr:colOff>847725</xdr:colOff>
      <xdr:row>10</xdr:row>
      <xdr:rowOff>161925</xdr:rowOff>
    </xdr:from>
    <xdr:to>
      <xdr:col>2</xdr:col>
      <xdr:colOff>1823198</xdr:colOff>
      <xdr:row>10</xdr:row>
      <xdr:rowOff>904874</xdr:rowOff>
    </xdr:to>
    <xdr:sp>
      <xdr:nvSpPr>
        <xdr:cNvPr id="5" name="Rectangle 1"/>
        <xdr:cNvSpPr>
          <a:spLocks noChangeArrowheads="1"/>
        </xdr:cNvSpPr>
      </xdr:nvSpPr>
      <xdr:spPr>
        <a:xfrm>
          <a:off x="1304925" y="5248275"/>
          <a:ext cx="2070735" cy="74231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panose="02020603050405020304" pitchFamily="12"/>
              <a:cs typeface="Times New Roman" panose="02020603050405020304" pitchFamily="12"/>
            </a:rPr>
            <a:t>Xác định </a:t>
          </a:r>
          <a:r>
            <a:rPr lang="en-US" sz="1300" b="1" i="0" strike="noStrike">
              <a:solidFill>
                <a:srgbClr val="000000"/>
              </a:solidFill>
              <a:latin typeface="Times New Roman" panose="02020603050405020304" pitchFamily="12"/>
              <a:cs typeface="Times New Roman" panose="02020603050405020304" pitchFamily="12"/>
            </a:rPr>
            <a:t>công</a:t>
          </a:r>
          <a:r>
            <a:rPr lang="en-US" sz="1300" b="1" i="0" strike="noStrike" baseline="0">
              <a:solidFill>
                <a:srgbClr val="000000"/>
              </a:solidFill>
              <a:latin typeface="Times New Roman" panose="02020603050405020304" pitchFamily="12"/>
              <a:cs typeface="Times New Roman" panose="02020603050405020304" pitchFamily="12"/>
            </a:rPr>
            <a:t> nghệ dự án</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twoCellAnchor>
  <xdr:oneCellAnchor>
    <xdr:from>
      <xdr:col>1</xdr:col>
      <xdr:colOff>828675</xdr:colOff>
      <xdr:row>15</xdr:row>
      <xdr:rowOff>161925</xdr:rowOff>
    </xdr:from>
    <xdr:ext cx="2070848" cy="742949"/>
    <xdr:sp>
      <xdr:nvSpPr>
        <xdr:cNvPr id="6" name="Rectangle 1"/>
        <xdr:cNvSpPr>
          <a:spLocks noChangeArrowheads="1"/>
        </xdr:cNvSpPr>
      </xdr:nvSpPr>
      <xdr:spPr>
        <a:xfrm>
          <a:off x="1285875" y="10620375"/>
          <a:ext cx="2070735" cy="74231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Xác</a:t>
          </a:r>
          <a:r>
            <a:rPr lang="en-US" sz="1300" b="1" i="0" strike="noStrike" baseline="0">
              <a:solidFill>
                <a:srgbClr val="000000"/>
              </a:solidFill>
              <a:latin typeface="Times New Roman" panose="02020603050405020304" pitchFamily="12"/>
              <a:cs typeface="Times New Roman" panose="02020603050405020304" pitchFamily="12"/>
            </a:rPr>
            <a:t> định tổng nỗ lực dự án và phân bổ chi tiết</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oneCellAnchor>
  <xdr:oneCellAnchor>
    <xdr:from>
      <xdr:col>1</xdr:col>
      <xdr:colOff>828675</xdr:colOff>
      <xdr:row>14</xdr:row>
      <xdr:rowOff>161925</xdr:rowOff>
    </xdr:from>
    <xdr:ext cx="2070848" cy="742949"/>
    <xdr:sp>
      <xdr:nvSpPr>
        <xdr:cNvPr id="7" name="Rectangle 1"/>
        <xdr:cNvSpPr>
          <a:spLocks noChangeArrowheads="1"/>
        </xdr:cNvSpPr>
      </xdr:nvSpPr>
      <xdr:spPr>
        <a:xfrm>
          <a:off x="1285875" y="9572625"/>
          <a:ext cx="2070735" cy="742315"/>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Xác</a:t>
          </a:r>
          <a:r>
            <a:rPr lang="en-US" sz="1300" b="1" i="0" strike="noStrike" baseline="0">
              <a:solidFill>
                <a:srgbClr val="000000"/>
              </a:solidFill>
              <a:latin typeface="Times New Roman" panose="02020603050405020304" pitchFamily="12"/>
              <a:cs typeface="Times New Roman" panose="02020603050405020304" pitchFamily="12"/>
            </a:rPr>
            <a:t> định nỗ lực tiêu chuẩn QTDL</a:t>
          </a:r>
          <a:endParaRPr lang="vi-VN" sz="1300" b="1" i="0" strike="noStrike">
            <a:solidFill>
              <a:srgbClr val="000000"/>
            </a:solidFill>
            <a:latin typeface="Times New Roman" panose="02020603050405020304" pitchFamily="12"/>
            <a:cs typeface="Times New Roman" panose="02020603050405020304" pitchFamily="12"/>
          </a:endParaRPr>
        </a:p>
      </xdr:txBody>
    </xdr:sp>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133350</xdr:colOff>
      <xdr:row>8</xdr:row>
      <xdr:rowOff>219075</xdr:rowOff>
    </xdr:from>
    <xdr:to>
      <xdr:col>1</xdr:col>
      <xdr:colOff>2514600</xdr:colOff>
      <xdr:row>12</xdr:row>
      <xdr:rowOff>828675</xdr:rowOff>
    </xdr:to>
    <xdr:grpSp>
      <xdr:nvGrpSpPr>
        <xdr:cNvPr id="80424" name="Group 1"/>
        <xdr:cNvGrpSpPr/>
      </xdr:nvGrpSpPr>
      <xdr:grpSpPr>
        <a:xfrm>
          <a:off x="790575" y="5229225"/>
          <a:ext cx="2381250" cy="6210300"/>
          <a:chOff x="790575" y="4562975"/>
          <a:chExt cx="2146875" cy="7019424"/>
        </a:xfrm>
      </xdr:grpSpPr>
      <xdr:sp>
        <xdr:nvSpPr>
          <xdr:cNvPr id="3" name="Rectangle 2"/>
          <xdr:cNvSpPr>
            <a:spLocks noChangeArrowheads="1"/>
          </xdr:cNvSpPr>
        </xdr:nvSpPr>
        <xdr:spPr>
          <a:xfrm>
            <a:off x="799162" y="5714936"/>
            <a:ext cx="2086763" cy="785917"/>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Đề</a:t>
            </a:r>
            <a:r>
              <a:rPr lang="en-US" sz="1300" b="1" i="0" strike="noStrike" baseline="0">
                <a:solidFill>
                  <a:srgbClr val="000000"/>
                </a:solidFill>
                <a:latin typeface="Times New Roman" panose="02020603050405020304" pitchFamily="12"/>
                <a:cs typeface="Times New Roman" panose="02020603050405020304" pitchFamily="12"/>
              </a:rPr>
              <a:t> xuất các hệ thống, chức năng tái sử dụng</a:t>
            </a:r>
            <a:endParaRPr lang="vi-VN" sz="1300" b="1" i="0" strike="noStrike">
              <a:solidFill>
                <a:srgbClr val="000000"/>
              </a:solidFill>
              <a:latin typeface="Times New Roman" panose="02020603050405020304" pitchFamily="12"/>
              <a:cs typeface="Times New Roman" panose="02020603050405020304" pitchFamily="12"/>
            </a:endParaRPr>
          </a:p>
        </xdr:txBody>
      </xdr:sp>
      <xdr:sp>
        <xdr:nvSpPr>
          <xdr:cNvPr id="4" name="Rectangle 1"/>
          <xdr:cNvSpPr>
            <a:spLocks noChangeArrowheads="1"/>
          </xdr:cNvSpPr>
        </xdr:nvSpPr>
        <xdr:spPr>
          <a:xfrm>
            <a:off x="867862" y="8029623"/>
            <a:ext cx="2069588" cy="742853"/>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panose="02020603050405020304" pitchFamily="12"/>
                <a:cs typeface="Times New Roman" panose="02020603050405020304" pitchFamily="12"/>
              </a:rPr>
              <a:t>Đánh giá,  thẩm định khả năng tái sử dụng</a:t>
            </a:r>
            <a:endParaRPr lang="vi-VN" sz="1300" b="1" i="0" strike="noStrike">
              <a:solidFill>
                <a:srgbClr val="000000"/>
              </a:solidFill>
              <a:latin typeface="Times New Roman" panose="02020603050405020304" pitchFamily="12"/>
              <a:cs typeface="Times New Roman" panose="02020603050405020304" pitchFamily="12"/>
            </a:endParaRPr>
          </a:p>
        </xdr:txBody>
      </xdr:sp>
      <xdr:sp>
        <xdr:nvSpPr>
          <xdr:cNvPr id="5" name="Rectangle 1"/>
          <xdr:cNvSpPr>
            <a:spLocks noChangeArrowheads="1"/>
          </xdr:cNvSpPr>
        </xdr:nvSpPr>
        <xdr:spPr>
          <a:xfrm>
            <a:off x="824925" y="9806011"/>
            <a:ext cx="2078175" cy="742853"/>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Thống</a:t>
            </a:r>
            <a:r>
              <a:rPr lang="en-US" sz="1300" b="1" i="0" strike="noStrike" baseline="0">
                <a:solidFill>
                  <a:srgbClr val="000000"/>
                </a:solidFill>
                <a:latin typeface="Times New Roman" panose="02020603050405020304" pitchFamily="12"/>
                <a:cs typeface="Times New Roman" panose="02020603050405020304" pitchFamily="12"/>
              </a:rPr>
              <a:t> nhất khả năng và tỷ lệ  tái sử dụng</a:t>
            </a:r>
            <a:endParaRPr lang="vi-VN" sz="1300" b="1" i="0" strike="noStrike">
              <a:solidFill>
                <a:srgbClr val="000000"/>
              </a:solidFill>
              <a:latin typeface="Times New Roman" panose="02020603050405020304" pitchFamily="12"/>
              <a:cs typeface="Times New Roman" panose="02020603050405020304" pitchFamily="12"/>
            </a:endParaRPr>
          </a:p>
        </xdr:txBody>
      </xdr:sp>
      <xdr:sp>
        <xdr:nvSpPr>
          <xdr:cNvPr id="6" name="Rectangle 1"/>
          <xdr:cNvSpPr>
            <a:spLocks noChangeArrowheads="1"/>
          </xdr:cNvSpPr>
        </xdr:nvSpPr>
        <xdr:spPr>
          <a:xfrm>
            <a:off x="799162" y="4562975"/>
            <a:ext cx="2069588" cy="742853"/>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Tìm</a:t>
            </a:r>
            <a:r>
              <a:rPr lang="en-US" sz="1300" b="1" i="0" strike="noStrike" baseline="0">
                <a:solidFill>
                  <a:srgbClr val="000000"/>
                </a:solidFill>
                <a:latin typeface="Times New Roman" panose="02020603050405020304" pitchFamily="12"/>
                <a:cs typeface="Times New Roman" panose="02020603050405020304" pitchFamily="12"/>
              </a:rPr>
              <a:t> hiểu yêu cầu kỹ thuật, nghiệp vụ của hệ thống</a:t>
            </a:r>
            <a:endParaRPr lang="vi-VN" sz="1300" b="1" i="0" strike="noStrike">
              <a:solidFill>
                <a:srgbClr val="000000"/>
              </a:solidFill>
              <a:latin typeface="Times New Roman" panose="02020603050405020304" pitchFamily="12"/>
              <a:cs typeface="Times New Roman" panose="02020603050405020304" pitchFamily="12"/>
            </a:endParaRPr>
          </a:p>
        </xdr:txBody>
      </xdr:sp>
      <xdr:sp>
        <xdr:nvSpPr>
          <xdr:cNvPr id="7" name="Rectangle 1"/>
          <xdr:cNvSpPr>
            <a:spLocks noChangeArrowheads="1"/>
          </xdr:cNvSpPr>
        </xdr:nvSpPr>
        <xdr:spPr>
          <a:xfrm>
            <a:off x="790575" y="10839546"/>
            <a:ext cx="2069588" cy="742853"/>
          </a:xfrm>
          <a:prstGeom prst="rect">
            <a:avLst/>
          </a:prstGeom>
          <a:solidFill>
            <a:srgbClr val="FFFFFF"/>
          </a:solidFill>
          <a:ln w="25400" algn="ctr">
            <a:solidFill>
              <a:srgbClr val="F79646"/>
            </a:solidFill>
            <a:miter lim="800000"/>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panose="02020603050405020304" pitchFamily="12"/>
                <a:cs typeface="Times New Roman" panose="02020603050405020304" pitchFamily="12"/>
              </a:rPr>
              <a:t>Xác</a:t>
            </a:r>
            <a:r>
              <a:rPr lang="en-US" sz="1300" b="1" i="0" strike="noStrike" baseline="0">
                <a:solidFill>
                  <a:srgbClr val="000000"/>
                </a:solidFill>
                <a:latin typeface="Times New Roman" panose="02020603050405020304" pitchFamily="12"/>
                <a:cs typeface="Times New Roman" panose="02020603050405020304" pitchFamily="12"/>
              </a:rPr>
              <a:t> định ULNL tái sử dụng</a:t>
            </a:r>
            <a:endParaRPr lang="vi-VN" sz="1300" b="1" i="0" strike="noStrike">
              <a:solidFill>
                <a:srgbClr val="000000"/>
              </a:solidFill>
              <a:latin typeface="Times New Roman" panose="02020603050405020304" pitchFamily="12"/>
              <a:cs typeface="Times New Roman" panose="02020603050405020304" pitchFamily="12"/>
            </a:endParaRPr>
          </a:p>
        </xdr:txBody>
      </xdr:sp>
    </xdr:grp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2</xdr:col>
      <xdr:colOff>1029821</xdr:colOff>
      <xdr:row>0</xdr:row>
      <xdr:rowOff>454959</xdr:rowOff>
    </xdr:from>
    <xdr:to>
      <xdr:col>3</xdr:col>
      <xdr:colOff>1315571</xdr:colOff>
      <xdr:row>0</xdr:row>
      <xdr:rowOff>454959</xdr:rowOff>
    </xdr:to>
    <xdr:cxnSp>
      <xdr:nvCxnSpPr>
        <xdr:cNvPr id="2" name="Straight Connector 1"/>
        <xdr:cNvCxnSpPr/>
      </xdr:nvCxnSpPr>
      <xdr:spPr>
        <a:xfrm>
          <a:off x="2428875" y="454660"/>
          <a:ext cx="131508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M_HDTKD_ULNL_E1%20Bieu%20mau%20uoc%20luong%20no%20luc%20lan%20dau%20tie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ieu%20mau%20ULNL%20phan%20mem%20chi%20tiet%20TCT%20GPDN%20Viette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 val="Gi_i_thi_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rang bia"/>
      <sheetName val="Bang ghi nhan thay doi"/>
      <sheetName val="Tong hop"/>
      <sheetName val="NL Chuc nang"/>
      <sheetName val="Sheet2"/>
      <sheetName val="NL Phi CN"/>
      <sheetName val="BM_Kiem thu hieu nang"/>
      <sheetName val="HDKTHN"/>
      <sheetName val="Định nghĩa Loại Chức năng"/>
      <sheetName val="Định nghĩa loại công việc"/>
      <sheetName val="CSDL_CN"/>
      <sheetName val="CSDL Phi CN"/>
      <sheetName val="Ty le phan bo nguon luc du an"/>
      <sheetName val="HD ULNL "/>
      <sheetName val="CSDL CN"/>
      <sheetName val="Tham chiếu list"/>
      <sheetName val="Tham chiếu list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31"/>
  <sheetViews>
    <sheetView showGridLines="0" view="pageBreakPreview" zoomScalePageLayoutView="85" zoomScaleNormal="100" workbookViewId="0">
      <selection activeCell="E6" sqref="A6:I7"/>
    </sheetView>
  </sheetViews>
  <sheetFormatPr defaultColWidth="9" defaultRowHeight="12.75"/>
  <cols>
    <col min="1" max="1" width="9.14285714285714" style="540"/>
    <col min="2" max="2" width="16.5714285714286" style="540" customWidth="1"/>
    <col min="3" max="3" width="12.7142857142857" style="540" customWidth="1"/>
    <col min="4" max="4" width="14.1428571428571" style="540" customWidth="1"/>
    <col min="5" max="5" width="30.4285714285714" style="540" customWidth="1"/>
    <col min="6" max="6" width="21.1428571428571" style="540" customWidth="1"/>
    <col min="7" max="7" width="18.2857142857143" style="540" customWidth="1"/>
    <col min="8" max="8" width="8.14285714285714" style="540" customWidth="1"/>
    <col min="9" max="9" width="8.28571428571429" style="540" customWidth="1"/>
    <col min="10" max="16384" width="9.14285714285714" style="540"/>
  </cols>
  <sheetData>
    <row r="1" ht="27.75" customHeight="1" spans="1:9">
      <c r="A1" s="541"/>
      <c r="B1" s="541"/>
      <c r="C1" s="541"/>
      <c r="D1" s="542" t="s">
        <v>0</v>
      </c>
      <c r="E1" s="542"/>
      <c r="F1" s="542"/>
      <c r="G1" s="542"/>
      <c r="H1" s="541"/>
      <c r="I1" s="541"/>
    </row>
    <row r="2" ht="18" spans="1:9">
      <c r="A2" s="541"/>
      <c r="B2" s="541"/>
      <c r="C2" s="541"/>
      <c r="D2" s="543" t="s">
        <v>1</v>
      </c>
      <c r="E2" s="543" t="s">
        <v>2</v>
      </c>
      <c r="F2" s="543"/>
      <c r="G2" s="543"/>
      <c r="H2" s="541"/>
      <c r="I2" s="541"/>
    </row>
    <row r="3" spans="1:9">
      <c r="A3" s="541"/>
      <c r="B3" s="541"/>
      <c r="C3" s="541"/>
      <c r="D3" s="541"/>
      <c r="E3" s="541"/>
      <c r="F3" s="541"/>
      <c r="G3" s="541"/>
      <c r="H3" s="541"/>
      <c r="I3" s="541"/>
    </row>
    <row r="4" spans="1:9">
      <c r="A4" s="541"/>
      <c r="B4" s="541"/>
      <c r="C4" s="541"/>
      <c r="D4" s="541"/>
      <c r="E4" s="541"/>
      <c r="F4" s="541"/>
      <c r="G4" s="541"/>
      <c r="H4" s="541"/>
      <c r="I4" s="541"/>
    </row>
    <row r="5" spans="1:9">
      <c r="A5" s="541"/>
      <c r="B5" s="541"/>
      <c r="C5" s="541"/>
      <c r="D5" s="541"/>
      <c r="E5" s="541"/>
      <c r="F5" s="541"/>
      <c r="G5" s="541"/>
      <c r="H5" s="541"/>
      <c r="I5" s="541"/>
    </row>
    <row r="6" spans="1:9">
      <c r="A6" s="541"/>
      <c r="B6" s="541"/>
      <c r="C6" s="541"/>
      <c r="D6" s="541"/>
      <c r="E6" s="541"/>
      <c r="F6" s="541"/>
      <c r="G6" s="541"/>
      <c r="H6" s="541"/>
      <c r="I6" s="541"/>
    </row>
    <row r="7" ht="32.25" customHeight="1" spans="1:9">
      <c r="A7" s="544"/>
      <c r="B7" s="544"/>
      <c r="C7" s="544"/>
      <c r="D7" s="544"/>
      <c r="E7" s="544"/>
      <c r="F7" s="544"/>
      <c r="G7" s="544"/>
      <c r="H7" s="544"/>
      <c r="I7" s="544"/>
    </row>
    <row r="8" ht="27.75" customHeight="1" spans="1:10">
      <c r="A8" s="545"/>
      <c r="B8" s="545"/>
      <c r="C8" s="545"/>
      <c r="D8" s="545"/>
      <c r="E8" s="545"/>
      <c r="F8" s="545"/>
      <c r="G8" s="545"/>
      <c r="H8" s="545"/>
      <c r="I8" s="545"/>
      <c r="J8" s="555"/>
    </row>
    <row r="9" ht="15" spans="1:9">
      <c r="A9" s="546"/>
      <c r="B9" s="546"/>
      <c r="C9" s="546"/>
      <c r="D9" s="546"/>
      <c r="E9" s="546"/>
      <c r="F9" s="546"/>
      <c r="G9" s="546"/>
      <c r="H9" s="546"/>
      <c r="I9" s="546"/>
    </row>
    <row r="10" ht="15" spans="1:9">
      <c r="A10" s="546"/>
      <c r="B10" s="546"/>
      <c r="C10" s="546"/>
      <c r="D10" s="546"/>
      <c r="E10" s="546"/>
      <c r="F10" s="549"/>
      <c r="G10" s="546"/>
      <c r="H10" s="546"/>
      <c r="I10" s="546"/>
    </row>
    <row r="11" ht="17.25" customHeight="1" spans="1:9">
      <c r="A11" s="547"/>
      <c r="B11" s="546"/>
      <c r="C11" s="548" t="s">
        <v>3</v>
      </c>
      <c r="D11" s="548"/>
      <c r="E11" s="552"/>
      <c r="F11" s="547"/>
      <c r="G11" s="547"/>
      <c r="H11" s="547"/>
      <c r="I11" s="547"/>
    </row>
    <row r="12" ht="15" spans="1:9">
      <c r="A12" s="549"/>
      <c r="B12" s="549"/>
      <c r="C12" s="548" t="s">
        <v>4</v>
      </c>
      <c r="D12" s="548" t="s">
        <v>5</v>
      </c>
      <c r="E12" s="552" t="s">
        <v>6</v>
      </c>
      <c r="F12" s="549"/>
      <c r="G12" s="549"/>
      <c r="H12" s="549"/>
      <c r="I12" s="549"/>
    </row>
    <row r="13" ht="18.75" customHeight="1" spans="1:9">
      <c r="A13" s="546"/>
      <c r="B13" s="546"/>
      <c r="C13" s="548" t="s">
        <v>7</v>
      </c>
      <c r="D13" s="548" t="s">
        <v>5</v>
      </c>
      <c r="E13" s="552" t="s">
        <v>8</v>
      </c>
      <c r="F13" s="546"/>
      <c r="G13" s="546"/>
      <c r="H13" s="546"/>
      <c r="I13" s="546"/>
    </row>
    <row r="14" ht="18.75" customHeight="1" spans="1:9">
      <c r="A14" s="546"/>
      <c r="B14" s="546"/>
      <c r="C14" s="523"/>
      <c r="D14" s="523"/>
      <c r="E14" s="552"/>
      <c r="F14" s="546"/>
      <c r="G14" s="546"/>
      <c r="H14" s="546"/>
      <c r="I14" s="546"/>
    </row>
    <row r="15" ht="18.75" customHeight="1" spans="1:9">
      <c r="A15" s="546"/>
      <c r="B15" s="546"/>
      <c r="C15" s="523"/>
      <c r="D15" s="523"/>
      <c r="E15" s="552"/>
      <c r="F15" s="546"/>
      <c r="G15" s="546"/>
      <c r="H15" s="546"/>
      <c r="I15" s="546"/>
    </row>
    <row r="16" ht="15" spans="1:9">
      <c r="A16" s="550" t="s">
        <v>9</v>
      </c>
      <c r="B16" s="523"/>
      <c r="C16" s="548"/>
      <c r="D16" s="523"/>
      <c r="E16" s="523"/>
      <c r="F16" s="523"/>
      <c r="G16" s="523"/>
      <c r="H16" s="523"/>
      <c r="I16" s="553"/>
    </row>
    <row r="17" ht="15" spans="1:9">
      <c r="A17" s="548"/>
      <c r="B17" s="523"/>
      <c r="C17" s="523" t="s">
        <v>10</v>
      </c>
      <c r="D17" s="523"/>
      <c r="E17" s="553"/>
      <c r="F17" s="523" t="s">
        <v>11</v>
      </c>
      <c r="G17" s="553"/>
      <c r="H17" s="554"/>
      <c r="I17" s="553"/>
    </row>
    <row r="18" ht="15" spans="1:9">
      <c r="A18" s="551"/>
      <c r="B18" s="523"/>
      <c r="C18" s="523" t="s">
        <v>12</v>
      </c>
      <c r="D18" s="523"/>
      <c r="E18" s="553"/>
      <c r="F18" s="523"/>
      <c r="G18" s="553"/>
      <c r="H18" s="523"/>
      <c r="I18" s="553"/>
    </row>
    <row r="19" ht="15" spans="1:9">
      <c r="A19" s="548"/>
      <c r="B19" s="523"/>
      <c r="C19" s="523"/>
      <c r="D19" s="523"/>
      <c r="E19" s="553"/>
      <c r="F19" s="523"/>
      <c r="G19" s="553"/>
      <c r="H19" s="523"/>
      <c r="I19" s="553"/>
    </row>
    <row r="20" ht="15" spans="1:9">
      <c r="A20" s="550"/>
      <c r="B20" s="523"/>
      <c r="C20" s="523"/>
      <c r="D20" s="523"/>
      <c r="E20" s="553"/>
      <c r="F20" s="523"/>
      <c r="G20" s="553"/>
      <c r="H20" s="523"/>
      <c r="I20" s="553"/>
    </row>
    <row r="21" ht="15" spans="1:9">
      <c r="A21" s="550"/>
      <c r="B21" s="523"/>
      <c r="C21" s="523"/>
      <c r="D21" s="523"/>
      <c r="E21" s="553"/>
      <c r="F21" s="523"/>
      <c r="G21" s="553"/>
      <c r="H21" s="523"/>
      <c r="I21" s="553"/>
    </row>
    <row r="22" ht="15" spans="1:9">
      <c r="A22" s="550" t="s">
        <v>13</v>
      </c>
      <c r="B22" s="523"/>
      <c r="C22" s="523"/>
      <c r="D22" s="523"/>
      <c r="E22" s="553"/>
      <c r="F22" s="523"/>
      <c r="G22" s="553"/>
      <c r="H22" s="523"/>
      <c r="I22" s="553"/>
    </row>
    <row r="23" ht="15" spans="1:9">
      <c r="A23" s="548"/>
      <c r="B23" s="523"/>
      <c r="C23" s="548" t="s">
        <v>14</v>
      </c>
      <c r="D23" s="523"/>
      <c r="E23" s="553"/>
      <c r="F23" s="523" t="s">
        <v>15</v>
      </c>
      <c r="G23" s="553"/>
      <c r="H23" s="523"/>
      <c r="I23" s="553"/>
    </row>
    <row r="24" ht="15" spans="1:9">
      <c r="A24" s="548"/>
      <c r="B24" s="523"/>
      <c r="C24" s="523" t="s">
        <v>12</v>
      </c>
      <c r="D24" s="523"/>
      <c r="E24" s="553"/>
      <c r="F24" s="554"/>
      <c r="G24" s="553"/>
      <c r="H24" s="523"/>
      <c r="I24" s="553"/>
    </row>
    <row r="25" ht="15" spans="1:9">
      <c r="A25" s="548"/>
      <c r="B25" s="523"/>
      <c r="C25" s="523"/>
      <c r="D25" s="523"/>
      <c r="E25" s="553"/>
      <c r="F25" s="523"/>
      <c r="G25" s="553"/>
      <c r="H25" s="523"/>
      <c r="I25" s="553"/>
    </row>
    <row r="26" ht="15" spans="1:9">
      <c r="A26" s="548"/>
      <c r="B26" s="523"/>
      <c r="C26" s="523"/>
      <c r="D26" s="523"/>
      <c r="E26" s="553"/>
      <c r="F26" s="523"/>
      <c r="G26" s="553"/>
      <c r="H26" s="523"/>
      <c r="I26" s="553"/>
    </row>
    <row r="27" ht="15" spans="1:9">
      <c r="A27" s="548"/>
      <c r="B27" s="523"/>
      <c r="C27" s="523"/>
      <c r="D27" s="523"/>
      <c r="E27" s="553"/>
      <c r="F27" s="523"/>
      <c r="G27" s="553"/>
      <c r="H27" s="523"/>
      <c r="I27" s="553"/>
    </row>
    <row r="28" ht="15" spans="1:9">
      <c r="A28" s="550" t="s">
        <v>16</v>
      </c>
      <c r="B28" s="523"/>
      <c r="C28" s="523"/>
      <c r="D28" s="523"/>
      <c r="E28" s="553"/>
      <c r="F28" s="523"/>
      <c r="G28" s="553"/>
      <c r="H28" s="523"/>
      <c r="I28" s="553"/>
    </row>
    <row r="29" ht="15" spans="1:9">
      <c r="A29" s="523"/>
      <c r="B29" s="523"/>
      <c r="C29" s="548" t="s">
        <v>17</v>
      </c>
      <c r="D29" s="523"/>
      <c r="E29" s="553"/>
      <c r="F29" s="523" t="s">
        <v>18</v>
      </c>
      <c r="G29" s="553"/>
      <c r="H29" s="523"/>
      <c r="I29" s="553"/>
    </row>
    <row r="30" ht="15" spans="1:9">
      <c r="A30" s="523"/>
      <c r="B30" s="523"/>
      <c r="C30" s="523" t="s">
        <v>12</v>
      </c>
      <c r="D30" s="523"/>
      <c r="E30" s="523"/>
      <c r="F30" s="523"/>
      <c r="G30" s="523"/>
      <c r="H30" s="523"/>
      <c r="I30" s="553"/>
    </row>
    <row r="31" ht="15" spans="1:9">
      <c r="A31" s="523"/>
      <c r="B31" s="523"/>
      <c r="C31" s="523"/>
      <c r="D31" s="523"/>
      <c r="E31" s="523"/>
      <c r="F31" s="523"/>
      <c r="G31" s="523"/>
      <c r="H31" s="523"/>
      <c r="I31" s="553"/>
    </row>
  </sheetData>
  <mergeCells count="7">
    <mergeCell ref="D1:G1"/>
    <mergeCell ref="D2:G2"/>
    <mergeCell ref="A7:I7"/>
    <mergeCell ref="A8:I8"/>
    <mergeCell ref="C11:D11"/>
    <mergeCell ref="C12:D12"/>
    <mergeCell ref="C13:D13"/>
  </mergeCells>
  <printOptions horizontalCentered="1"/>
  <pageMargins left="0.7" right="0.7" top="0.55" bottom="0.54" header="0.3" footer="0.3"/>
  <pageSetup paperSize="1" scale="89" fitToHeight="0" orientation="landscape" verticalDpi="300"/>
  <headerFooter alignWithMargins="0">
    <oddFooter>&amp;L&amp;"time new romand,Italic"&amp;12HD.VTS.QLCL.01&amp;C&amp;"Arial,Italic"&amp;12Lần ban hành:   /Ngày hiệu lực    /    /20&amp;R1/1</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G18"/>
  <sheetViews>
    <sheetView view="pageBreakPreview" zoomScaleNormal="100" workbookViewId="0">
      <selection activeCell="B7" sqref="B7"/>
    </sheetView>
  </sheetViews>
  <sheetFormatPr defaultColWidth="9" defaultRowHeight="15" outlineLevelCol="6"/>
  <cols>
    <col min="1" max="1" width="4.85714285714286" style="525" customWidth="1"/>
    <col min="2" max="2" width="12.8571428571429" style="525" customWidth="1"/>
    <col min="3" max="3" width="13.7142857142857" style="525" customWidth="1"/>
    <col min="4" max="4" width="9.14285714285714" style="525" customWidth="1"/>
    <col min="5" max="5" width="17.4285714285714" style="525" customWidth="1"/>
    <col min="6" max="6" width="25.8571428571429" style="525" customWidth="1"/>
    <col min="7" max="7" width="19.2857142857143" style="525" customWidth="1"/>
    <col min="8" max="16384" width="9.14285714285714" style="525"/>
  </cols>
  <sheetData>
    <row r="1" s="523" customFormat="1" ht="20.25" spans="2:7">
      <c r="B1" s="526" t="s">
        <v>19</v>
      </c>
      <c r="C1" s="526"/>
      <c r="D1" s="526"/>
      <c r="E1" s="526"/>
      <c r="F1" s="526"/>
      <c r="G1" s="526"/>
    </row>
    <row r="2" s="523" customFormat="1"/>
    <row r="3" spans="2:2">
      <c r="B3" s="527" t="s">
        <v>20</v>
      </c>
    </row>
    <row r="4" spans="2:2">
      <c r="B4" s="527"/>
    </row>
    <row r="5" s="524" customFormat="1" ht="33.75" customHeight="1" spans="2:7">
      <c r="B5" s="528" t="s">
        <v>21</v>
      </c>
      <c r="C5" s="529" t="s">
        <v>22</v>
      </c>
      <c r="D5" s="529" t="s">
        <v>23</v>
      </c>
      <c r="E5" s="529" t="s">
        <v>24</v>
      </c>
      <c r="F5" s="529" t="s">
        <v>25</v>
      </c>
      <c r="G5" s="529" t="s">
        <v>26</v>
      </c>
    </row>
    <row r="6" spans="2:7">
      <c r="B6" s="530" t="s">
        <v>27</v>
      </c>
      <c r="C6" s="531"/>
      <c r="D6" s="532" t="s">
        <v>28</v>
      </c>
      <c r="E6" s="536"/>
      <c r="F6" s="537" t="s">
        <v>29</v>
      </c>
      <c r="G6" s="536" t="s">
        <v>30</v>
      </c>
    </row>
    <row r="7" spans="2:7">
      <c r="B7" s="530"/>
      <c r="C7" s="531"/>
      <c r="D7" s="532"/>
      <c r="E7" s="538"/>
      <c r="F7" s="537"/>
      <c r="G7" s="538"/>
    </row>
    <row r="8" spans="2:7">
      <c r="B8" s="530"/>
      <c r="C8" s="531"/>
      <c r="D8" s="532"/>
      <c r="E8" s="535"/>
      <c r="F8" s="539"/>
      <c r="G8" s="535"/>
    </row>
    <row r="9" spans="2:7">
      <c r="B9" s="530"/>
      <c r="C9" s="531"/>
      <c r="D9" s="532"/>
      <c r="E9" s="535"/>
      <c r="F9" s="535"/>
      <c r="G9" s="535"/>
    </row>
    <row r="10" spans="2:7">
      <c r="B10" s="533"/>
      <c r="C10" s="534"/>
      <c r="D10" s="535"/>
      <c r="E10" s="535"/>
      <c r="F10" s="535"/>
      <c r="G10" s="535"/>
    </row>
    <row r="11" spans="2:7">
      <c r="B11" s="530"/>
      <c r="C11" s="531"/>
      <c r="D11" s="532"/>
      <c r="E11" s="535"/>
      <c r="F11" s="535"/>
      <c r="G11" s="535"/>
    </row>
    <row r="12" spans="2:7">
      <c r="B12" s="533"/>
      <c r="C12" s="534"/>
      <c r="D12" s="535"/>
      <c r="E12" s="535"/>
      <c r="F12" s="535"/>
      <c r="G12" s="535"/>
    </row>
    <row r="13" spans="2:7">
      <c r="B13" s="533"/>
      <c r="C13" s="534"/>
      <c r="D13" s="535"/>
      <c r="E13" s="535"/>
      <c r="F13" s="535"/>
      <c r="G13" s="535"/>
    </row>
    <row r="14" spans="2:7">
      <c r="B14" s="533"/>
      <c r="C14" s="534"/>
      <c r="D14" s="535"/>
      <c r="E14" s="535"/>
      <c r="F14" s="535"/>
      <c r="G14" s="535"/>
    </row>
    <row r="15" spans="2:7">
      <c r="B15" s="533"/>
      <c r="C15" s="534"/>
      <c r="D15" s="535"/>
      <c r="E15" s="535"/>
      <c r="F15" s="535"/>
      <c r="G15" s="535"/>
    </row>
    <row r="16" spans="2:7">
      <c r="B16" s="533"/>
      <c r="C16" s="534"/>
      <c r="D16" s="535"/>
      <c r="E16" s="535"/>
      <c r="F16" s="535"/>
      <c r="G16" s="535"/>
    </row>
    <row r="17" spans="2:7">
      <c r="B17" s="533"/>
      <c r="C17" s="534"/>
      <c r="D17" s="535"/>
      <c r="E17" s="535"/>
      <c r="F17" s="535"/>
      <c r="G17" s="535"/>
    </row>
    <row r="18" spans="2:7">
      <c r="B18" s="533"/>
      <c r="C18" s="534"/>
      <c r="D18" s="535"/>
      <c r="E18" s="535"/>
      <c r="F18" s="535"/>
      <c r="G18" s="535"/>
    </row>
  </sheetData>
  <mergeCells count="1">
    <mergeCell ref="B1:G1"/>
  </mergeCells>
  <pageMargins left="0.25" right="0.25" top="0.75" bottom="0.75" header="0.3" footer="0.3"/>
  <pageSetup paperSize="1" orientation="landscape"/>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2:J27"/>
  <sheetViews>
    <sheetView view="pageBreakPreview" zoomScalePageLayoutView="55" zoomScaleNormal="100" workbookViewId="0">
      <selection activeCell="D36" sqref="D36"/>
    </sheetView>
  </sheetViews>
  <sheetFormatPr defaultColWidth="9" defaultRowHeight="15"/>
  <cols>
    <col min="1" max="1" width="9.14285714285714" style="493"/>
    <col min="2" max="2" width="5.85714285714286" style="493" customWidth="1"/>
    <col min="3" max="3" width="23.4285714285714" style="493" customWidth="1"/>
    <col min="4" max="4" width="51.4285714285714" style="493" customWidth="1"/>
    <col min="5" max="6" width="18.2857142857143" style="493" customWidth="1"/>
    <col min="7" max="7" width="14.4285714285714" style="493" customWidth="1"/>
    <col min="8" max="8" width="18.1428571428571" style="493" customWidth="1"/>
    <col min="9" max="9" width="13.7142857142857" style="493" customWidth="1"/>
    <col min="10" max="10" width="14" style="493" customWidth="1"/>
    <col min="11" max="16384" width="9.14285714285714" style="493"/>
  </cols>
  <sheetData>
    <row r="2" ht="20.25" spans="2:6">
      <c r="B2" s="494" t="s">
        <v>31</v>
      </c>
      <c r="C2" s="494"/>
      <c r="D2" s="494"/>
      <c r="E2" s="494"/>
      <c r="F2" s="494"/>
    </row>
    <row r="3" ht="18" spans="1:5">
      <c r="A3" s="495"/>
      <c r="B3" s="495"/>
      <c r="C3" s="495"/>
      <c r="D3" s="495"/>
      <c r="E3" s="495"/>
    </row>
    <row r="4" ht="20.25" spans="1:5">
      <c r="A4" s="496" t="s">
        <v>32</v>
      </c>
      <c r="B4" s="497"/>
      <c r="C4" s="498"/>
      <c r="D4" s="498"/>
      <c r="E4" s="498"/>
    </row>
    <row r="5" s="491" customFormat="1" spans="2:5">
      <c r="B5" s="497"/>
      <c r="C5" s="499"/>
      <c r="D5" s="500"/>
      <c r="E5" s="500"/>
    </row>
    <row r="6" ht="21.75" customHeight="1" spans="2:6">
      <c r="B6" s="85" t="s">
        <v>33</v>
      </c>
      <c r="C6" s="86"/>
      <c r="D6" s="86"/>
      <c r="E6" s="86"/>
      <c r="F6" s="102"/>
    </row>
    <row r="7" ht="30" spans="2:6">
      <c r="B7" s="87" t="s">
        <v>34</v>
      </c>
      <c r="C7" s="88" t="s">
        <v>35</v>
      </c>
      <c r="D7" s="96" t="s">
        <v>36</v>
      </c>
      <c r="E7" s="96" t="s">
        <v>37</v>
      </c>
      <c r="F7" s="96" t="s">
        <v>38</v>
      </c>
    </row>
    <row r="8" ht="30" spans="2:6">
      <c r="B8" s="91">
        <v>1</v>
      </c>
      <c r="C8" s="92" t="s">
        <v>39</v>
      </c>
      <c r="D8" s="501" t="s">
        <v>40</v>
      </c>
      <c r="E8" s="512">
        <f>'NL Chuc nang'!R341/8</f>
        <v>1392.1125</v>
      </c>
      <c r="F8" s="513">
        <f>'NL Chuc nang'!E341/8</f>
        <v>1334.53</v>
      </c>
    </row>
    <row r="9" spans="2:6">
      <c r="B9" s="91">
        <v>2</v>
      </c>
      <c r="C9" s="502" t="s">
        <v>41</v>
      </c>
      <c r="D9" s="501" t="s">
        <v>42</v>
      </c>
      <c r="E9" s="105">
        <f>'NL Chuc nang'!N341/8</f>
        <v>330.3125</v>
      </c>
      <c r="F9" s="514">
        <f>'NL Chuc nang'!F341/8</f>
        <v>264.250000000001</v>
      </c>
    </row>
    <row r="10" ht="30" spans="2:6">
      <c r="B10" s="91">
        <v>3</v>
      </c>
      <c r="C10" s="502" t="s">
        <v>43</v>
      </c>
      <c r="D10" s="501" t="s">
        <v>44</v>
      </c>
      <c r="E10" s="105">
        <f>'NL Chuc nang'!O341/8</f>
        <v>529.75</v>
      </c>
      <c r="F10" s="514">
        <f>'NL Chuc nang'!G341/8</f>
        <v>423.799999999999</v>
      </c>
    </row>
    <row r="11" spans="2:6">
      <c r="B11" s="91"/>
      <c r="C11" s="502" t="s">
        <v>45</v>
      </c>
      <c r="D11" s="501" t="s">
        <v>46</v>
      </c>
      <c r="E11" s="105">
        <f>'NL Chuc nang'!P341/8</f>
        <v>158.924999999999</v>
      </c>
      <c r="F11" s="514">
        <f>'NL Chuc nang'!H341/8</f>
        <v>127.14</v>
      </c>
    </row>
    <row r="12" ht="45" spans="2:6">
      <c r="B12" s="91">
        <v>4</v>
      </c>
      <c r="C12" s="502" t="s">
        <v>47</v>
      </c>
      <c r="D12" s="501" t="s">
        <v>48</v>
      </c>
      <c r="E12" s="105">
        <f>'NL Chuc nang'!Q341/8</f>
        <v>373.125</v>
      </c>
      <c r="F12" s="514">
        <f>'NL Chuc nang'!I341/8</f>
        <v>298.500000000002</v>
      </c>
    </row>
    <row r="13" ht="30" spans="2:7">
      <c r="B13" s="91">
        <v>5</v>
      </c>
      <c r="C13" s="92" t="s">
        <v>49</v>
      </c>
      <c r="D13" s="501" t="s">
        <v>50</v>
      </c>
      <c r="E13" s="512">
        <f>'NL Phi CN'!D6/8</f>
        <v>253.402004093733</v>
      </c>
      <c r="F13" s="513">
        <f>'NL Phi CN'!E46/8</f>
        <v>253.402004093733</v>
      </c>
      <c r="G13" s="515">
        <f>F13/F15</f>
        <v>0.159579883420987</v>
      </c>
    </row>
    <row r="14" ht="30" spans="2:6">
      <c r="B14" s="91">
        <v>6</v>
      </c>
      <c r="C14" s="92" t="s">
        <v>51</v>
      </c>
      <c r="D14" s="501" t="s">
        <v>52</v>
      </c>
      <c r="E14" s="512">
        <f>'NL QTDL'!D6/8</f>
        <v>0</v>
      </c>
      <c r="F14" s="513">
        <f>'NL QTDL'!E16</f>
        <v>0</v>
      </c>
    </row>
    <row r="15" s="492" customFormat="1" ht="52.5" customHeight="1" spans="2:6">
      <c r="B15" s="91">
        <v>7</v>
      </c>
      <c r="C15" s="503" t="s">
        <v>53</v>
      </c>
      <c r="D15" s="504" t="s">
        <v>54</v>
      </c>
      <c r="E15" s="516">
        <f>E13+E8+E14</f>
        <v>1645.51450409374</v>
      </c>
      <c r="F15" s="516">
        <f>F13+F8+F14</f>
        <v>1587.93200409373</v>
      </c>
    </row>
    <row r="16" spans="2:6">
      <c r="B16" s="505"/>
      <c r="C16" s="506"/>
      <c r="D16" s="507" t="s">
        <v>55</v>
      </c>
      <c r="E16" s="517">
        <f>E15/22</f>
        <v>74.7961138224426</v>
      </c>
      <c r="F16" s="518">
        <f>F15/22</f>
        <v>72.1787274588061</v>
      </c>
    </row>
    <row r="17" ht="20.25" hidden="1" spans="1:5">
      <c r="A17" s="496" t="s">
        <v>56</v>
      </c>
      <c r="B17" s="505"/>
      <c r="C17" s="506"/>
      <c r="D17" s="508"/>
      <c r="E17" s="519"/>
    </row>
    <row r="18" hidden="1" spans="2:5">
      <c r="B18" s="505"/>
      <c r="C18" s="506"/>
      <c r="D18" s="508"/>
      <c r="E18" s="519"/>
    </row>
    <row r="19" ht="48" hidden="1" customHeight="1" spans="2:10">
      <c r="B19" s="509" t="s">
        <v>34</v>
      </c>
      <c r="C19" s="510" t="s">
        <v>35</v>
      </c>
      <c r="D19" s="510" t="s">
        <v>36</v>
      </c>
      <c r="E19" s="520" t="s">
        <v>57</v>
      </c>
      <c r="F19" s="510" t="s">
        <v>58</v>
      </c>
      <c r="G19" s="510" t="s">
        <v>59</v>
      </c>
      <c r="H19" s="96" t="s">
        <v>60</v>
      </c>
      <c r="I19" s="96" t="s">
        <v>61</v>
      </c>
      <c r="J19" s="96" t="s">
        <v>62</v>
      </c>
    </row>
    <row r="20" ht="83.25" hidden="1" customHeight="1" spans="2:10">
      <c r="B20" s="91">
        <v>1</v>
      </c>
      <c r="C20" s="92" t="s">
        <v>63</v>
      </c>
      <c r="D20" s="501" t="s">
        <v>64</v>
      </c>
      <c r="E20" s="521" t="e">
        <f t="shared" ref="E20:E26" si="0">F20+G20</f>
        <v>#REF!</v>
      </c>
      <c r="F20" s="521" t="e">
        <f>'NL Chuc nang'!#REF!/8</f>
        <v>#REF!</v>
      </c>
      <c r="G20" s="521" t="e">
        <f>'NL Chuc nang'!#REF!/8</f>
        <v>#REF!</v>
      </c>
      <c r="H20" s="522" t="e">
        <f t="shared" ref="H20:H26" si="1">E20/$E$26</f>
        <v>#REF!</v>
      </c>
      <c r="I20" s="522" t="e">
        <f t="shared" ref="I20:I26" si="2">F20/E20</f>
        <v>#REF!</v>
      </c>
      <c r="J20" s="522" t="e">
        <f t="shared" ref="J20:J26" si="3">G20/E20</f>
        <v>#REF!</v>
      </c>
    </row>
    <row r="21" ht="30" hidden="1" spans="2:10">
      <c r="B21" s="91">
        <v>2</v>
      </c>
      <c r="C21" s="92" t="s">
        <v>43</v>
      </c>
      <c r="D21" s="501" t="s">
        <v>65</v>
      </c>
      <c r="E21" s="521" t="e">
        <f t="shared" si="0"/>
        <v>#REF!</v>
      </c>
      <c r="F21" s="521" t="e">
        <f>'NL Chuc nang'!#REF!/8</f>
        <v>#REF!</v>
      </c>
      <c r="G21" s="521" t="e">
        <f>'NL Chuc nang'!#REF!/8</f>
        <v>#REF!</v>
      </c>
      <c r="H21" s="522" t="e">
        <f t="shared" si="1"/>
        <v>#REF!</v>
      </c>
      <c r="I21" s="522" t="e">
        <f t="shared" si="2"/>
        <v>#REF!</v>
      </c>
      <c r="J21" s="522" t="e">
        <f t="shared" si="3"/>
        <v>#REF!</v>
      </c>
    </row>
    <row r="22" hidden="1" spans="2:10">
      <c r="B22" s="91">
        <v>3</v>
      </c>
      <c r="C22" s="511" t="s">
        <v>45</v>
      </c>
      <c r="D22" s="501" t="s">
        <v>46</v>
      </c>
      <c r="E22" s="521" t="e">
        <f t="shared" si="0"/>
        <v>#REF!</v>
      </c>
      <c r="F22" s="521" t="e">
        <f>'NL Chuc nang'!#REF!/8</f>
        <v>#REF!</v>
      </c>
      <c r="G22" s="521" t="e">
        <f>'NL Chuc nang'!#REF!/8</f>
        <v>#REF!</v>
      </c>
      <c r="H22" s="522" t="e">
        <f t="shared" si="1"/>
        <v>#REF!</v>
      </c>
      <c r="I22" s="522" t="e">
        <f t="shared" si="2"/>
        <v>#REF!</v>
      </c>
      <c r="J22" s="522" t="e">
        <f t="shared" si="3"/>
        <v>#REF!</v>
      </c>
    </row>
    <row r="23" ht="45" hidden="1" spans="2:10">
      <c r="B23" s="91">
        <v>4</v>
      </c>
      <c r="C23" s="92" t="s">
        <v>47</v>
      </c>
      <c r="D23" s="501" t="s">
        <v>66</v>
      </c>
      <c r="E23" s="521" t="e">
        <f t="shared" si="0"/>
        <v>#REF!</v>
      </c>
      <c r="F23" s="521" t="e">
        <f>'NL Chuc nang'!#REF!/8</f>
        <v>#REF!</v>
      </c>
      <c r="G23" s="521" t="e">
        <f>'NL Chuc nang'!#REF!/8</f>
        <v>#REF!</v>
      </c>
      <c r="H23" s="522" t="e">
        <f t="shared" si="1"/>
        <v>#REF!</v>
      </c>
      <c r="I23" s="522" t="e">
        <f t="shared" si="2"/>
        <v>#REF!</v>
      </c>
      <c r="J23" s="522" t="e">
        <f t="shared" si="3"/>
        <v>#REF!</v>
      </c>
    </row>
    <row r="24" ht="36" hidden="1" customHeight="1" spans="2:10">
      <c r="B24" s="91">
        <v>5</v>
      </c>
      <c r="C24" s="92" t="s">
        <v>67</v>
      </c>
      <c r="D24" s="501" t="s">
        <v>50</v>
      </c>
      <c r="E24" s="521" t="e">
        <f t="shared" si="0"/>
        <v>#REF!</v>
      </c>
      <c r="F24" s="521" t="e">
        <f>'NL Phi CN'!#REF!/8</f>
        <v>#REF!</v>
      </c>
      <c r="G24" s="521" t="e">
        <f>'NL Phi CN'!#REF!/8</f>
        <v>#REF!</v>
      </c>
      <c r="H24" s="522" t="e">
        <f t="shared" si="1"/>
        <v>#REF!</v>
      </c>
      <c r="I24" s="522" t="e">
        <f t="shared" si="2"/>
        <v>#REF!</v>
      </c>
      <c r="J24" s="522" t="e">
        <f t="shared" si="3"/>
        <v>#REF!</v>
      </c>
    </row>
    <row r="25" ht="36" hidden="1" customHeight="1" spans="2:10">
      <c r="B25" s="91">
        <v>6</v>
      </c>
      <c r="C25" s="92" t="s">
        <v>51</v>
      </c>
      <c r="D25" s="501" t="s">
        <v>52</v>
      </c>
      <c r="E25" s="521">
        <f t="shared" si="0"/>
        <v>0</v>
      </c>
      <c r="F25" s="521">
        <f>'NL QTDL'!G15/8</f>
        <v>0</v>
      </c>
      <c r="G25" s="521">
        <f>'NL QTDL'!H15/8</f>
        <v>0</v>
      </c>
      <c r="H25" s="522" t="e">
        <f t="shared" si="1"/>
        <v>#REF!</v>
      </c>
      <c r="I25" s="522">
        <v>0</v>
      </c>
      <c r="J25" s="522">
        <v>0</v>
      </c>
    </row>
    <row r="26" ht="36.75" hidden="1" customHeight="1" spans="2:10">
      <c r="B26" s="91">
        <v>7</v>
      </c>
      <c r="C26" s="503" t="s">
        <v>68</v>
      </c>
      <c r="D26" s="501" t="s">
        <v>69</v>
      </c>
      <c r="E26" s="516" t="e">
        <f t="shared" si="0"/>
        <v>#REF!</v>
      </c>
      <c r="F26" s="516" t="e">
        <f>SUM(F20:F25)</f>
        <v>#REF!</v>
      </c>
      <c r="G26" s="516" t="e">
        <f>SUM(G20:G25)</f>
        <v>#REF!</v>
      </c>
      <c r="H26" s="522" t="e">
        <f t="shared" si="1"/>
        <v>#REF!</v>
      </c>
      <c r="I26" s="522" t="e">
        <f t="shared" si="2"/>
        <v>#REF!</v>
      </c>
      <c r="J26" s="522" t="e">
        <f t="shared" si="3"/>
        <v>#REF!</v>
      </c>
    </row>
    <row r="27" ht="36.75" hidden="1" customHeight="1" spans="2:10">
      <c r="B27" s="91">
        <v>8</v>
      </c>
      <c r="C27" s="503" t="s">
        <v>70</v>
      </c>
      <c r="D27" s="501" t="s">
        <v>71</v>
      </c>
      <c r="E27" s="516" t="e">
        <f>SUM(F27:G27)</f>
        <v>#REF!</v>
      </c>
      <c r="F27" s="516" t="e">
        <f>F26/22</f>
        <v>#REF!</v>
      </c>
      <c r="G27" s="516" t="e">
        <f>G26/22</f>
        <v>#REF!</v>
      </c>
      <c r="H27" s="522"/>
      <c r="I27" s="522"/>
      <c r="J27" s="522"/>
    </row>
  </sheetData>
  <mergeCells count="3">
    <mergeCell ref="B2:F2"/>
    <mergeCell ref="A3:E3"/>
    <mergeCell ref="B6:F6"/>
  </mergeCells>
  <pageMargins left="0.71" right="0.7" top="0.75" bottom="0.75" header="0.3" footer="0.3"/>
  <pageSetup paperSize="1" scale="66" fitToHeight="0" orientation="landscape"/>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workbookViewId="0">
      <selection activeCell="A1" sqref="A1:F1"/>
    </sheetView>
  </sheetViews>
  <sheetFormatPr defaultColWidth="9" defaultRowHeight="12.75" outlineLevelCol="5"/>
  <cols>
    <col min="2" max="2" width="17.1428571428571" customWidth="1"/>
    <col min="3" max="3" width="41.7142857142857" customWidth="1"/>
    <col min="5" max="5" width="58" customWidth="1"/>
    <col min="6" max="6" width="32.2857142857143" customWidth="1"/>
  </cols>
  <sheetData>
    <row r="1" ht="60" customHeight="1" spans="1:6">
      <c r="A1" s="21" t="s">
        <v>72</v>
      </c>
      <c r="B1" s="21"/>
      <c r="C1" s="21"/>
      <c r="D1" s="21"/>
      <c r="E1" s="21"/>
      <c r="F1" s="21"/>
    </row>
    <row r="2" ht="14.25" spans="1:6">
      <c r="A2" s="202"/>
      <c r="B2" s="203"/>
      <c r="C2" s="204"/>
      <c r="D2" s="203"/>
      <c r="E2" s="203"/>
      <c r="F2" s="203"/>
    </row>
    <row r="3" spans="1:6">
      <c r="A3" s="476" t="s">
        <v>34</v>
      </c>
      <c r="B3" s="477" t="s">
        <v>73</v>
      </c>
      <c r="C3" s="477" t="s">
        <v>74</v>
      </c>
      <c r="D3" s="476" t="s">
        <v>75</v>
      </c>
      <c r="E3" s="489" t="s">
        <v>76</v>
      </c>
      <c r="F3" s="476" t="s">
        <v>77</v>
      </c>
    </row>
    <row r="4" ht="34.5" customHeight="1" spans="1:6">
      <c r="A4" s="476" t="s">
        <v>34</v>
      </c>
      <c r="B4" s="477"/>
      <c r="C4" s="477"/>
      <c r="D4" s="476"/>
      <c r="E4" s="490"/>
      <c r="F4" s="476"/>
    </row>
    <row r="5" s="22" customFormat="1" ht="49.5" spans="1:6">
      <c r="A5" s="478">
        <v>1</v>
      </c>
      <c r="B5" s="479" t="s">
        <v>78</v>
      </c>
      <c r="C5" s="479" t="s">
        <v>79</v>
      </c>
      <c r="D5" s="479" t="s">
        <v>80</v>
      </c>
      <c r="E5" s="479" t="s">
        <v>81</v>
      </c>
      <c r="F5" s="479" t="s">
        <v>82</v>
      </c>
    </row>
    <row r="6" s="22" customFormat="1" ht="49.5" spans="1:6">
      <c r="A6" s="478">
        <v>2</v>
      </c>
      <c r="B6" s="479" t="s">
        <v>83</v>
      </c>
      <c r="C6" s="479" t="s">
        <v>84</v>
      </c>
      <c r="D6" s="479" t="s">
        <v>80</v>
      </c>
      <c r="E6" s="479" t="s">
        <v>85</v>
      </c>
      <c r="F6" s="479" t="s">
        <v>86</v>
      </c>
    </row>
    <row r="7" s="22" customFormat="1" ht="49.5" spans="1:6">
      <c r="A7" s="478">
        <v>3</v>
      </c>
      <c r="B7" s="479" t="s">
        <v>87</v>
      </c>
      <c r="C7" s="479" t="s">
        <v>88</v>
      </c>
      <c r="D7" s="479" t="s">
        <v>80</v>
      </c>
      <c r="E7" s="479" t="s">
        <v>89</v>
      </c>
      <c r="F7" s="479" t="s">
        <v>90</v>
      </c>
    </row>
    <row r="8" s="22" customFormat="1" ht="33" spans="1:6">
      <c r="A8" s="478">
        <v>4</v>
      </c>
      <c r="B8" s="479" t="s">
        <v>91</v>
      </c>
      <c r="C8" s="479" t="s">
        <v>92</v>
      </c>
      <c r="D8" s="479" t="s">
        <v>93</v>
      </c>
      <c r="E8" s="479" t="s">
        <v>94</v>
      </c>
      <c r="F8" s="479"/>
    </row>
    <row r="9" s="22" customFormat="1" ht="33" spans="1:6">
      <c r="A9" s="478">
        <v>5</v>
      </c>
      <c r="B9" s="479" t="s">
        <v>95</v>
      </c>
      <c r="C9" s="479" t="s">
        <v>96</v>
      </c>
      <c r="D9" s="479" t="s">
        <v>93</v>
      </c>
      <c r="E9" s="479" t="s">
        <v>97</v>
      </c>
      <c r="F9" s="479" t="s">
        <v>82</v>
      </c>
    </row>
    <row r="10" s="22" customFormat="1" ht="33" spans="1:6">
      <c r="A10" s="478">
        <v>6</v>
      </c>
      <c r="B10" s="479" t="s">
        <v>98</v>
      </c>
      <c r="C10" s="479" t="s">
        <v>99</v>
      </c>
      <c r="D10" s="479" t="s">
        <v>93</v>
      </c>
      <c r="E10" s="479" t="s">
        <v>100</v>
      </c>
      <c r="F10" s="479" t="s">
        <v>101</v>
      </c>
    </row>
    <row r="11" s="22" customFormat="1" ht="33" spans="1:6">
      <c r="A11" s="478">
        <v>7</v>
      </c>
      <c r="B11" s="479" t="s">
        <v>102</v>
      </c>
      <c r="C11" s="479" t="s">
        <v>103</v>
      </c>
      <c r="D11" s="479" t="s">
        <v>93</v>
      </c>
      <c r="E11" s="479" t="s">
        <v>104</v>
      </c>
      <c r="F11" s="479" t="s">
        <v>105</v>
      </c>
    </row>
    <row r="12" s="22" customFormat="1" ht="82.5" spans="1:6">
      <c r="A12" s="478">
        <v>8</v>
      </c>
      <c r="B12" s="479" t="s">
        <v>106</v>
      </c>
      <c r="C12" s="479" t="s">
        <v>107</v>
      </c>
      <c r="D12" s="479" t="s">
        <v>108</v>
      </c>
      <c r="E12" s="479" t="s">
        <v>109</v>
      </c>
      <c r="F12" s="479" t="s">
        <v>110</v>
      </c>
    </row>
    <row r="13" s="22" customFormat="1" ht="33" spans="1:6">
      <c r="A13" s="478">
        <v>9</v>
      </c>
      <c r="B13" s="479" t="s">
        <v>111</v>
      </c>
      <c r="C13" s="479" t="s">
        <v>112</v>
      </c>
      <c r="D13" s="479" t="s">
        <v>108</v>
      </c>
      <c r="E13" s="479" t="s">
        <v>113</v>
      </c>
      <c r="F13" s="479"/>
    </row>
    <row r="14" s="22" customFormat="1" ht="33" spans="1:6">
      <c r="A14" s="478">
        <v>10</v>
      </c>
      <c r="B14" s="479" t="s">
        <v>114</v>
      </c>
      <c r="C14" s="479" t="s">
        <v>115</v>
      </c>
      <c r="D14" s="479" t="s">
        <v>108</v>
      </c>
      <c r="E14" s="479" t="s">
        <v>116</v>
      </c>
      <c r="F14" s="479"/>
    </row>
    <row r="15" s="22" customFormat="1" ht="49.5" spans="1:6">
      <c r="A15" s="478">
        <v>11</v>
      </c>
      <c r="B15" s="480" t="s">
        <v>117</v>
      </c>
      <c r="C15" s="479" t="s">
        <v>118</v>
      </c>
      <c r="D15" s="479" t="s">
        <v>80</v>
      </c>
      <c r="E15" s="479" t="s">
        <v>119</v>
      </c>
      <c r="F15" s="480"/>
    </row>
    <row r="16" s="22" customFormat="1" ht="49.5" spans="1:6">
      <c r="A16" s="478">
        <v>12</v>
      </c>
      <c r="B16" s="480" t="s">
        <v>120</v>
      </c>
      <c r="C16" s="479" t="s">
        <v>121</v>
      </c>
      <c r="D16" s="479" t="s">
        <v>80</v>
      </c>
      <c r="E16" s="479" t="s">
        <v>122</v>
      </c>
      <c r="F16" s="480"/>
    </row>
    <row r="17" s="22" customFormat="1" ht="49.5" spans="1:6">
      <c r="A17" s="478">
        <v>13</v>
      </c>
      <c r="B17" s="480" t="s">
        <v>123</v>
      </c>
      <c r="C17" s="479" t="s">
        <v>124</v>
      </c>
      <c r="D17" s="479" t="s">
        <v>80</v>
      </c>
      <c r="E17" s="479" t="s">
        <v>89</v>
      </c>
      <c r="F17" s="480"/>
    </row>
    <row r="18" s="22" customFormat="1" ht="49.5" spans="1:6">
      <c r="A18" s="478">
        <v>14</v>
      </c>
      <c r="B18" s="480" t="s">
        <v>125</v>
      </c>
      <c r="C18" s="480" t="s">
        <v>126</v>
      </c>
      <c r="D18" s="479" t="s">
        <v>80</v>
      </c>
      <c r="E18" s="480" t="s">
        <v>127</v>
      </c>
      <c r="F18" s="480"/>
    </row>
    <row r="19" s="22" customFormat="1" ht="49.5" spans="1:6">
      <c r="A19" s="478">
        <v>15</v>
      </c>
      <c r="B19" s="480" t="s">
        <v>128</v>
      </c>
      <c r="C19" s="480" t="s">
        <v>129</v>
      </c>
      <c r="D19" s="479" t="s">
        <v>80</v>
      </c>
      <c r="E19" s="480" t="s">
        <v>130</v>
      </c>
      <c r="F19" s="480"/>
    </row>
    <row r="20" s="22" customFormat="1" ht="49.5" spans="1:6">
      <c r="A20" s="478">
        <v>16</v>
      </c>
      <c r="B20" s="480" t="s">
        <v>131</v>
      </c>
      <c r="C20" s="480" t="s">
        <v>129</v>
      </c>
      <c r="D20" s="479" t="s">
        <v>80</v>
      </c>
      <c r="E20" s="480" t="s">
        <v>132</v>
      </c>
      <c r="F20" s="480"/>
    </row>
    <row r="21" s="22" customFormat="1" ht="49.5" spans="1:6">
      <c r="A21" s="478">
        <v>17</v>
      </c>
      <c r="B21" s="480" t="s">
        <v>133</v>
      </c>
      <c r="C21" s="480" t="s">
        <v>134</v>
      </c>
      <c r="D21" s="479" t="s">
        <v>135</v>
      </c>
      <c r="E21" s="480" t="s">
        <v>136</v>
      </c>
      <c r="F21" s="480"/>
    </row>
    <row r="22" s="22" customFormat="1" ht="49.5" spans="1:6">
      <c r="A22" s="478">
        <v>18</v>
      </c>
      <c r="B22" s="480" t="s">
        <v>137</v>
      </c>
      <c r="C22" s="480" t="s">
        <v>138</v>
      </c>
      <c r="D22" s="479" t="s">
        <v>135</v>
      </c>
      <c r="E22" s="480" t="s">
        <v>139</v>
      </c>
      <c r="F22" s="480"/>
    </row>
    <row r="23" s="22" customFormat="1" ht="49.5" spans="1:6">
      <c r="A23" s="478">
        <v>19</v>
      </c>
      <c r="B23" s="480" t="s">
        <v>140</v>
      </c>
      <c r="C23" s="480" t="s">
        <v>141</v>
      </c>
      <c r="D23" s="479" t="s">
        <v>135</v>
      </c>
      <c r="E23" s="480" t="s">
        <v>142</v>
      </c>
      <c r="F23" s="480"/>
    </row>
    <row r="24" s="22" customFormat="1" ht="25.5" spans="1:6">
      <c r="A24" s="478">
        <v>20</v>
      </c>
      <c r="B24" s="42" t="s">
        <v>143</v>
      </c>
      <c r="C24" s="44" t="s">
        <v>144</v>
      </c>
      <c r="D24" s="481" t="s">
        <v>145</v>
      </c>
      <c r="E24" s="44"/>
      <c r="F24" s="44"/>
    </row>
    <row r="25" s="22" customFormat="1" ht="25.5" spans="1:6">
      <c r="A25" s="478">
        <v>21</v>
      </c>
      <c r="B25" s="42" t="s">
        <v>146</v>
      </c>
      <c r="C25" s="44" t="s">
        <v>147</v>
      </c>
      <c r="D25" s="481" t="s">
        <v>145</v>
      </c>
      <c r="E25" s="44"/>
      <c r="F25" s="44"/>
    </row>
    <row r="26" s="22" customFormat="1" ht="25.5" spans="1:6">
      <c r="A26" s="478">
        <v>22</v>
      </c>
      <c r="B26" s="42" t="s">
        <v>148</v>
      </c>
      <c r="C26" s="44" t="s">
        <v>149</v>
      </c>
      <c r="D26" s="481" t="s">
        <v>145</v>
      </c>
      <c r="E26" s="44"/>
      <c r="F26" s="44"/>
    </row>
    <row r="27" s="22" customFormat="1" ht="25.5" spans="1:6">
      <c r="A27" s="478">
        <v>23</v>
      </c>
      <c r="B27" s="482" t="s">
        <v>150</v>
      </c>
      <c r="C27" s="44" t="s">
        <v>151</v>
      </c>
      <c r="D27" s="481" t="s">
        <v>145</v>
      </c>
      <c r="E27" s="44"/>
      <c r="F27" s="44"/>
    </row>
    <row r="28" s="22" customFormat="1" ht="25.5" spans="1:6">
      <c r="A28" s="478">
        <v>24</v>
      </c>
      <c r="B28" s="482" t="s">
        <v>152</v>
      </c>
      <c r="C28" s="44" t="s">
        <v>153</v>
      </c>
      <c r="D28" s="481" t="s">
        <v>145</v>
      </c>
      <c r="E28" s="44"/>
      <c r="F28" s="44"/>
    </row>
    <row r="29" s="22" customFormat="1" ht="25.5" spans="1:6">
      <c r="A29" s="478">
        <v>25</v>
      </c>
      <c r="B29" s="482" t="s">
        <v>154</v>
      </c>
      <c r="C29" s="44" t="s">
        <v>155</v>
      </c>
      <c r="D29" s="481" t="s">
        <v>145</v>
      </c>
      <c r="E29" s="44"/>
      <c r="F29" s="44"/>
    </row>
    <row r="30" s="22" customFormat="1" ht="33" spans="1:6">
      <c r="A30" s="478">
        <v>26</v>
      </c>
      <c r="B30" s="480" t="s">
        <v>156</v>
      </c>
      <c r="C30" s="480" t="s">
        <v>157</v>
      </c>
      <c r="D30" s="480" t="s">
        <v>158</v>
      </c>
      <c r="E30" s="480" t="s">
        <v>159</v>
      </c>
      <c r="F30" s="480" t="s">
        <v>160</v>
      </c>
    </row>
    <row r="31" s="22" customFormat="1" ht="33" spans="1:6">
      <c r="A31" s="478">
        <v>27</v>
      </c>
      <c r="B31" s="480" t="s">
        <v>161</v>
      </c>
      <c r="C31" s="480" t="s">
        <v>162</v>
      </c>
      <c r="D31" s="480" t="s">
        <v>158</v>
      </c>
      <c r="E31" s="480" t="s">
        <v>163</v>
      </c>
      <c r="F31" s="480" t="s">
        <v>164</v>
      </c>
    </row>
    <row r="32" s="22" customFormat="1" ht="33" spans="1:6">
      <c r="A32" s="478">
        <v>28</v>
      </c>
      <c r="B32" s="480" t="s">
        <v>165</v>
      </c>
      <c r="C32" s="480" t="s">
        <v>166</v>
      </c>
      <c r="D32" s="479" t="s">
        <v>93</v>
      </c>
      <c r="E32" s="479" t="s">
        <v>167</v>
      </c>
      <c r="F32" s="480"/>
    </row>
    <row r="33" s="22" customFormat="1" ht="33" spans="1:6">
      <c r="A33" s="478">
        <v>29</v>
      </c>
      <c r="B33" s="480" t="s">
        <v>168</v>
      </c>
      <c r="C33" s="480" t="s">
        <v>169</v>
      </c>
      <c r="D33" s="479" t="s">
        <v>93</v>
      </c>
      <c r="E33" s="479" t="s">
        <v>100</v>
      </c>
      <c r="F33" s="480"/>
    </row>
    <row r="34" s="22" customFormat="1" ht="33" spans="1:6">
      <c r="A34" s="478">
        <v>30</v>
      </c>
      <c r="B34" s="480" t="s">
        <v>170</v>
      </c>
      <c r="C34" s="480" t="s">
        <v>171</v>
      </c>
      <c r="D34" s="479" t="s">
        <v>93</v>
      </c>
      <c r="E34" s="479" t="s">
        <v>172</v>
      </c>
      <c r="F34" s="480"/>
    </row>
    <row r="35" s="22" customFormat="1" ht="16.5" spans="1:6">
      <c r="A35" s="478">
        <v>31</v>
      </c>
      <c r="B35" s="483" t="s">
        <v>173</v>
      </c>
      <c r="C35" s="484" t="s">
        <v>174</v>
      </c>
      <c r="D35" s="484" t="s">
        <v>175</v>
      </c>
      <c r="E35" s="484"/>
      <c r="F35" s="484"/>
    </row>
    <row r="36" s="22" customFormat="1" ht="16.5" spans="1:6">
      <c r="A36" s="478">
        <v>32</v>
      </c>
      <c r="B36" s="483" t="s">
        <v>176</v>
      </c>
      <c r="C36" s="484" t="s">
        <v>177</v>
      </c>
      <c r="D36" s="484" t="s">
        <v>175</v>
      </c>
      <c r="E36" s="484"/>
      <c r="F36" s="484"/>
    </row>
    <row r="37" s="22" customFormat="1" ht="16.5" spans="1:6">
      <c r="A37" s="478">
        <v>33</v>
      </c>
      <c r="B37" s="483" t="s">
        <v>178</v>
      </c>
      <c r="C37" s="484" t="s">
        <v>179</v>
      </c>
      <c r="D37" s="484" t="s">
        <v>175</v>
      </c>
      <c r="E37" s="484"/>
      <c r="F37" s="484"/>
    </row>
    <row r="38" s="22" customFormat="1" ht="16.5" spans="1:6">
      <c r="A38" s="478">
        <v>34</v>
      </c>
      <c r="B38" s="483" t="s">
        <v>180</v>
      </c>
      <c r="C38" s="484" t="s">
        <v>181</v>
      </c>
      <c r="D38" s="484" t="s">
        <v>175</v>
      </c>
      <c r="E38" s="484"/>
      <c r="F38" s="484"/>
    </row>
    <row r="39" s="22" customFormat="1" ht="16.5" spans="1:6">
      <c r="A39" s="478">
        <v>35</v>
      </c>
      <c r="B39" s="483" t="s">
        <v>182</v>
      </c>
      <c r="C39" s="484" t="s">
        <v>183</v>
      </c>
      <c r="D39" s="484" t="s">
        <v>175</v>
      </c>
      <c r="E39" s="484"/>
      <c r="F39" s="484"/>
    </row>
    <row r="40" s="22" customFormat="1" ht="16.5" spans="1:6">
      <c r="A40" s="478">
        <v>36</v>
      </c>
      <c r="B40" s="483" t="s">
        <v>184</v>
      </c>
      <c r="C40" s="484" t="s">
        <v>185</v>
      </c>
      <c r="D40" s="484" t="s">
        <v>175</v>
      </c>
      <c r="E40" s="484"/>
      <c r="F40" s="484"/>
    </row>
    <row r="41" s="22" customFormat="1" ht="16.5" spans="1:6">
      <c r="A41" s="478">
        <v>37</v>
      </c>
      <c r="B41" s="483" t="s">
        <v>186</v>
      </c>
      <c r="C41" s="484" t="s">
        <v>187</v>
      </c>
      <c r="D41" s="484" t="s">
        <v>175</v>
      </c>
      <c r="E41" s="484"/>
      <c r="F41" s="484"/>
    </row>
    <row r="42" s="22" customFormat="1" ht="16.5" spans="1:6">
      <c r="A42" s="478">
        <v>38</v>
      </c>
      <c r="B42" s="483" t="s">
        <v>188</v>
      </c>
      <c r="C42" s="484" t="s">
        <v>189</v>
      </c>
      <c r="D42" s="484" t="s">
        <v>175</v>
      </c>
      <c r="E42" s="484"/>
      <c r="F42" s="484"/>
    </row>
    <row r="43" s="22" customFormat="1" ht="16.5" spans="1:6">
      <c r="A43" s="478">
        <v>39</v>
      </c>
      <c r="B43" s="483" t="s">
        <v>190</v>
      </c>
      <c r="C43" s="484" t="s">
        <v>191</v>
      </c>
      <c r="D43" s="484" t="s">
        <v>175</v>
      </c>
      <c r="E43" s="484"/>
      <c r="F43" s="484"/>
    </row>
    <row r="44" s="22" customFormat="1" ht="16.5" spans="1:6">
      <c r="A44" s="478">
        <v>40</v>
      </c>
      <c r="B44" s="483" t="s">
        <v>192</v>
      </c>
      <c r="C44" s="484" t="s">
        <v>79</v>
      </c>
      <c r="D44" s="484" t="s">
        <v>175</v>
      </c>
      <c r="E44" s="484"/>
      <c r="F44" s="484"/>
    </row>
    <row r="45" s="22" customFormat="1" ht="16.5" spans="1:6">
      <c r="A45" s="478">
        <v>41</v>
      </c>
      <c r="B45" s="483" t="s">
        <v>193</v>
      </c>
      <c r="C45" s="484" t="s">
        <v>84</v>
      </c>
      <c r="D45" s="484" t="s">
        <v>175</v>
      </c>
      <c r="E45" s="484"/>
      <c r="F45" s="484"/>
    </row>
    <row r="46" s="22" customFormat="1" ht="16.5" spans="1:6">
      <c r="A46" s="478">
        <v>42</v>
      </c>
      <c r="B46" s="483" t="s">
        <v>194</v>
      </c>
      <c r="C46" s="484" t="s">
        <v>88</v>
      </c>
      <c r="D46" s="484" t="s">
        <v>175</v>
      </c>
      <c r="E46" s="484"/>
      <c r="F46" s="484"/>
    </row>
    <row r="47" s="22" customFormat="1" ht="33" spans="1:6">
      <c r="A47" s="478">
        <v>43</v>
      </c>
      <c r="B47" s="483" t="s">
        <v>195</v>
      </c>
      <c r="C47" s="484" t="s">
        <v>196</v>
      </c>
      <c r="D47" s="484" t="s">
        <v>175</v>
      </c>
      <c r="E47" s="484"/>
      <c r="F47" s="484"/>
    </row>
    <row r="48" s="22" customFormat="1" ht="33" spans="1:6">
      <c r="A48" s="478">
        <v>44</v>
      </c>
      <c r="B48" s="483" t="s">
        <v>197</v>
      </c>
      <c r="C48" s="484" t="s">
        <v>198</v>
      </c>
      <c r="D48" s="484" t="s">
        <v>175</v>
      </c>
      <c r="E48" s="484"/>
      <c r="F48" s="484"/>
    </row>
    <row r="49" s="22" customFormat="1" ht="33" spans="1:6">
      <c r="A49" s="478">
        <v>45</v>
      </c>
      <c r="B49" s="483" t="s">
        <v>199</v>
      </c>
      <c r="C49" s="484" t="s">
        <v>200</v>
      </c>
      <c r="D49" s="484" t="s">
        <v>175</v>
      </c>
      <c r="E49" s="484"/>
      <c r="F49" s="484"/>
    </row>
    <row r="50" s="22" customFormat="1" ht="33" spans="1:6">
      <c r="A50" s="485"/>
      <c r="B50" s="483" t="s">
        <v>201</v>
      </c>
      <c r="C50" s="484" t="s">
        <v>202</v>
      </c>
      <c r="D50" s="484"/>
      <c r="E50" s="484"/>
      <c r="F50" s="484"/>
    </row>
    <row r="51" s="22" customFormat="1" ht="33" spans="1:6">
      <c r="A51" s="485"/>
      <c r="B51" s="483" t="s">
        <v>203</v>
      </c>
      <c r="C51" s="484" t="s">
        <v>204</v>
      </c>
      <c r="D51" s="484"/>
      <c r="E51" s="484"/>
      <c r="F51" s="484"/>
    </row>
    <row r="52" s="22" customFormat="1" ht="33" spans="1:6">
      <c r="A52" s="485"/>
      <c r="B52" s="483" t="s">
        <v>205</v>
      </c>
      <c r="C52" s="484" t="s">
        <v>206</v>
      </c>
      <c r="D52" s="484"/>
      <c r="E52" s="484"/>
      <c r="F52" s="484"/>
    </row>
    <row r="53" s="22" customFormat="1" ht="33" spans="1:6">
      <c r="A53" s="485"/>
      <c r="B53" s="483" t="s">
        <v>207</v>
      </c>
      <c r="C53" s="484" t="s">
        <v>208</v>
      </c>
      <c r="D53" s="484"/>
      <c r="E53" s="484"/>
      <c r="F53" s="484"/>
    </row>
    <row r="54" s="22" customFormat="1" ht="33" spans="1:6">
      <c r="A54" s="486"/>
      <c r="B54" s="483" t="s">
        <v>209</v>
      </c>
      <c r="C54" s="484" t="s">
        <v>210</v>
      </c>
      <c r="D54" s="487"/>
      <c r="E54" s="487"/>
      <c r="F54" s="487"/>
    </row>
    <row r="55" s="22" customFormat="1" ht="33" spans="1:6">
      <c r="A55" s="486"/>
      <c r="B55" s="483" t="s">
        <v>211</v>
      </c>
      <c r="C55" s="484" t="s">
        <v>212</v>
      </c>
      <c r="D55" s="487"/>
      <c r="E55" s="487"/>
      <c r="F55" s="487"/>
    </row>
    <row r="56" s="22" customFormat="1" ht="15" spans="1:6">
      <c r="A56" s="486"/>
      <c r="B56" s="488" t="s">
        <v>213</v>
      </c>
      <c r="C56" s="488" t="s">
        <v>214</v>
      </c>
      <c r="D56" s="487"/>
      <c r="E56" s="487"/>
      <c r="F56" s="487"/>
    </row>
    <row r="57" s="22" customFormat="1" ht="15" spans="1:6">
      <c r="A57" s="486"/>
      <c r="B57" s="488" t="s">
        <v>215</v>
      </c>
      <c r="C57" s="488" t="s">
        <v>216</v>
      </c>
      <c r="D57" s="487"/>
      <c r="E57" s="487"/>
      <c r="F57" s="487"/>
    </row>
    <row r="58" s="22" customFormat="1" ht="15" spans="1:6">
      <c r="A58" s="486"/>
      <c r="B58" s="488" t="s">
        <v>217</v>
      </c>
      <c r="C58" s="488" t="s">
        <v>218</v>
      </c>
      <c r="D58" s="487"/>
      <c r="E58" s="487"/>
      <c r="F58" s="487"/>
    </row>
  </sheetData>
  <mergeCells count="7">
    <mergeCell ref="A1:F1"/>
    <mergeCell ref="A3:A4"/>
    <mergeCell ref="B3:B4"/>
    <mergeCell ref="C3:C4"/>
    <mergeCell ref="D3:D4"/>
    <mergeCell ref="E3:E4"/>
    <mergeCell ref="F3:F4"/>
  </mergeCells>
  <conditionalFormatting sqref="B20">
    <cfRule type="duplicateValues" dxfId="0" priority="1"/>
  </conditionalFormatting>
  <conditionalFormatting sqref="B5:B19 B21:B29">
    <cfRule type="expression" dxfId="1" priority="2" stopIfTrue="1">
      <formula>AND(COUNTIF($B$5:$B$19,B5)+COUNTIF($B$21:$B$29,B5)&gt;1,NOT(ISBLANK(B5)))</formula>
    </cfRule>
  </conditionalFormatting>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C24"/>
  <sheetViews>
    <sheetView workbookViewId="0">
      <selection activeCell="C31" sqref="C31"/>
    </sheetView>
  </sheetViews>
  <sheetFormatPr defaultColWidth="9" defaultRowHeight="12.75" outlineLevelCol="2"/>
  <cols>
    <col min="1" max="1" width="5.71428571428571" style="472" customWidth="1"/>
    <col min="2" max="2" width="15.5714285714286" customWidth="1"/>
    <col min="3" max="3" width="43.2857142857143" customWidth="1"/>
  </cols>
  <sheetData>
    <row r="1" spans="1:3">
      <c r="A1" s="473" t="s">
        <v>219</v>
      </c>
      <c r="B1" s="473"/>
      <c r="C1" s="473"/>
    </row>
    <row r="2" spans="1:3">
      <c r="A2" s="473"/>
      <c r="B2" s="473"/>
      <c r="C2" s="473"/>
    </row>
    <row r="3" spans="1:3">
      <c r="A3" s="473"/>
      <c r="B3" s="473"/>
      <c r="C3" s="473"/>
    </row>
    <row r="4" spans="1:3">
      <c r="A4" s="474" t="s">
        <v>34</v>
      </c>
      <c r="B4" s="474" t="s">
        <v>220</v>
      </c>
      <c r="C4" s="474" t="s">
        <v>221</v>
      </c>
    </row>
    <row r="5" ht="15" spans="1:3">
      <c r="A5" s="412" t="s">
        <v>222</v>
      </c>
      <c r="B5" s="475" t="s">
        <v>223</v>
      </c>
      <c r="C5" s="367" t="s">
        <v>224</v>
      </c>
    </row>
    <row r="6" ht="15" spans="1:3">
      <c r="A6" s="412" t="s">
        <v>225</v>
      </c>
      <c r="B6" s="475"/>
      <c r="C6" s="367" t="s">
        <v>226</v>
      </c>
    </row>
    <row r="7" ht="15" spans="1:3">
      <c r="A7" s="412" t="s">
        <v>227</v>
      </c>
      <c r="B7" s="475"/>
      <c r="C7" s="367" t="s">
        <v>228</v>
      </c>
    </row>
    <row r="8" ht="15" spans="1:3">
      <c r="A8" s="412" t="s">
        <v>229</v>
      </c>
      <c r="B8" s="475"/>
      <c r="C8" s="367" t="s">
        <v>230</v>
      </c>
    </row>
    <row r="9" ht="15" spans="1:3">
      <c r="A9" s="412" t="s">
        <v>231</v>
      </c>
      <c r="B9" s="475"/>
      <c r="C9" s="367" t="s">
        <v>232</v>
      </c>
    </row>
    <row r="10" ht="15" spans="1:3">
      <c r="A10" s="412" t="s">
        <v>233</v>
      </c>
      <c r="B10" s="475"/>
      <c r="C10" s="367" t="s">
        <v>234</v>
      </c>
    </row>
    <row r="11" ht="15" spans="1:3">
      <c r="A11" s="412" t="s">
        <v>235</v>
      </c>
      <c r="B11" s="475"/>
      <c r="C11" s="367" t="s">
        <v>236</v>
      </c>
    </row>
    <row r="12" ht="15" spans="1:3">
      <c r="A12" s="412" t="s">
        <v>237</v>
      </c>
      <c r="B12" s="475"/>
      <c r="C12" s="367" t="s">
        <v>238</v>
      </c>
    </row>
    <row r="13" ht="15" spans="1:3">
      <c r="A13" s="412" t="s">
        <v>239</v>
      </c>
      <c r="B13" s="475"/>
      <c r="C13" s="367" t="s">
        <v>240</v>
      </c>
    </row>
    <row r="14" ht="15" spans="1:3">
      <c r="A14" s="412" t="s">
        <v>241</v>
      </c>
      <c r="B14" s="475"/>
      <c r="C14" s="367" t="s">
        <v>242</v>
      </c>
    </row>
    <row r="15" ht="15" spans="1:3">
      <c r="A15" s="412" t="s">
        <v>243</v>
      </c>
      <c r="B15" s="475"/>
      <c r="C15" s="367" t="s">
        <v>244</v>
      </c>
    </row>
    <row r="16" ht="15" spans="1:3">
      <c r="A16" s="412" t="s">
        <v>245</v>
      </c>
      <c r="B16" s="475" t="s">
        <v>246</v>
      </c>
      <c r="C16" s="367" t="s">
        <v>247</v>
      </c>
    </row>
    <row r="17" ht="15" spans="1:3">
      <c r="A17" s="412" t="s">
        <v>248</v>
      </c>
      <c r="B17" s="475"/>
      <c r="C17" s="367" t="s">
        <v>249</v>
      </c>
    </row>
    <row r="18" ht="30" spans="1:3">
      <c r="A18" s="412" t="s">
        <v>250</v>
      </c>
      <c r="B18" s="475"/>
      <c r="C18" s="367" t="s">
        <v>251</v>
      </c>
    </row>
    <row r="19" ht="15" spans="1:3">
      <c r="A19" s="412" t="s">
        <v>252</v>
      </c>
      <c r="B19" s="475"/>
      <c r="C19" s="367" t="s">
        <v>253</v>
      </c>
    </row>
    <row r="20" ht="15" spans="1:3">
      <c r="A20" s="412" t="s">
        <v>254</v>
      </c>
      <c r="B20" s="475"/>
      <c r="C20" s="367" t="s">
        <v>255</v>
      </c>
    </row>
    <row r="21" ht="30" spans="1:3">
      <c r="A21" s="412" t="s">
        <v>256</v>
      </c>
      <c r="B21" s="475"/>
      <c r="C21" s="367" t="s">
        <v>257</v>
      </c>
    </row>
    <row r="22" ht="30" spans="1:3">
      <c r="A22" s="412" t="s">
        <v>258</v>
      </c>
      <c r="B22" s="475"/>
      <c r="C22" s="367" t="s">
        <v>259</v>
      </c>
    </row>
    <row r="23" ht="30" spans="1:3">
      <c r="A23" s="412" t="s">
        <v>260</v>
      </c>
      <c r="B23" s="475"/>
      <c r="C23" s="367" t="s">
        <v>261</v>
      </c>
    </row>
    <row r="24" ht="30" spans="1:3">
      <c r="A24" s="412" t="s">
        <v>262</v>
      </c>
      <c r="B24" s="475"/>
      <c r="C24" s="367" t="s">
        <v>263</v>
      </c>
    </row>
  </sheetData>
  <mergeCells count="3">
    <mergeCell ref="B5:B15"/>
    <mergeCell ref="B16:B24"/>
    <mergeCell ref="A1:C3"/>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AA354"/>
  <sheetViews>
    <sheetView tabSelected="1" zoomScale="70" zoomScaleNormal="70" zoomScalePageLayoutView="85" zoomScaleSheetLayoutView="70" workbookViewId="0">
      <pane ySplit="7" topLeftCell="A8" activePane="bottomLeft" state="frozen"/>
      <selection/>
      <selection pane="bottomLeft" activeCell="C13" sqref="C13:C14"/>
    </sheetView>
  </sheetViews>
  <sheetFormatPr defaultColWidth="9" defaultRowHeight="15"/>
  <cols>
    <col min="1" max="1" width="5" style="343" customWidth="1"/>
    <col min="2" max="2" width="24.2857142857143" style="343" customWidth="1"/>
    <col min="3" max="3" width="31" style="344" customWidth="1"/>
    <col min="4" max="4" width="40.5714285714286" style="344" customWidth="1"/>
    <col min="5" max="5" width="12.5714285714286" style="347" customWidth="1"/>
    <col min="6" max="10" width="11.2857142857143" style="347" customWidth="1"/>
    <col min="11" max="11" width="21" style="344" customWidth="1"/>
    <col min="12" max="12" width="20.4285714285714" style="348" customWidth="1"/>
    <col min="13" max="13" width="11" style="349" customWidth="1"/>
    <col min="14" max="17" width="10.2857142857143" style="350" customWidth="1"/>
    <col min="18" max="18" width="10.4285714285714" style="346" customWidth="1"/>
    <col min="19" max="21" width="11.5714285714286" style="346" customWidth="1"/>
    <col min="22" max="23" width="13.2857142857143" style="347" customWidth="1"/>
    <col min="24" max="24" width="9.71428571428571" style="347" customWidth="1"/>
    <col min="25" max="25" width="9.14285714285714" style="347"/>
    <col min="26" max="26" width="57" style="351" customWidth="1"/>
    <col min="27" max="27" width="33.5714285714286" style="345" customWidth="1"/>
    <col min="28" max="16384" width="9.14285714285714" style="347"/>
  </cols>
  <sheetData>
    <row r="1" ht="20.25" spans="1:24">
      <c r="A1" s="352" t="s">
        <v>264</v>
      </c>
      <c r="B1" s="352"/>
      <c r="C1" s="352"/>
      <c r="D1" s="352"/>
      <c r="E1" s="352"/>
      <c r="F1" s="352"/>
      <c r="G1" s="352"/>
      <c r="H1" s="352"/>
      <c r="I1" s="352"/>
      <c r="J1" s="352"/>
      <c r="K1" s="352"/>
      <c r="L1" s="352"/>
      <c r="M1" s="352"/>
      <c r="N1" s="352"/>
      <c r="O1" s="352"/>
      <c r="P1" s="352"/>
      <c r="Q1" s="352"/>
      <c r="R1" s="352"/>
      <c r="S1" s="352"/>
      <c r="T1" s="352"/>
      <c r="U1" s="352"/>
      <c r="V1" s="352"/>
      <c r="W1" s="352"/>
      <c r="X1" s="352"/>
    </row>
    <row r="2" ht="18" spans="1:24">
      <c r="A2" s="353">
        <f>'[4]Trang bia'!A7:I7</f>
        <v>0</v>
      </c>
      <c r="B2" s="353"/>
      <c r="C2" s="353"/>
      <c r="D2" s="353"/>
      <c r="E2" s="353"/>
      <c r="F2" s="353"/>
      <c r="G2" s="353"/>
      <c r="H2" s="353"/>
      <c r="I2" s="353"/>
      <c r="J2" s="353"/>
      <c r="K2" s="353"/>
      <c r="L2" s="353"/>
      <c r="M2" s="353"/>
      <c r="N2" s="353"/>
      <c r="O2" s="353"/>
      <c r="P2" s="353"/>
      <c r="Q2" s="353"/>
      <c r="R2" s="353"/>
      <c r="S2" s="353"/>
      <c r="T2" s="353"/>
      <c r="U2" s="353"/>
      <c r="V2" s="353"/>
      <c r="W2" s="353"/>
      <c r="X2" s="353"/>
    </row>
    <row r="3" ht="18" spans="1:24">
      <c r="A3" s="354" t="s">
        <v>265</v>
      </c>
      <c r="B3" s="354"/>
      <c r="C3" s="355"/>
      <c r="D3" s="355"/>
      <c r="E3" s="353"/>
      <c r="F3" s="353"/>
      <c r="G3" s="353"/>
      <c r="H3" s="353"/>
      <c r="I3" s="353"/>
      <c r="J3" s="353"/>
      <c r="K3" s="378"/>
      <c r="L3" s="379"/>
      <c r="M3" s="385"/>
      <c r="N3" s="386"/>
      <c r="O3" s="386"/>
      <c r="P3" s="386"/>
      <c r="Q3" s="386"/>
      <c r="R3" s="386"/>
      <c r="S3" s="386"/>
      <c r="T3" s="386"/>
      <c r="U3" s="386"/>
      <c r="V3" s="353"/>
      <c r="W3" s="353"/>
      <c r="X3" s="401"/>
    </row>
    <row r="4" spans="1:24">
      <c r="A4" s="354" t="s">
        <v>266</v>
      </c>
      <c r="B4" s="354"/>
      <c r="C4" s="354"/>
      <c r="D4" s="354"/>
      <c r="E4" s="354"/>
      <c r="F4" s="354"/>
      <c r="G4" s="354"/>
      <c r="H4" s="354"/>
      <c r="I4" s="354"/>
      <c r="J4" s="354"/>
      <c r="K4" s="354"/>
      <c r="L4" s="354"/>
      <c r="M4" s="354"/>
      <c r="N4" s="354"/>
      <c r="O4" s="354"/>
      <c r="P4" s="354"/>
      <c r="Q4" s="354"/>
      <c r="R4" s="354"/>
      <c r="S4" s="354"/>
      <c r="T4" s="354"/>
      <c r="U4" s="354"/>
      <c r="V4" s="354"/>
      <c r="W4" s="354"/>
      <c r="X4" s="401"/>
    </row>
    <row r="5" s="343" customFormat="1" spans="1:27">
      <c r="A5" s="356"/>
      <c r="B5" s="356"/>
      <c r="C5" s="357"/>
      <c r="D5" s="357"/>
      <c r="E5" s="356"/>
      <c r="F5" s="356"/>
      <c r="G5" s="356"/>
      <c r="H5" s="356"/>
      <c r="I5" s="356"/>
      <c r="J5" s="356"/>
      <c r="K5" s="357"/>
      <c r="L5" s="380"/>
      <c r="M5" s="387"/>
      <c r="N5" s="388"/>
      <c r="O5" s="388"/>
      <c r="P5" s="388"/>
      <c r="Q5" s="388"/>
      <c r="R5" s="396"/>
      <c r="S5" s="396"/>
      <c r="T5" s="396"/>
      <c r="U5" s="396"/>
      <c r="V5" s="356"/>
      <c r="W5" s="356"/>
      <c r="X5" s="356"/>
      <c r="Z5" s="405"/>
      <c r="AA5" s="344"/>
    </row>
    <row r="6" s="344" customFormat="1" spans="1:26">
      <c r="A6" s="358" t="s">
        <v>267</v>
      </c>
      <c r="B6" s="359" t="s">
        <v>268</v>
      </c>
      <c r="C6" s="359" t="s">
        <v>269</v>
      </c>
      <c r="D6" s="359" t="s">
        <v>270</v>
      </c>
      <c r="E6" s="371" t="s">
        <v>271</v>
      </c>
      <c r="F6" s="372"/>
      <c r="G6" s="372"/>
      <c r="H6" s="372"/>
      <c r="I6" s="381"/>
      <c r="J6" s="372"/>
      <c r="K6" s="372"/>
      <c r="L6" s="381"/>
      <c r="M6" s="389" t="s">
        <v>272</v>
      </c>
      <c r="N6" s="390"/>
      <c r="O6" s="390"/>
      <c r="P6" s="390"/>
      <c r="Q6" s="390"/>
      <c r="R6" s="397"/>
      <c r="S6" s="391" t="s">
        <v>273</v>
      </c>
      <c r="T6" s="391"/>
      <c r="U6" s="391"/>
      <c r="V6" s="359" t="s">
        <v>274</v>
      </c>
      <c r="W6" s="359" t="s">
        <v>275</v>
      </c>
      <c r="X6" s="374" t="s">
        <v>276</v>
      </c>
      <c r="Y6" s="406"/>
      <c r="Z6" s="407" t="s">
        <v>277</v>
      </c>
    </row>
    <row r="7" s="344" customFormat="1" ht="45" spans="1:26">
      <c r="A7" s="360"/>
      <c r="B7" s="361"/>
      <c r="C7" s="361"/>
      <c r="D7" s="361"/>
      <c r="E7" s="373" t="s">
        <v>278</v>
      </c>
      <c r="F7" s="374" t="s">
        <v>41</v>
      </c>
      <c r="G7" s="374" t="s">
        <v>43</v>
      </c>
      <c r="H7" s="374" t="s">
        <v>45</v>
      </c>
      <c r="I7" s="374" t="s">
        <v>47</v>
      </c>
      <c r="J7" s="374" t="s">
        <v>279</v>
      </c>
      <c r="K7" s="374" t="s">
        <v>280</v>
      </c>
      <c r="L7" s="374" t="s">
        <v>74</v>
      </c>
      <c r="M7" s="391" t="s">
        <v>281</v>
      </c>
      <c r="N7" s="391" t="s">
        <v>41</v>
      </c>
      <c r="O7" s="391" t="s">
        <v>43</v>
      </c>
      <c r="P7" s="391" t="s">
        <v>45</v>
      </c>
      <c r="Q7" s="391" t="s">
        <v>47</v>
      </c>
      <c r="R7" s="398" t="s">
        <v>282</v>
      </c>
      <c r="S7" s="398" t="s">
        <v>41</v>
      </c>
      <c r="T7" s="391" t="s">
        <v>43</v>
      </c>
      <c r="U7" s="391" t="s">
        <v>47</v>
      </c>
      <c r="V7" s="361"/>
      <c r="W7" s="361"/>
      <c r="X7" s="374"/>
      <c r="Y7" s="406"/>
      <c r="Z7" s="407"/>
    </row>
    <row r="8" s="345" customFormat="1" spans="1:26">
      <c r="A8" s="362"/>
      <c r="B8" s="363" t="s">
        <v>283</v>
      </c>
      <c r="C8" s="364"/>
      <c r="D8" s="365"/>
      <c r="E8" s="375"/>
      <c r="F8" s="375"/>
      <c r="G8" s="375"/>
      <c r="H8" s="375"/>
      <c r="I8" s="375"/>
      <c r="J8" s="375"/>
      <c r="K8" s="362"/>
      <c r="L8" s="382"/>
      <c r="M8" s="392"/>
      <c r="N8" s="393"/>
      <c r="O8" s="393"/>
      <c r="P8" s="393"/>
      <c r="Q8" s="393"/>
      <c r="R8" s="393"/>
      <c r="S8" s="399"/>
      <c r="T8" s="399"/>
      <c r="U8" s="399"/>
      <c r="V8" s="402"/>
      <c r="W8" s="402"/>
      <c r="X8" s="403"/>
      <c r="Z8" s="408"/>
    </row>
    <row r="9" ht="45" spans="1:27">
      <c r="A9" s="366">
        <v>1</v>
      </c>
      <c r="B9" s="367" t="s">
        <v>284</v>
      </c>
      <c r="C9" s="367" t="s">
        <v>285</v>
      </c>
      <c r="D9" s="367" t="s">
        <v>286</v>
      </c>
      <c r="E9" s="376">
        <f>SUM(F9:I9)</f>
        <v>24.08</v>
      </c>
      <c r="F9" s="377">
        <f>N9*(1-$S9)</f>
        <v>6</v>
      </c>
      <c r="G9" s="377">
        <f>O9*(1-$T9)</f>
        <v>9.6</v>
      </c>
      <c r="H9" s="376">
        <f>P9*(1-$T9)</f>
        <v>2.88</v>
      </c>
      <c r="I9" s="376">
        <f>Q9*(1-$U9)</f>
        <v>5.6</v>
      </c>
      <c r="J9" s="376">
        <f>E9/22/8</f>
        <v>0.136818181818182</v>
      </c>
      <c r="K9" s="383" t="s">
        <v>165</v>
      </c>
      <c r="L9" s="384" t="str">
        <f>IF(K9="","",VLOOKUP(K9,'Định nghĩa Loại Chức năng'!$B$4:$C$92,2,FALSE))</f>
        <v>Chức năng web bao gồm UI + Service - đơn giản</v>
      </c>
      <c r="M9" s="394" t="s">
        <v>287</v>
      </c>
      <c r="N9" s="395">
        <f>IF(K9="","",VLOOKUP(K9&amp;$N$7,CSDL_CN!$D$4:$E$264,2,FALSE))</f>
        <v>7.5</v>
      </c>
      <c r="O9" s="395">
        <f>IF(K9="","",VLOOKUP(K9&amp;$O$7,CSDL_CN!$D$4:$E$264,2,FALSE))</f>
        <v>12</v>
      </c>
      <c r="P9" s="395">
        <f>IF(M9="Có",O9*30%,0)</f>
        <v>3.6</v>
      </c>
      <c r="Q9" s="395">
        <f>IF(K9="","",VLOOKUP(K9&amp;$Q$7,CSDL_CN!$D$4:$E$264,2,FALSE))</f>
        <v>7</v>
      </c>
      <c r="R9" s="395">
        <f t="array" ref="R9">SUM(IFERROR(N9:Q9,0))</f>
        <v>30.1</v>
      </c>
      <c r="S9" s="400">
        <v>0.2</v>
      </c>
      <c r="T9" s="400">
        <v>0.2</v>
      </c>
      <c r="U9" s="400">
        <v>0.2</v>
      </c>
      <c r="V9" s="366"/>
      <c r="W9" s="366">
        <f>IF(X9="OS",E9,0)</f>
        <v>24.08</v>
      </c>
      <c r="X9" s="404" t="s">
        <v>288</v>
      </c>
      <c r="Y9" s="409">
        <f>SUM(E9:E10)/22/8</f>
        <v>0.273636363636364</v>
      </c>
      <c r="Z9" s="410" t="s">
        <v>289</v>
      </c>
      <c r="AA9" s="411" t="s">
        <v>290</v>
      </c>
    </row>
    <row r="10" ht="45" spans="1:27">
      <c r="A10" s="366"/>
      <c r="B10" s="367"/>
      <c r="C10" s="367"/>
      <c r="D10" s="367" t="s">
        <v>291</v>
      </c>
      <c r="E10" s="376">
        <f t="shared" ref="E10:E11" si="0">SUM(F10:I10)</f>
        <v>24.08</v>
      </c>
      <c r="F10" s="377">
        <f>N10*(1-$S10)</f>
        <v>6</v>
      </c>
      <c r="G10" s="377">
        <f>O10*(1-$T10)</f>
        <v>9.6</v>
      </c>
      <c r="H10" s="376">
        <f>P10*(1-$T10)</f>
        <v>2.88</v>
      </c>
      <c r="I10" s="376">
        <f>Q10*(1-$U10)</f>
        <v>5.6</v>
      </c>
      <c r="J10" s="376">
        <f>E10/22/8</f>
        <v>0.136818181818182</v>
      </c>
      <c r="K10" s="383" t="s">
        <v>165</v>
      </c>
      <c r="L10" s="384" t="str">
        <f>IF(K10="","",VLOOKUP(K10,'Định nghĩa Loại Chức năng'!$B$4:$C$92,2,FALSE))</f>
        <v>Chức năng web bao gồm UI + Service - đơn giản</v>
      </c>
      <c r="M10" s="394" t="s">
        <v>287</v>
      </c>
      <c r="N10" s="395">
        <f>IF(K10="","",VLOOKUP(K10&amp;$N$7,CSDL_CN!$D$4:$E$264,2,FALSE))</f>
        <v>7.5</v>
      </c>
      <c r="O10" s="395">
        <f>IF(K10="","",VLOOKUP(K10&amp;$O$7,CSDL_CN!$D$4:$E$264,2,FALSE))</f>
        <v>12</v>
      </c>
      <c r="P10" s="395">
        <f>IF(M10="Có",O10*30%,0)</f>
        <v>3.6</v>
      </c>
      <c r="Q10" s="395">
        <f>IF(K10="","",VLOOKUP(K10&amp;$Q$7,CSDL_CN!$D$4:$E$264,2,FALSE))</f>
        <v>7</v>
      </c>
      <c r="R10" s="395">
        <f t="array" ref="R10">SUM(IFERROR(N10:Q10,0))</f>
        <v>30.1</v>
      </c>
      <c r="S10" s="400">
        <v>0.2</v>
      </c>
      <c r="T10" s="400">
        <v>0.2</v>
      </c>
      <c r="U10" s="400">
        <v>0.2</v>
      </c>
      <c r="V10" s="366"/>
      <c r="W10" s="366">
        <f t="shared" ref="W10:W11" si="1">IF(X10="OS",E10,0)</f>
        <v>24.08</v>
      </c>
      <c r="X10" s="404" t="s">
        <v>288</v>
      </c>
      <c r="Y10" s="409"/>
      <c r="Z10" s="410" t="s">
        <v>289</v>
      </c>
      <c r="AA10" s="411"/>
    </row>
    <row r="11" ht="45" spans="1:27">
      <c r="A11" s="366">
        <v>2</v>
      </c>
      <c r="B11" s="367" t="s">
        <v>292</v>
      </c>
      <c r="C11" s="367" t="s">
        <v>293</v>
      </c>
      <c r="D11" s="367" t="s">
        <v>294</v>
      </c>
      <c r="E11" s="376">
        <f t="shared" si="0"/>
        <v>24.08</v>
      </c>
      <c r="F11" s="377">
        <f>N11*(1-$S11)</f>
        <v>6</v>
      </c>
      <c r="G11" s="377">
        <f>O11*(1-$T11)</f>
        <v>9.6</v>
      </c>
      <c r="H11" s="376">
        <f>P11*(1-$T11)</f>
        <v>2.88</v>
      </c>
      <c r="I11" s="376">
        <f>Q11*(1-$U11)</f>
        <v>5.6</v>
      </c>
      <c r="J11" s="376">
        <f t="shared" ref="J11:J178" si="2">E11/22/8</f>
        <v>0.136818181818182</v>
      </c>
      <c r="K11" s="383" t="s">
        <v>165</v>
      </c>
      <c r="L11" s="384" t="str">
        <f>IF(K11="","",VLOOKUP(K11,'Định nghĩa Loại Chức năng'!$B$4:$C$92,2,FALSE))</f>
        <v>Chức năng web bao gồm UI + Service - đơn giản</v>
      </c>
      <c r="M11" s="394" t="s">
        <v>287</v>
      </c>
      <c r="N11" s="395">
        <f>IF(K11="","",VLOOKUP(K11&amp;$N$7,CSDL_CN!$D$4:$E$264,2,FALSE))</f>
        <v>7.5</v>
      </c>
      <c r="O11" s="395">
        <f>IF(K11="","",VLOOKUP(K11&amp;$O$7,CSDL_CN!$D$4:$E$264,2,FALSE))</f>
        <v>12</v>
      </c>
      <c r="P11" s="395">
        <f>IF(M11="Có",O11*30%,0)</f>
        <v>3.6</v>
      </c>
      <c r="Q11" s="395">
        <f>IF(K11="","",VLOOKUP(K11&amp;$Q$7,CSDL_CN!$D$4:$E$264,2,FALSE))</f>
        <v>7</v>
      </c>
      <c r="R11" s="395">
        <f t="array" ref="R11">SUM(IFERROR(N11:Q11,0))</f>
        <v>30.1</v>
      </c>
      <c r="S11" s="400">
        <v>0.2</v>
      </c>
      <c r="T11" s="400">
        <v>0.2</v>
      </c>
      <c r="U11" s="400">
        <v>0.2</v>
      </c>
      <c r="V11" s="366"/>
      <c r="W11" s="366">
        <f t="shared" si="1"/>
        <v>24.08</v>
      </c>
      <c r="X11" s="404" t="s">
        <v>288</v>
      </c>
      <c r="Y11" s="409">
        <f>E11/8/22+E12/8/22</f>
        <v>0.136818181818182</v>
      </c>
      <c r="Z11" s="410" t="s">
        <v>295</v>
      </c>
      <c r="AA11" s="411"/>
    </row>
    <row r="12" ht="16.5" spans="1:27">
      <c r="A12" s="366"/>
      <c r="B12" s="367"/>
      <c r="C12" s="367"/>
      <c r="D12" s="367"/>
      <c r="E12" s="376"/>
      <c r="F12" s="377"/>
      <c r="G12" s="377"/>
      <c r="H12" s="376"/>
      <c r="I12" s="376"/>
      <c r="J12" s="376"/>
      <c r="K12" s="383"/>
      <c r="L12" s="384"/>
      <c r="M12" s="394"/>
      <c r="N12" s="395"/>
      <c r="O12" s="395"/>
      <c r="P12" s="395"/>
      <c r="Q12" s="395"/>
      <c r="R12" s="395"/>
      <c r="S12" s="400"/>
      <c r="T12" s="400"/>
      <c r="U12" s="400"/>
      <c r="V12" s="366"/>
      <c r="W12" s="366"/>
      <c r="X12" s="404"/>
      <c r="Y12" s="409"/>
      <c r="Z12" s="410"/>
      <c r="AA12" s="411"/>
    </row>
    <row r="13" ht="75" spans="1:27">
      <c r="A13" s="366">
        <v>3</v>
      </c>
      <c r="B13" s="367" t="s">
        <v>296</v>
      </c>
      <c r="C13" s="367" t="s">
        <v>297</v>
      </c>
      <c r="D13" s="367" t="s">
        <v>297</v>
      </c>
      <c r="E13" s="376">
        <f>SUM(F13:I13)</f>
        <v>24.08</v>
      </c>
      <c r="F13" s="377">
        <f>N13*(1-$S13)</f>
        <v>6</v>
      </c>
      <c r="G13" s="377">
        <f>O13*(1-$T13)</f>
        <v>9.6</v>
      </c>
      <c r="H13" s="376">
        <f>P13*(1-$T13)</f>
        <v>2.88</v>
      </c>
      <c r="I13" s="376">
        <f>Q13*(1-$U13)</f>
        <v>5.6</v>
      </c>
      <c r="J13" s="376">
        <f t="shared" si="2"/>
        <v>0.136818181818182</v>
      </c>
      <c r="K13" s="383" t="s">
        <v>165</v>
      </c>
      <c r="L13" s="384" t="str">
        <f>IF(K13="","",VLOOKUP(K13,'Định nghĩa Loại Chức năng'!$B$4:$C$92,2,FALSE))</f>
        <v>Chức năng web bao gồm UI + Service - đơn giản</v>
      </c>
      <c r="M13" s="394" t="s">
        <v>287</v>
      </c>
      <c r="N13" s="395">
        <f>IF(K13="","",VLOOKUP(K13&amp;$N$7,CSDL_CN!$D$4:$E$264,2,FALSE))</f>
        <v>7.5</v>
      </c>
      <c r="O13" s="395">
        <f>IF(K13="","",VLOOKUP(K13&amp;$O$7,CSDL_CN!$D$4:$E$264,2,FALSE))</f>
        <v>12</v>
      </c>
      <c r="P13" s="395">
        <f>IF(M13="Có",O13*30%,0)</f>
        <v>3.6</v>
      </c>
      <c r="Q13" s="395">
        <f>IF(K13="","",VLOOKUP(K13&amp;$Q$7,CSDL_CN!$D$4:$E$264,2,FALSE))</f>
        <v>7</v>
      </c>
      <c r="R13" s="395">
        <f t="array" ref="R13">SUM(IFERROR(N13:Q13,0))</f>
        <v>30.1</v>
      </c>
      <c r="S13" s="400">
        <v>0.2</v>
      </c>
      <c r="T13" s="400">
        <v>0.2</v>
      </c>
      <c r="U13" s="400">
        <v>0.2</v>
      </c>
      <c r="V13" s="366"/>
      <c r="W13" s="366">
        <f>IF(X13="OS",E13,0)</f>
        <v>24.08</v>
      </c>
      <c r="X13" s="404" t="s">
        <v>288</v>
      </c>
      <c r="Y13" s="409">
        <f>E13/8/22+E14/8/22</f>
        <v>0.273636363636364</v>
      </c>
      <c r="Z13" s="410" t="s">
        <v>298</v>
      </c>
      <c r="AA13" s="411" t="s">
        <v>228</v>
      </c>
    </row>
    <row r="14" ht="75" spans="1:27">
      <c r="A14" s="366"/>
      <c r="B14" s="367"/>
      <c r="C14" s="367"/>
      <c r="D14" s="367" t="s">
        <v>299</v>
      </c>
      <c r="E14" s="376">
        <f t="shared" ref="E14:E15" si="3">SUM(F14:I14)</f>
        <v>24.08</v>
      </c>
      <c r="F14" s="377">
        <f>N14*(1-$S14)</f>
        <v>6</v>
      </c>
      <c r="G14" s="377">
        <f>O14*(1-$T14)</f>
        <v>9.6</v>
      </c>
      <c r="H14" s="376">
        <f>P14*(1-$T14)</f>
        <v>2.88</v>
      </c>
      <c r="I14" s="376">
        <f>Q14*(1-$U14)</f>
        <v>5.6</v>
      </c>
      <c r="J14" s="376">
        <f>E14/22/8</f>
        <v>0.136818181818182</v>
      </c>
      <c r="K14" s="383" t="s">
        <v>165</v>
      </c>
      <c r="L14" s="384" t="str">
        <f>IF(K14="","",VLOOKUP(K14,'Định nghĩa Loại Chức năng'!$B$4:$C$92,2,FALSE))</f>
        <v>Chức năng web bao gồm UI + Service - đơn giản</v>
      </c>
      <c r="M14" s="394" t="s">
        <v>287</v>
      </c>
      <c r="N14" s="395">
        <f>IF(K14="","",VLOOKUP(K14&amp;$N$7,CSDL_CN!$D$4:$E$264,2,FALSE))</f>
        <v>7.5</v>
      </c>
      <c r="O14" s="395">
        <f>IF(K14="","",VLOOKUP(K14&amp;$O$7,CSDL_CN!$D$4:$E$264,2,FALSE))</f>
        <v>12</v>
      </c>
      <c r="P14" s="395">
        <f>IF(M14="Có",O14*30%,0)</f>
        <v>3.6</v>
      </c>
      <c r="Q14" s="395">
        <f>IF(K14="","",VLOOKUP(K14&amp;$Q$7,CSDL_CN!$D$4:$E$264,2,FALSE))</f>
        <v>7</v>
      </c>
      <c r="R14" s="395">
        <f t="array" ref="R14">SUM(IFERROR(N14:Q14,0))</f>
        <v>30.1</v>
      </c>
      <c r="S14" s="400">
        <v>0.2</v>
      </c>
      <c r="T14" s="400">
        <v>0.2</v>
      </c>
      <c r="U14" s="400">
        <v>0.2</v>
      </c>
      <c r="V14" s="366"/>
      <c r="W14" s="366">
        <f t="shared" ref="W14:W15" si="4">IF(X14="OS",E14,0)</f>
        <v>24.08</v>
      </c>
      <c r="X14" s="404" t="s">
        <v>288</v>
      </c>
      <c r="Y14" s="409"/>
      <c r="Z14" s="410" t="s">
        <v>298</v>
      </c>
      <c r="AA14" s="411"/>
    </row>
    <row r="15" ht="45" spans="1:27">
      <c r="A15" s="366">
        <v>4</v>
      </c>
      <c r="B15" s="367" t="s">
        <v>300</v>
      </c>
      <c r="C15" s="367" t="s">
        <v>301</v>
      </c>
      <c r="D15" s="367" t="s">
        <v>301</v>
      </c>
      <c r="E15" s="376">
        <f t="shared" si="3"/>
        <v>24.08</v>
      </c>
      <c r="F15" s="377">
        <f>N15*(1-$S15)</f>
        <v>6</v>
      </c>
      <c r="G15" s="377">
        <f>O15*(1-$T15)</f>
        <v>9.6</v>
      </c>
      <c r="H15" s="376">
        <f>P15*(1-$T15)</f>
        <v>2.88</v>
      </c>
      <c r="I15" s="376">
        <f>Q15*(1-$U15)</f>
        <v>5.6</v>
      </c>
      <c r="J15" s="376">
        <f t="shared" si="2"/>
        <v>0.136818181818182</v>
      </c>
      <c r="K15" s="383" t="s">
        <v>165</v>
      </c>
      <c r="L15" s="384" t="str">
        <f>IF(K15="","",VLOOKUP(K15,'Định nghĩa Loại Chức năng'!$B$4:$C$92,2,FALSE))</f>
        <v>Chức năng web bao gồm UI + Service - đơn giản</v>
      </c>
      <c r="M15" s="394" t="s">
        <v>287</v>
      </c>
      <c r="N15" s="395">
        <f>IF(K15="","",VLOOKUP(K15&amp;$N$7,CSDL_CN!$D$4:$E$264,2,FALSE))</f>
        <v>7.5</v>
      </c>
      <c r="O15" s="395">
        <f>IF(K15="","",VLOOKUP(K15&amp;$O$7,CSDL_CN!$D$4:$E$264,2,FALSE))</f>
        <v>12</v>
      </c>
      <c r="P15" s="395">
        <f>IF(M15="Có",O15*30%,0)</f>
        <v>3.6</v>
      </c>
      <c r="Q15" s="395">
        <f>IF(K15="","",VLOOKUP(K15&amp;$Q$7,CSDL_CN!$D$4:$E$264,2,FALSE))</f>
        <v>7</v>
      </c>
      <c r="R15" s="395">
        <f t="array" ref="R15">SUM(IFERROR(N15:Q15,0))</f>
        <v>30.1</v>
      </c>
      <c r="S15" s="400">
        <v>0.2</v>
      </c>
      <c r="T15" s="400">
        <v>0.2</v>
      </c>
      <c r="U15" s="400">
        <v>0.2</v>
      </c>
      <c r="V15" s="366"/>
      <c r="W15" s="366">
        <f t="shared" si="4"/>
        <v>24.08</v>
      </c>
      <c r="X15" s="404" t="s">
        <v>288</v>
      </c>
      <c r="Y15" s="409">
        <f>E15/8/22+E16/8/22</f>
        <v>0.273636363636364</v>
      </c>
      <c r="Z15" s="410" t="s">
        <v>302</v>
      </c>
      <c r="AA15" s="411"/>
    </row>
    <row r="16" ht="45" spans="1:27">
      <c r="A16" s="366"/>
      <c r="B16" s="367"/>
      <c r="C16" s="367"/>
      <c r="D16" s="367" t="s">
        <v>303</v>
      </c>
      <c r="E16" s="376">
        <f t="shared" ref="E16:E17" si="5">SUM(F16:I16)</f>
        <v>24.08</v>
      </c>
      <c r="F16" s="377">
        <f t="shared" ref="F16:F17" si="6">N16*(1-$S16)</f>
        <v>6</v>
      </c>
      <c r="G16" s="377">
        <f t="shared" ref="G16:G17" si="7">O16*(1-$T16)</f>
        <v>9.6</v>
      </c>
      <c r="H16" s="376">
        <f t="shared" ref="H16:H17" si="8">P16*(1-$T16)</f>
        <v>2.88</v>
      </c>
      <c r="I16" s="376">
        <f t="shared" ref="I16:I17" si="9">Q16*(1-$U16)</f>
        <v>5.6</v>
      </c>
      <c r="J16" s="376">
        <f t="shared" ref="J16" si="10">E16/22/8</f>
        <v>0.136818181818182</v>
      </c>
      <c r="K16" s="383" t="s">
        <v>165</v>
      </c>
      <c r="L16" s="384" t="str">
        <f>IF(K16="","",VLOOKUP(K16,'Định nghĩa Loại Chức năng'!$B$4:$C$92,2,FALSE))</f>
        <v>Chức năng web bao gồm UI + Service - đơn giản</v>
      </c>
      <c r="M16" s="394" t="s">
        <v>287</v>
      </c>
      <c r="N16" s="395">
        <f>IF(K16="","",VLOOKUP(K16&amp;$N$7,CSDL_CN!$D$4:$E$264,2,FALSE))</f>
        <v>7.5</v>
      </c>
      <c r="O16" s="395">
        <f>IF(K16="","",VLOOKUP(K16&amp;$O$7,CSDL_CN!$D$4:$E$264,2,FALSE))</f>
        <v>12</v>
      </c>
      <c r="P16" s="395">
        <f t="shared" ref="P16:P17" si="11">IF(M16="Có",O16*30%,0)</f>
        <v>3.6</v>
      </c>
      <c r="Q16" s="395">
        <f>IF(K16="","",VLOOKUP(K16&amp;$Q$7,CSDL_CN!$D$4:$E$264,2,FALSE))</f>
        <v>7</v>
      </c>
      <c r="R16" s="395">
        <f t="array" ref="R16">SUM(IFERROR(N16:Q16,0))</f>
        <v>30.1</v>
      </c>
      <c r="S16" s="400">
        <v>0.2</v>
      </c>
      <c r="T16" s="400">
        <v>0.2</v>
      </c>
      <c r="U16" s="400">
        <v>0.2</v>
      </c>
      <c r="V16" s="366"/>
      <c r="W16" s="366">
        <f t="shared" ref="W16:W17" si="12">IF(X16="OS",E16,0)</f>
        <v>24.08</v>
      </c>
      <c r="X16" s="404" t="s">
        <v>288</v>
      </c>
      <c r="Y16" s="409"/>
      <c r="Z16" s="410" t="s">
        <v>302</v>
      </c>
      <c r="AA16" s="411"/>
    </row>
    <row r="17" ht="45" spans="1:27">
      <c r="A17" s="366">
        <v>5</v>
      </c>
      <c r="B17" s="367" t="s">
        <v>304</v>
      </c>
      <c r="C17" s="367" t="s">
        <v>305</v>
      </c>
      <c r="D17" s="367" t="s">
        <v>305</v>
      </c>
      <c r="E17" s="376">
        <f t="shared" si="5"/>
        <v>24.08</v>
      </c>
      <c r="F17" s="377">
        <f t="shared" si="6"/>
        <v>6</v>
      </c>
      <c r="G17" s="377">
        <f t="shared" si="7"/>
        <v>9.6</v>
      </c>
      <c r="H17" s="376">
        <f t="shared" si="8"/>
        <v>2.88</v>
      </c>
      <c r="I17" s="376">
        <f t="shared" si="9"/>
        <v>5.6</v>
      </c>
      <c r="J17" s="376">
        <f t="shared" si="2"/>
        <v>0.136818181818182</v>
      </c>
      <c r="K17" s="383" t="s">
        <v>165</v>
      </c>
      <c r="L17" s="384" t="str">
        <f>IF(K17="","",VLOOKUP(K17,'Định nghĩa Loại Chức năng'!$B$4:$C$92,2,FALSE))</f>
        <v>Chức năng web bao gồm UI + Service - đơn giản</v>
      </c>
      <c r="M17" s="394" t="s">
        <v>287</v>
      </c>
      <c r="N17" s="395">
        <f>IF(K17="","",VLOOKUP(K17&amp;$N$7,CSDL_CN!$D$4:$E$264,2,FALSE))</f>
        <v>7.5</v>
      </c>
      <c r="O17" s="395">
        <f>IF(K17="","",VLOOKUP(K17&amp;$O$7,CSDL_CN!$D$4:$E$264,2,FALSE))</f>
        <v>12</v>
      </c>
      <c r="P17" s="395">
        <f t="shared" si="11"/>
        <v>3.6</v>
      </c>
      <c r="Q17" s="395">
        <f>IF(K17="","",VLOOKUP(K17&amp;$Q$7,CSDL_CN!$D$4:$E$264,2,FALSE))</f>
        <v>7</v>
      </c>
      <c r="R17" s="395">
        <f t="array" ref="R17">SUM(IFERROR(N17:Q17,0))</f>
        <v>30.1</v>
      </c>
      <c r="S17" s="400">
        <v>0.2</v>
      </c>
      <c r="T17" s="400">
        <v>0.2</v>
      </c>
      <c r="U17" s="400">
        <v>0.2</v>
      </c>
      <c r="V17" s="366"/>
      <c r="W17" s="366">
        <f t="shared" si="12"/>
        <v>24.08</v>
      </c>
      <c r="X17" s="404" t="s">
        <v>288</v>
      </c>
      <c r="Y17" s="409">
        <f>E17/8/22+E18/8/22</f>
        <v>0.273636363636364</v>
      </c>
      <c r="Z17" s="410" t="s">
        <v>306</v>
      </c>
      <c r="AA17" s="411"/>
    </row>
    <row r="18" ht="45" spans="1:27">
      <c r="A18" s="366"/>
      <c r="B18" s="367"/>
      <c r="C18" s="367"/>
      <c r="D18" s="367" t="s">
        <v>307</v>
      </c>
      <c r="E18" s="376">
        <f t="shared" ref="E18:E19" si="13">SUM(F18:I18)</f>
        <v>24.08</v>
      </c>
      <c r="F18" s="377">
        <f t="shared" ref="F18:F19" si="14">N18*(1-$S18)</f>
        <v>6</v>
      </c>
      <c r="G18" s="377">
        <f t="shared" ref="G18:G19" si="15">O18*(1-$T18)</f>
        <v>9.6</v>
      </c>
      <c r="H18" s="376">
        <f t="shared" ref="H18:H19" si="16">P18*(1-$T18)</f>
        <v>2.88</v>
      </c>
      <c r="I18" s="376">
        <f t="shared" ref="I18:I19" si="17">Q18*(1-$U18)</f>
        <v>5.6</v>
      </c>
      <c r="J18" s="376">
        <f t="shared" ref="J18" si="18">E18/22/8</f>
        <v>0.136818181818182</v>
      </c>
      <c r="K18" s="383" t="s">
        <v>165</v>
      </c>
      <c r="L18" s="384" t="str">
        <f>IF(K18="","",VLOOKUP(K18,'Định nghĩa Loại Chức năng'!$B$4:$C$92,2,FALSE))</f>
        <v>Chức năng web bao gồm UI + Service - đơn giản</v>
      </c>
      <c r="M18" s="394" t="s">
        <v>287</v>
      </c>
      <c r="N18" s="395">
        <f>IF(K18="","",VLOOKUP(K18&amp;$N$7,CSDL_CN!$D$4:$E$264,2,FALSE))</f>
        <v>7.5</v>
      </c>
      <c r="O18" s="395">
        <f>IF(K18="","",VLOOKUP(K18&amp;$O$7,CSDL_CN!$D$4:$E$264,2,FALSE))</f>
        <v>12</v>
      </c>
      <c r="P18" s="395">
        <f t="shared" ref="P18:P19" si="19">IF(M18="Có",O18*30%,0)</f>
        <v>3.6</v>
      </c>
      <c r="Q18" s="395">
        <f>IF(K18="","",VLOOKUP(K18&amp;$Q$7,CSDL_CN!$D$4:$E$264,2,FALSE))</f>
        <v>7</v>
      </c>
      <c r="R18" s="395">
        <f t="array" ref="R18">SUM(IFERROR(N18:Q18,0))</f>
        <v>30.1</v>
      </c>
      <c r="S18" s="400">
        <v>0.2</v>
      </c>
      <c r="T18" s="400">
        <v>0.2</v>
      </c>
      <c r="U18" s="400">
        <v>0.2</v>
      </c>
      <c r="V18" s="366"/>
      <c r="W18" s="366">
        <f t="shared" ref="W18:W19" si="20">IF(X18="OS",E18,0)</f>
        <v>24.08</v>
      </c>
      <c r="X18" s="404" t="s">
        <v>288</v>
      </c>
      <c r="Y18" s="409"/>
      <c r="Z18" s="410" t="s">
        <v>306</v>
      </c>
      <c r="AA18" s="411"/>
    </row>
    <row r="19" ht="60" spans="1:27">
      <c r="A19" s="366">
        <v>6</v>
      </c>
      <c r="B19" s="367" t="s">
        <v>308</v>
      </c>
      <c r="C19" s="367" t="s">
        <v>230</v>
      </c>
      <c r="D19" s="367" t="s">
        <v>309</v>
      </c>
      <c r="E19" s="376">
        <f t="shared" si="13"/>
        <v>24.08</v>
      </c>
      <c r="F19" s="377">
        <f t="shared" si="14"/>
        <v>6</v>
      </c>
      <c r="G19" s="377">
        <f t="shared" si="15"/>
        <v>9.6</v>
      </c>
      <c r="H19" s="376">
        <f t="shared" si="16"/>
        <v>2.88</v>
      </c>
      <c r="I19" s="376">
        <f t="shared" si="17"/>
        <v>5.6</v>
      </c>
      <c r="J19" s="376">
        <f t="shared" si="2"/>
        <v>0.136818181818182</v>
      </c>
      <c r="K19" s="383" t="s">
        <v>165</v>
      </c>
      <c r="L19" s="384" t="str">
        <f>IF(K19="","",VLOOKUP(K19,'Định nghĩa Loại Chức năng'!$B$4:$C$92,2,FALSE))</f>
        <v>Chức năng web bao gồm UI + Service - đơn giản</v>
      </c>
      <c r="M19" s="394" t="s">
        <v>287</v>
      </c>
      <c r="N19" s="395">
        <f>IF(K19="","",VLOOKUP(K19&amp;$N$7,CSDL_CN!$D$4:$E$264,2,FALSE))</f>
        <v>7.5</v>
      </c>
      <c r="O19" s="395">
        <f>IF(K19="","",VLOOKUP(K19&amp;$O$7,CSDL_CN!$D$4:$E$264,2,FALSE))</f>
        <v>12</v>
      </c>
      <c r="P19" s="395">
        <f t="shared" si="19"/>
        <v>3.6</v>
      </c>
      <c r="Q19" s="395">
        <f>IF(K19="","",VLOOKUP(K19&amp;$Q$7,CSDL_CN!$D$4:$E$264,2,FALSE))</f>
        <v>7</v>
      </c>
      <c r="R19" s="395">
        <f t="array" ref="R19">SUM(IFERROR(N19:Q19,0))</f>
        <v>30.1</v>
      </c>
      <c r="S19" s="400">
        <v>0.2</v>
      </c>
      <c r="T19" s="400">
        <v>0.2</v>
      </c>
      <c r="U19" s="400">
        <v>0.2</v>
      </c>
      <c r="V19" s="366"/>
      <c r="W19" s="366">
        <f t="shared" si="20"/>
        <v>24.08</v>
      </c>
      <c r="X19" s="404" t="s">
        <v>288</v>
      </c>
      <c r="Y19" s="409">
        <f>E19/8/22+E20/8/22</f>
        <v>0.273636363636364</v>
      </c>
      <c r="Z19" s="410" t="s">
        <v>310</v>
      </c>
      <c r="AA19" s="411"/>
    </row>
    <row r="20" ht="60" spans="1:27">
      <c r="A20" s="366"/>
      <c r="B20" s="367"/>
      <c r="C20" s="367"/>
      <c r="D20" s="367" t="s">
        <v>311</v>
      </c>
      <c r="E20" s="376">
        <f t="shared" ref="E20:E21" si="21">SUM(F20:I20)</f>
        <v>24.08</v>
      </c>
      <c r="F20" s="377">
        <f t="shared" ref="F20:F21" si="22">N20*(1-$S20)</f>
        <v>6</v>
      </c>
      <c r="G20" s="377">
        <f t="shared" ref="G20:G21" si="23">O20*(1-$T20)</f>
        <v>9.6</v>
      </c>
      <c r="H20" s="376">
        <f t="shared" ref="H20:H21" si="24">P20*(1-$T20)</f>
        <v>2.88</v>
      </c>
      <c r="I20" s="376">
        <f t="shared" ref="I20:I21" si="25">Q20*(1-$U20)</f>
        <v>5.6</v>
      </c>
      <c r="J20" s="376">
        <f t="shared" ref="J20" si="26">E20/22/8</f>
        <v>0.136818181818182</v>
      </c>
      <c r="K20" s="383" t="s">
        <v>165</v>
      </c>
      <c r="L20" s="384" t="str">
        <f>IF(K20="","",VLOOKUP(K20,'Định nghĩa Loại Chức năng'!$B$4:$C$92,2,FALSE))</f>
        <v>Chức năng web bao gồm UI + Service - đơn giản</v>
      </c>
      <c r="M20" s="394" t="s">
        <v>287</v>
      </c>
      <c r="N20" s="395">
        <f>IF(K20="","",VLOOKUP(K20&amp;$N$7,CSDL_CN!$D$4:$E$264,2,FALSE))</f>
        <v>7.5</v>
      </c>
      <c r="O20" s="395">
        <f>IF(K20="","",VLOOKUP(K20&amp;$O$7,CSDL_CN!$D$4:$E$264,2,FALSE))</f>
        <v>12</v>
      </c>
      <c r="P20" s="395">
        <f t="shared" ref="P20:P21" si="27">IF(M20="Có",O20*30%,0)</f>
        <v>3.6</v>
      </c>
      <c r="Q20" s="395">
        <f>IF(K20="","",VLOOKUP(K20&amp;$Q$7,CSDL_CN!$D$4:$E$264,2,FALSE))</f>
        <v>7</v>
      </c>
      <c r="R20" s="395">
        <f t="array" ref="R20">SUM(IFERROR(N20:Q20,0))</f>
        <v>30.1</v>
      </c>
      <c r="S20" s="400">
        <v>0.2</v>
      </c>
      <c r="T20" s="400">
        <v>0.2</v>
      </c>
      <c r="U20" s="400">
        <v>0.2</v>
      </c>
      <c r="V20" s="366"/>
      <c r="W20" s="366">
        <f t="shared" ref="W20:W21" si="28">IF(X20="OS",E20,0)</f>
        <v>24.08</v>
      </c>
      <c r="X20" s="404" t="s">
        <v>288</v>
      </c>
      <c r="Y20" s="409"/>
      <c r="Z20" s="410" t="s">
        <v>310</v>
      </c>
      <c r="AA20" s="411"/>
    </row>
    <row r="21" ht="45" spans="1:27">
      <c r="A21" s="366">
        <v>7</v>
      </c>
      <c r="B21" s="367" t="s">
        <v>312</v>
      </c>
      <c r="C21" s="367" t="s">
        <v>313</v>
      </c>
      <c r="D21" s="367" t="s">
        <v>313</v>
      </c>
      <c r="E21" s="376">
        <f t="shared" si="21"/>
        <v>24.08</v>
      </c>
      <c r="F21" s="377">
        <f t="shared" si="22"/>
        <v>6</v>
      </c>
      <c r="G21" s="377">
        <f t="shared" si="23"/>
        <v>9.6</v>
      </c>
      <c r="H21" s="376">
        <f t="shared" si="24"/>
        <v>2.88</v>
      </c>
      <c r="I21" s="376">
        <f t="shared" si="25"/>
        <v>5.6</v>
      </c>
      <c r="J21" s="376">
        <f t="shared" si="2"/>
        <v>0.136818181818182</v>
      </c>
      <c r="K21" s="383" t="s">
        <v>165</v>
      </c>
      <c r="L21" s="384" t="str">
        <f>IF(K21="","",VLOOKUP(K21,'Định nghĩa Loại Chức năng'!$B$4:$C$92,2,FALSE))</f>
        <v>Chức năng web bao gồm UI + Service - đơn giản</v>
      </c>
      <c r="M21" s="394" t="s">
        <v>287</v>
      </c>
      <c r="N21" s="395">
        <f>IF(K21="","",VLOOKUP(K21&amp;$N$7,CSDL_CN!$D$4:$E$264,2,FALSE))</f>
        <v>7.5</v>
      </c>
      <c r="O21" s="395">
        <f>IF(K21="","",VLOOKUP(K21&amp;$O$7,CSDL_CN!$D$4:$E$264,2,FALSE))</f>
        <v>12</v>
      </c>
      <c r="P21" s="395">
        <f t="shared" si="27"/>
        <v>3.6</v>
      </c>
      <c r="Q21" s="395">
        <f>IF(K21="","",VLOOKUP(K21&amp;$Q$7,CSDL_CN!$D$4:$E$264,2,FALSE))</f>
        <v>7</v>
      </c>
      <c r="R21" s="395">
        <f t="array" ref="R21">SUM(IFERROR(N21:Q21,0))</f>
        <v>30.1</v>
      </c>
      <c r="S21" s="400">
        <v>0.2</v>
      </c>
      <c r="T21" s="400">
        <v>0.2</v>
      </c>
      <c r="U21" s="400">
        <v>0.2</v>
      </c>
      <c r="V21" s="366"/>
      <c r="W21" s="366">
        <f t="shared" si="28"/>
        <v>24.08</v>
      </c>
      <c r="X21" s="404" t="s">
        <v>288</v>
      </c>
      <c r="Y21" s="409">
        <f>E21/8/22+E22/8/22</f>
        <v>0.273636363636364</v>
      </c>
      <c r="Z21" s="410" t="s">
        <v>314</v>
      </c>
      <c r="AA21" s="411"/>
    </row>
    <row r="22" ht="45" spans="1:27">
      <c r="A22" s="366"/>
      <c r="B22" s="367"/>
      <c r="C22" s="367"/>
      <c r="D22" s="367" t="s">
        <v>315</v>
      </c>
      <c r="E22" s="376">
        <f t="shared" ref="E22:E23" si="29">SUM(F22:I22)</f>
        <v>24.08</v>
      </c>
      <c r="F22" s="377">
        <f t="shared" ref="F22:F23" si="30">N22*(1-$S22)</f>
        <v>6</v>
      </c>
      <c r="G22" s="377">
        <f t="shared" ref="G22:G23" si="31">O22*(1-$T22)</f>
        <v>9.6</v>
      </c>
      <c r="H22" s="376">
        <f t="shared" ref="H22:H23" si="32">P22*(1-$T22)</f>
        <v>2.88</v>
      </c>
      <c r="I22" s="376">
        <f t="shared" ref="I22:I23" si="33">Q22*(1-$U22)</f>
        <v>5.6</v>
      </c>
      <c r="J22" s="376">
        <f t="shared" ref="J22" si="34">E22/22/8</f>
        <v>0.136818181818182</v>
      </c>
      <c r="K22" s="383" t="s">
        <v>165</v>
      </c>
      <c r="L22" s="384" t="str">
        <f>IF(K22="","",VLOOKUP(K22,'Định nghĩa Loại Chức năng'!$B$4:$C$92,2,FALSE))</f>
        <v>Chức năng web bao gồm UI + Service - đơn giản</v>
      </c>
      <c r="M22" s="394" t="s">
        <v>287</v>
      </c>
      <c r="N22" s="395">
        <f>IF(K22="","",VLOOKUP(K22&amp;$N$7,CSDL_CN!$D$4:$E$264,2,FALSE))</f>
        <v>7.5</v>
      </c>
      <c r="O22" s="395">
        <f>IF(K22="","",VLOOKUP(K22&amp;$O$7,CSDL_CN!$D$4:$E$264,2,FALSE))</f>
        <v>12</v>
      </c>
      <c r="P22" s="395">
        <f t="shared" ref="P22:P23" si="35">IF(M22="Có",O22*30%,0)</f>
        <v>3.6</v>
      </c>
      <c r="Q22" s="395">
        <f>IF(K22="","",VLOOKUP(K22&amp;$Q$7,CSDL_CN!$D$4:$E$264,2,FALSE))</f>
        <v>7</v>
      </c>
      <c r="R22" s="395">
        <f t="array" ref="R22">SUM(IFERROR(N22:Q22,0))</f>
        <v>30.1</v>
      </c>
      <c r="S22" s="400">
        <v>0.2</v>
      </c>
      <c r="T22" s="400">
        <v>0.2</v>
      </c>
      <c r="U22" s="400">
        <v>0.2</v>
      </c>
      <c r="V22" s="366"/>
      <c r="W22" s="366">
        <f t="shared" ref="W22:W23" si="36">IF(X22="OS",E22,0)</f>
        <v>24.08</v>
      </c>
      <c r="X22" s="404" t="s">
        <v>288</v>
      </c>
      <c r="Y22" s="409"/>
      <c r="Z22" s="410" t="s">
        <v>316</v>
      </c>
      <c r="AA22" s="411"/>
    </row>
    <row r="23" ht="60" spans="1:27">
      <c r="A23" s="366">
        <v>8</v>
      </c>
      <c r="B23" s="367" t="s">
        <v>317</v>
      </c>
      <c r="C23" s="367" t="s">
        <v>318</v>
      </c>
      <c r="D23" s="367" t="s">
        <v>318</v>
      </c>
      <c r="E23" s="376">
        <f t="shared" si="29"/>
        <v>24.08</v>
      </c>
      <c r="F23" s="377">
        <f t="shared" si="30"/>
        <v>6</v>
      </c>
      <c r="G23" s="377">
        <f t="shared" si="31"/>
        <v>9.6</v>
      </c>
      <c r="H23" s="376">
        <f t="shared" si="32"/>
        <v>2.88</v>
      </c>
      <c r="I23" s="376">
        <f t="shared" si="33"/>
        <v>5.6</v>
      </c>
      <c r="J23" s="376">
        <f t="shared" si="2"/>
        <v>0.136818181818182</v>
      </c>
      <c r="K23" s="383" t="s">
        <v>165</v>
      </c>
      <c r="L23" s="384" t="str">
        <f>IF(K23="","",VLOOKUP(K23,'Định nghĩa Loại Chức năng'!$B$4:$C$92,2,FALSE))</f>
        <v>Chức năng web bao gồm UI + Service - đơn giản</v>
      </c>
      <c r="M23" s="394" t="s">
        <v>287</v>
      </c>
      <c r="N23" s="395">
        <f>IF(K23="","",VLOOKUP(K23&amp;$N$7,CSDL_CN!$D$4:$E$264,2,FALSE))</f>
        <v>7.5</v>
      </c>
      <c r="O23" s="395">
        <f>IF(K23="","",VLOOKUP(K23&amp;$O$7,CSDL_CN!$D$4:$E$264,2,FALSE))</f>
        <v>12</v>
      </c>
      <c r="P23" s="395">
        <f t="shared" si="35"/>
        <v>3.6</v>
      </c>
      <c r="Q23" s="395">
        <f>IF(K23="","",VLOOKUP(K23&amp;$Q$7,CSDL_CN!$D$4:$E$264,2,FALSE))</f>
        <v>7</v>
      </c>
      <c r="R23" s="395">
        <f t="array" ref="R23">SUM(IFERROR(N23:Q23,0))</f>
        <v>30.1</v>
      </c>
      <c r="S23" s="400">
        <v>0.2</v>
      </c>
      <c r="T23" s="400">
        <v>0.2</v>
      </c>
      <c r="U23" s="400">
        <v>0.2</v>
      </c>
      <c r="V23" s="366"/>
      <c r="W23" s="366">
        <f t="shared" si="36"/>
        <v>24.08</v>
      </c>
      <c r="X23" s="404" t="s">
        <v>288</v>
      </c>
      <c r="Y23" s="409">
        <f>E23/8/22+E24/8/22</f>
        <v>0.273636363636364</v>
      </c>
      <c r="Z23" s="410" t="s">
        <v>310</v>
      </c>
      <c r="AA23" s="411"/>
    </row>
    <row r="24" ht="60" spans="1:27">
      <c r="A24" s="366"/>
      <c r="B24" s="367"/>
      <c r="C24" s="367"/>
      <c r="D24" s="367" t="s">
        <v>319</v>
      </c>
      <c r="E24" s="376">
        <f t="shared" ref="E24:E25" si="37">SUM(F24:I24)</f>
        <v>24.08</v>
      </c>
      <c r="F24" s="377">
        <f t="shared" ref="F24:F25" si="38">N24*(1-$S24)</f>
        <v>6</v>
      </c>
      <c r="G24" s="377">
        <f t="shared" ref="G24:G25" si="39">O24*(1-$T24)</f>
        <v>9.6</v>
      </c>
      <c r="H24" s="376">
        <f t="shared" ref="H24:H25" si="40">P24*(1-$T24)</f>
        <v>2.88</v>
      </c>
      <c r="I24" s="376">
        <f t="shared" ref="I24:I25" si="41">Q24*(1-$U24)</f>
        <v>5.6</v>
      </c>
      <c r="J24" s="376">
        <f t="shared" ref="J24" si="42">E24/22/8</f>
        <v>0.136818181818182</v>
      </c>
      <c r="K24" s="383" t="s">
        <v>165</v>
      </c>
      <c r="L24" s="384" t="str">
        <f>IF(K24="","",VLOOKUP(K24,'Định nghĩa Loại Chức năng'!$B$4:$C$92,2,FALSE))</f>
        <v>Chức năng web bao gồm UI + Service - đơn giản</v>
      </c>
      <c r="M24" s="394" t="s">
        <v>287</v>
      </c>
      <c r="N24" s="395">
        <f>IF(K24="","",VLOOKUP(K24&amp;$N$7,CSDL_CN!$D$4:$E$264,2,FALSE))</f>
        <v>7.5</v>
      </c>
      <c r="O24" s="395">
        <f>IF(K24="","",VLOOKUP(K24&amp;$O$7,CSDL_CN!$D$4:$E$264,2,FALSE))</f>
        <v>12</v>
      </c>
      <c r="P24" s="395">
        <f t="shared" ref="P24:P25" si="43">IF(M24="Có",O24*30%,0)</f>
        <v>3.6</v>
      </c>
      <c r="Q24" s="395">
        <f>IF(K24="","",VLOOKUP(K24&amp;$Q$7,CSDL_CN!$D$4:$E$264,2,FALSE))</f>
        <v>7</v>
      </c>
      <c r="R24" s="395">
        <f t="array" ref="R24">SUM(IFERROR(N24:Q24,0))</f>
        <v>30.1</v>
      </c>
      <c r="S24" s="400">
        <v>0.2</v>
      </c>
      <c r="T24" s="400">
        <v>0.2</v>
      </c>
      <c r="U24" s="400">
        <v>0.2</v>
      </c>
      <c r="V24" s="366"/>
      <c r="W24" s="366">
        <f t="shared" ref="W24:W25" si="44">IF(X24="OS",E24,0)</f>
        <v>24.08</v>
      </c>
      <c r="X24" s="404" t="s">
        <v>288</v>
      </c>
      <c r="Y24" s="409"/>
      <c r="Z24" s="410" t="s">
        <v>310</v>
      </c>
      <c r="AA24" s="411"/>
    </row>
    <row r="25" ht="105" spans="1:27">
      <c r="A25" s="366">
        <v>9</v>
      </c>
      <c r="B25" s="367" t="s">
        <v>320</v>
      </c>
      <c r="C25" s="367" t="s">
        <v>321</v>
      </c>
      <c r="D25" s="367" t="s">
        <v>321</v>
      </c>
      <c r="E25" s="376">
        <f t="shared" si="37"/>
        <v>24.08</v>
      </c>
      <c r="F25" s="377">
        <f t="shared" si="38"/>
        <v>6</v>
      </c>
      <c r="G25" s="377">
        <f t="shared" si="39"/>
        <v>9.6</v>
      </c>
      <c r="H25" s="376">
        <f t="shared" si="40"/>
        <v>2.88</v>
      </c>
      <c r="I25" s="376">
        <f t="shared" si="41"/>
        <v>5.6</v>
      </c>
      <c r="J25" s="376">
        <f t="shared" si="2"/>
        <v>0.136818181818182</v>
      </c>
      <c r="K25" s="383" t="s">
        <v>165</v>
      </c>
      <c r="L25" s="384" t="str">
        <f>IF(K25="","",VLOOKUP(K25,'Định nghĩa Loại Chức năng'!$B$4:$C$92,2,FALSE))</f>
        <v>Chức năng web bao gồm UI + Service - đơn giản</v>
      </c>
      <c r="M25" s="394" t="s">
        <v>287</v>
      </c>
      <c r="N25" s="395">
        <f>IF(K25="","",VLOOKUP(K25&amp;$N$7,CSDL_CN!$D$4:$E$264,2,FALSE))</f>
        <v>7.5</v>
      </c>
      <c r="O25" s="395">
        <f>IF(K25="","",VLOOKUP(K25&amp;$O$7,CSDL_CN!$D$4:$E$264,2,FALSE))</f>
        <v>12</v>
      </c>
      <c r="P25" s="395">
        <f t="shared" si="43"/>
        <v>3.6</v>
      </c>
      <c r="Q25" s="395">
        <f>IF(K25="","",VLOOKUP(K25&amp;$Q$7,CSDL_CN!$D$4:$E$264,2,FALSE))</f>
        <v>7</v>
      </c>
      <c r="R25" s="395">
        <f t="array" ref="R25">SUM(IFERROR(N25:Q25,0))</f>
        <v>30.1</v>
      </c>
      <c r="S25" s="400">
        <v>0.2</v>
      </c>
      <c r="T25" s="400">
        <v>0.2</v>
      </c>
      <c r="U25" s="400">
        <v>0.2</v>
      </c>
      <c r="V25" s="366"/>
      <c r="W25" s="366">
        <f t="shared" si="44"/>
        <v>24.08</v>
      </c>
      <c r="X25" s="404" t="s">
        <v>288</v>
      </c>
      <c r="Y25" s="409">
        <f>E25/8/22+E26/8/22</f>
        <v>0.273636363636364</v>
      </c>
      <c r="Z25" s="410" t="s">
        <v>322</v>
      </c>
      <c r="AA25" s="411"/>
    </row>
    <row r="26" ht="105" spans="1:27">
      <c r="A26" s="366"/>
      <c r="B26" s="367"/>
      <c r="C26" s="367"/>
      <c r="D26" s="367" t="s">
        <v>323</v>
      </c>
      <c r="E26" s="376">
        <f t="shared" ref="E26:E27" si="45">SUM(F26:I26)</f>
        <v>24.08</v>
      </c>
      <c r="F26" s="377">
        <f t="shared" ref="F26:F27" si="46">N26*(1-$S26)</f>
        <v>6</v>
      </c>
      <c r="G26" s="377">
        <f t="shared" ref="G26:G27" si="47">O26*(1-$T26)</f>
        <v>9.6</v>
      </c>
      <c r="H26" s="376">
        <f t="shared" ref="H26:H27" si="48">P26*(1-$T26)</f>
        <v>2.88</v>
      </c>
      <c r="I26" s="376">
        <f t="shared" ref="I26:I27" si="49">Q26*(1-$U26)</f>
        <v>5.6</v>
      </c>
      <c r="J26" s="376">
        <f t="shared" ref="J26" si="50">E26/22/8</f>
        <v>0.136818181818182</v>
      </c>
      <c r="K26" s="383" t="s">
        <v>165</v>
      </c>
      <c r="L26" s="384" t="str">
        <f>IF(K26="","",VLOOKUP(K26,'Định nghĩa Loại Chức năng'!$B$4:$C$92,2,FALSE))</f>
        <v>Chức năng web bao gồm UI + Service - đơn giản</v>
      </c>
      <c r="M26" s="394" t="s">
        <v>287</v>
      </c>
      <c r="N26" s="395">
        <f>IF(K26="","",VLOOKUP(K26&amp;$N$7,CSDL_CN!$D$4:$E$264,2,FALSE))</f>
        <v>7.5</v>
      </c>
      <c r="O26" s="395">
        <f>IF(K26="","",VLOOKUP(K26&amp;$O$7,CSDL_CN!$D$4:$E$264,2,FALSE))</f>
        <v>12</v>
      </c>
      <c r="P26" s="395">
        <f t="shared" ref="P26:P27" si="51">IF(M26="Có",O26*30%,0)</f>
        <v>3.6</v>
      </c>
      <c r="Q26" s="395">
        <f>IF(K26="","",VLOOKUP(K26&amp;$Q$7,CSDL_CN!$D$4:$E$264,2,FALSE))</f>
        <v>7</v>
      </c>
      <c r="R26" s="395">
        <f t="array" ref="R26">SUM(IFERROR(N26:Q26,0))</f>
        <v>30.1</v>
      </c>
      <c r="S26" s="400">
        <v>0.2</v>
      </c>
      <c r="T26" s="400">
        <v>0.2</v>
      </c>
      <c r="U26" s="400">
        <v>0.2</v>
      </c>
      <c r="V26" s="366"/>
      <c r="W26" s="366">
        <f t="shared" ref="W26:W27" si="52">IF(X26="OS",E26,0)</f>
        <v>24.08</v>
      </c>
      <c r="X26" s="404" t="s">
        <v>288</v>
      </c>
      <c r="Y26" s="409"/>
      <c r="Z26" s="410" t="s">
        <v>324</v>
      </c>
      <c r="AA26" s="411"/>
    </row>
    <row r="27" ht="60" spans="1:27">
      <c r="A27" s="366">
        <v>10</v>
      </c>
      <c r="B27" s="367" t="s">
        <v>325</v>
      </c>
      <c r="C27" s="367" t="s">
        <v>230</v>
      </c>
      <c r="D27" s="367" t="s">
        <v>309</v>
      </c>
      <c r="E27" s="376">
        <f t="shared" si="45"/>
        <v>24.08</v>
      </c>
      <c r="F27" s="377">
        <f t="shared" si="46"/>
        <v>6</v>
      </c>
      <c r="G27" s="377">
        <f t="shared" si="47"/>
        <v>9.6</v>
      </c>
      <c r="H27" s="376">
        <f t="shared" si="48"/>
        <v>2.88</v>
      </c>
      <c r="I27" s="376">
        <f t="shared" si="49"/>
        <v>5.6</v>
      </c>
      <c r="J27" s="376">
        <f t="shared" si="2"/>
        <v>0.136818181818182</v>
      </c>
      <c r="K27" s="383" t="s">
        <v>165</v>
      </c>
      <c r="L27" s="384" t="str">
        <f>IF(K27="","",VLOOKUP(K27,'Định nghĩa Loại Chức năng'!$B$4:$C$92,2,FALSE))</f>
        <v>Chức năng web bao gồm UI + Service - đơn giản</v>
      </c>
      <c r="M27" s="394" t="s">
        <v>287</v>
      </c>
      <c r="N27" s="395">
        <f>IF(K27="","",VLOOKUP(K27&amp;$N$7,CSDL_CN!$D$4:$E$264,2,FALSE))</f>
        <v>7.5</v>
      </c>
      <c r="O27" s="395">
        <f>IF(K27="","",VLOOKUP(K27&amp;$O$7,CSDL_CN!$D$4:$E$264,2,FALSE))</f>
        <v>12</v>
      </c>
      <c r="P27" s="395">
        <f t="shared" si="51"/>
        <v>3.6</v>
      </c>
      <c r="Q27" s="395">
        <f>IF(K27="","",VLOOKUP(K27&amp;$Q$7,CSDL_CN!$D$4:$E$264,2,FALSE))</f>
        <v>7</v>
      </c>
      <c r="R27" s="395">
        <f t="array" ref="R27">SUM(IFERROR(N27:Q27,0))</f>
        <v>30.1</v>
      </c>
      <c r="S27" s="400">
        <v>0.2</v>
      </c>
      <c r="T27" s="400">
        <v>0.2</v>
      </c>
      <c r="U27" s="400">
        <v>0.2</v>
      </c>
      <c r="V27" s="366"/>
      <c r="W27" s="366">
        <f t="shared" si="52"/>
        <v>24.08</v>
      </c>
      <c r="X27" s="404" t="s">
        <v>288</v>
      </c>
      <c r="Y27" s="409">
        <f>E27/8/22+E28/8/22</f>
        <v>0.273636363636364</v>
      </c>
      <c r="Z27" s="410" t="s">
        <v>310</v>
      </c>
      <c r="AA27" s="411" t="s">
        <v>230</v>
      </c>
    </row>
    <row r="28" ht="60" spans="1:27">
      <c r="A28" s="366"/>
      <c r="B28" s="367"/>
      <c r="C28" s="367"/>
      <c r="D28" s="367" t="s">
        <v>311</v>
      </c>
      <c r="E28" s="376">
        <f t="shared" ref="E28:E29" si="53">SUM(F28:I28)</f>
        <v>24.08</v>
      </c>
      <c r="F28" s="377">
        <f t="shared" ref="F28:F29" si="54">N28*(1-$S28)</f>
        <v>6</v>
      </c>
      <c r="G28" s="377">
        <f t="shared" ref="G28:G29" si="55">O28*(1-$T28)</f>
        <v>9.6</v>
      </c>
      <c r="H28" s="376">
        <f t="shared" ref="H28:H29" si="56">P28*(1-$T28)</f>
        <v>2.88</v>
      </c>
      <c r="I28" s="376">
        <f t="shared" ref="I28:I29" si="57">Q28*(1-$U28)</f>
        <v>5.6</v>
      </c>
      <c r="J28" s="376">
        <f t="shared" ref="J28" si="58">E28/22/8</f>
        <v>0.136818181818182</v>
      </c>
      <c r="K28" s="383" t="s">
        <v>165</v>
      </c>
      <c r="L28" s="384" t="str">
        <f>IF(K28="","",VLOOKUP(K28,'Định nghĩa Loại Chức năng'!$B$4:$C$92,2,FALSE))</f>
        <v>Chức năng web bao gồm UI + Service - đơn giản</v>
      </c>
      <c r="M28" s="394" t="s">
        <v>287</v>
      </c>
      <c r="N28" s="395">
        <f>IF(K28="","",VLOOKUP(K28&amp;$N$7,CSDL_CN!$D$4:$E$264,2,FALSE))</f>
        <v>7.5</v>
      </c>
      <c r="O28" s="395">
        <f>IF(K28="","",VLOOKUP(K28&amp;$O$7,CSDL_CN!$D$4:$E$264,2,FALSE))</f>
        <v>12</v>
      </c>
      <c r="P28" s="395">
        <f t="shared" ref="P28:P29" si="59">IF(M28="Có",O28*30%,0)</f>
        <v>3.6</v>
      </c>
      <c r="Q28" s="395">
        <f>IF(K28="","",VLOOKUP(K28&amp;$Q$7,CSDL_CN!$D$4:$E$264,2,FALSE))</f>
        <v>7</v>
      </c>
      <c r="R28" s="395">
        <f t="array" ref="R28">SUM(IFERROR(N28:Q28,0))</f>
        <v>30.1</v>
      </c>
      <c r="S28" s="400">
        <v>0.2</v>
      </c>
      <c r="T28" s="400">
        <v>0.2</v>
      </c>
      <c r="U28" s="400">
        <v>0.2</v>
      </c>
      <c r="V28" s="366"/>
      <c r="W28" s="366">
        <f t="shared" ref="W28:W29" si="60">IF(X28="OS",E28,0)</f>
        <v>24.08</v>
      </c>
      <c r="X28" s="404" t="s">
        <v>288</v>
      </c>
      <c r="Y28" s="409"/>
      <c r="Z28" s="410" t="s">
        <v>310</v>
      </c>
      <c r="AA28" s="411"/>
    </row>
    <row r="29" ht="45" spans="1:27">
      <c r="A29" s="366">
        <v>11</v>
      </c>
      <c r="B29" s="367" t="s">
        <v>326</v>
      </c>
      <c r="C29" s="367" t="s">
        <v>313</v>
      </c>
      <c r="D29" s="367" t="s">
        <v>313</v>
      </c>
      <c r="E29" s="376">
        <f t="shared" si="53"/>
        <v>24.08</v>
      </c>
      <c r="F29" s="377">
        <f t="shared" si="54"/>
        <v>6</v>
      </c>
      <c r="G29" s="377">
        <f t="shared" si="55"/>
        <v>9.6</v>
      </c>
      <c r="H29" s="376">
        <f t="shared" si="56"/>
        <v>2.88</v>
      </c>
      <c r="I29" s="376">
        <f t="shared" si="57"/>
        <v>5.6</v>
      </c>
      <c r="J29" s="376">
        <f t="shared" si="2"/>
        <v>0.136818181818182</v>
      </c>
      <c r="K29" s="383" t="s">
        <v>165</v>
      </c>
      <c r="L29" s="384" t="str">
        <f>IF(K29="","",VLOOKUP(K29,'Định nghĩa Loại Chức năng'!$B$4:$C$92,2,FALSE))</f>
        <v>Chức năng web bao gồm UI + Service - đơn giản</v>
      </c>
      <c r="M29" s="394" t="s">
        <v>287</v>
      </c>
      <c r="N29" s="395">
        <f>IF(K29="","",VLOOKUP(K29&amp;$N$7,CSDL_CN!$D$4:$E$264,2,FALSE))</f>
        <v>7.5</v>
      </c>
      <c r="O29" s="395">
        <f>IF(K29="","",VLOOKUP(K29&amp;$O$7,CSDL_CN!$D$4:$E$264,2,FALSE))</f>
        <v>12</v>
      </c>
      <c r="P29" s="395">
        <f t="shared" si="59"/>
        <v>3.6</v>
      </c>
      <c r="Q29" s="395">
        <f>IF(K29="","",VLOOKUP(K29&amp;$Q$7,CSDL_CN!$D$4:$E$264,2,FALSE))</f>
        <v>7</v>
      </c>
      <c r="R29" s="395">
        <f t="array" ref="R29">SUM(IFERROR(N29:Q29,0))</f>
        <v>30.1</v>
      </c>
      <c r="S29" s="400">
        <v>0.2</v>
      </c>
      <c r="T29" s="400">
        <v>0.2</v>
      </c>
      <c r="U29" s="400">
        <v>0.2</v>
      </c>
      <c r="V29" s="366"/>
      <c r="W29" s="366">
        <f t="shared" si="60"/>
        <v>24.08</v>
      </c>
      <c r="X29" s="404" t="s">
        <v>288</v>
      </c>
      <c r="Y29" s="409">
        <f>E29/8/22+E30/8/22</f>
        <v>0.273636363636364</v>
      </c>
      <c r="Z29" s="410" t="s">
        <v>314</v>
      </c>
      <c r="AA29" s="411"/>
    </row>
    <row r="30" ht="45" spans="1:27">
      <c r="A30" s="366"/>
      <c r="B30" s="367"/>
      <c r="C30" s="367"/>
      <c r="D30" s="367" t="s">
        <v>315</v>
      </c>
      <c r="E30" s="376">
        <f t="shared" ref="E30:E31" si="61">SUM(F30:I30)</f>
        <v>24.08</v>
      </c>
      <c r="F30" s="377">
        <f t="shared" ref="F30:F31" si="62">N30*(1-$S30)</f>
        <v>6</v>
      </c>
      <c r="G30" s="377">
        <f t="shared" ref="G30:G31" si="63">O30*(1-$T30)</f>
        <v>9.6</v>
      </c>
      <c r="H30" s="376">
        <f t="shared" ref="H30:H31" si="64">P30*(1-$T30)</f>
        <v>2.88</v>
      </c>
      <c r="I30" s="376">
        <f t="shared" ref="I30:I31" si="65">Q30*(1-$U30)</f>
        <v>5.6</v>
      </c>
      <c r="J30" s="376">
        <f t="shared" ref="J30" si="66">E30/22/8</f>
        <v>0.136818181818182</v>
      </c>
      <c r="K30" s="383" t="s">
        <v>165</v>
      </c>
      <c r="L30" s="384" t="str">
        <f>IF(K30="","",VLOOKUP(K30,'Định nghĩa Loại Chức năng'!$B$4:$C$92,2,FALSE))</f>
        <v>Chức năng web bao gồm UI + Service - đơn giản</v>
      </c>
      <c r="M30" s="394" t="s">
        <v>287</v>
      </c>
      <c r="N30" s="395">
        <f>IF(K30="","",VLOOKUP(K30&amp;$N$7,CSDL_CN!$D$4:$E$264,2,FALSE))</f>
        <v>7.5</v>
      </c>
      <c r="O30" s="395">
        <f>IF(K30="","",VLOOKUP(K30&amp;$O$7,CSDL_CN!$D$4:$E$264,2,FALSE))</f>
        <v>12</v>
      </c>
      <c r="P30" s="395">
        <f t="shared" ref="P30:P31" si="67">IF(M30="Có",O30*30%,0)</f>
        <v>3.6</v>
      </c>
      <c r="Q30" s="395">
        <f>IF(K30="","",VLOOKUP(K30&amp;$Q$7,CSDL_CN!$D$4:$E$264,2,FALSE))</f>
        <v>7</v>
      </c>
      <c r="R30" s="395">
        <f t="array" ref="R30">SUM(IFERROR(N30:Q30,0))</f>
        <v>30.1</v>
      </c>
      <c r="S30" s="400">
        <v>0.2</v>
      </c>
      <c r="T30" s="400">
        <v>0.2</v>
      </c>
      <c r="U30" s="400">
        <v>0.2</v>
      </c>
      <c r="V30" s="366"/>
      <c r="W30" s="366">
        <f t="shared" ref="W30:W31" si="68">IF(X30="OS",E30,0)</f>
        <v>24.08</v>
      </c>
      <c r="X30" s="404" t="s">
        <v>288</v>
      </c>
      <c r="Y30" s="409"/>
      <c r="Z30" s="410" t="s">
        <v>316</v>
      </c>
      <c r="AA30" s="411"/>
    </row>
    <row r="31" ht="60" spans="1:27">
      <c r="A31" s="366">
        <v>12</v>
      </c>
      <c r="B31" s="367" t="s">
        <v>327</v>
      </c>
      <c r="C31" s="367" t="s">
        <v>318</v>
      </c>
      <c r="D31" s="367" t="s">
        <v>318</v>
      </c>
      <c r="E31" s="376">
        <f t="shared" si="61"/>
        <v>24.08</v>
      </c>
      <c r="F31" s="377">
        <f t="shared" si="62"/>
        <v>6</v>
      </c>
      <c r="G31" s="377">
        <f t="shared" si="63"/>
        <v>9.6</v>
      </c>
      <c r="H31" s="376">
        <f t="shared" si="64"/>
        <v>2.88</v>
      </c>
      <c r="I31" s="376">
        <f t="shared" si="65"/>
        <v>5.6</v>
      </c>
      <c r="J31" s="376">
        <f t="shared" si="2"/>
        <v>0.136818181818182</v>
      </c>
      <c r="K31" s="383" t="s">
        <v>165</v>
      </c>
      <c r="L31" s="384" t="str">
        <f>IF(K31="","",VLOOKUP(K31,'Định nghĩa Loại Chức năng'!$B$4:$C$92,2,FALSE))</f>
        <v>Chức năng web bao gồm UI + Service - đơn giản</v>
      </c>
      <c r="M31" s="394" t="s">
        <v>287</v>
      </c>
      <c r="N31" s="395">
        <f>IF(K31="","",VLOOKUP(K31&amp;$N$7,CSDL_CN!$D$4:$E$264,2,FALSE))</f>
        <v>7.5</v>
      </c>
      <c r="O31" s="395">
        <f>IF(K31="","",VLOOKUP(K31&amp;$O$7,CSDL_CN!$D$4:$E$264,2,FALSE))</f>
        <v>12</v>
      </c>
      <c r="P31" s="395">
        <f t="shared" si="67"/>
        <v>3.6</v>
      </c>
      <c r="Q31" s="395">
        <f>IF(K31="","",VLOOKUP(K31&amp;$Q$7,CSDL_CN!$D$4:$E$264,2,FALSE))</f>
        <v>7</v>
      </c>
      <c r="R31" s="395">
        <f t="array" ref="R31">SUM(IFERROR(N31:Q31,0))</f>
        <v>30.1</v>
      </c>
      <c r="S31" s="400">
        <v>0.2</v>
      </c>
      <c r="T31" s="400">
        <v>0.2</v>
      </c>
      <c r="U31" s="400">
        <v>0.2</v>
      </c>
      <c r="V31" s="366"/>
      <c r="W31" s="366">
        <f t="shared" si="68"/>
        <v>24.08</v>
      </c>
      <c r="X31" s="404" t="s">
        <v>288</v>
      </c>
      <c r="Y31" s="409">
        <f>E31/8/22+E32/8/22</f>
        <v>0.273636363636364</v>
      </c>
      <c r="Z31" s="410" t="s">
        <v>310</v>
      </c>
      <c r="AA31" s="411"/>
    </row>
    <row r="32" ht="60" spans="1:27">
      <c r="A32" s="366"/>
      <c r="B32" s="367"/>
      <c r="C32" s="367"/>
      <c r="D32" s="367" t="s">
        <v>319</v>
      </c>
      <c r="E32" s="376">
        <f t="shared" ref="E32:E33" si="69">SUM(F32:I32)</f>
        <v>24.08</v>
      </c>
      <c r="F32" s="377">
        <f t="shared" ref="F32:F33" si="70">N32*(1-$S32)</f>
        <v>6</v>
      </c>
      <c r="G32" s="377">
        <f t="shared" ref="G32:G33" si="71">O32*(1-$T32)</f>
        <v>9.6</v>
      </c>
      <c r="H32" s="376">
        <f t="shared" ref="H32:H33" si="72">P32*(1-$T32)</f>
        <v>2.88</v>
      </c>
      <c r="I32" s="376">
        <f t="shared" ref="I32:I33" si="73">Q32*(1-$U32)</f>
        <v>5.6</v>
      </c>
      <c r="J32" s="376">
        <f t="shared" ref="J32" si="74">E32/22/8</f>
        <v>0.136818181818182</v>
      </c>
      <c r="K32" s="383" t="s">
        <v>165</v>
      </c>
      <c r="L32" s="384" t="str">
        <f>IF(K32="","",VLOOKUP(K32,'Định nghĩa Loại Chức năng'!$B$4:$C$92,2,FALSE))</f>
        <v>Chức năng web bao gồm UI + Service - đơn giản</v>
      </c>
      <c r="M32" s="394" t="s">
        <v>287</v>
      </c>
      <c r="N32" s="395">
        <f>IF(K32="","",VLOOKUP(K32&amp;$N$7,CSDL_CN!$D$4:$E$264,2,FALSE))</f>
        <v>7.5</v>
      </c>
      <c r="O32" s="395">
        <f>IF(K32="","",VLOOKUP(K32&amp;$O$7,CSDL_CN!$D$4:$E$264,2,FALSE))</f>
        <v>12</v>
      </c>
      <c r="P32" s="395">
        <f t="shared" ref="P32:P33" si="75">IF(M32="Có",O32*30%,0)</f>
        <v>3.6</v>
      </c>
      <c r="Q32" s="395">
        <f>IF(K32="","",VLOOKUP(K32&amp;$Q$7,CSDL_CN!$D$4:$E$264,2,FALSE))</f>
        <v>7</v>
      </c>
      <c r="R32" s="395">
        <f t="array" ref="R32">SUM(IFERROR(N32:Q32,0))</f>
        <v>30.1</v>
      </c>
      <c r="S32" s="400">
        <v>0.2</v>
      </c>
      <c r="T32" s="400">
        <v>0.2</v>
      </c>
      <c r="U32" s="400">
        <v>0.2</v>
      </c>
      <c r="V32" s="366"/>
      <c r="W32" s="366">
        <f t="shared" ref="W32:W33" si="76">IF(X32="OS",E32,0)</f>
        <v>24.08</v>
      </c>
      <c r="X32" s="404" t="s">
        <v>288</v>
      </c>
      <c r="Y32" s="409"/>
      <c r="Z32" s="410" t="s">
        <v>310</v>
      </c>
      <c r="AA32" s="411"/>
    </row>
    <row r="33" ht="45" spans="1:27">
      <c r="A33" s="366">
        <v>13</v>
      </c>
      <c r="B33" s="367" t="s">
        <v>328</v>
      </c>
      <c r="C33" s="367" t="s">
        <v>329</v>
      </c>
      <c r="D33" s="367" t="s">
        <v>329</v>
      </c>
      <c r="E33" s="376">
        <f t="shared" si="69"/>
        <v>24.08</v>
      </c>
      <c r="F33" s="377">
        <f t="shared" si="70"/>
        <v>6</v>
      </c>
      <c r="G33" s="377">
        <f t="shared" si="71"/>
        <v>9.6</v>
      </c>
      <c r="H33" s="376">
        <f t="shared" si="72"/>
        <v>2.88</v>
      </c>
      <c r="I33" s="376">
        <f t="shared" si="73"/>
        <v>5.6</v>
      </c>
      <c r="J33" s="376">
        <f t="shared" si="2"/>
        <v>0.136818181818182</v>
      </c>
      <c r="K33" s="383" t="s">
        <v>165</v>
      </c>
      <c r="L33" s="384" t="str">
        <f>IF(K33="","",VLOOKUP(K33,'Định nghĩa Loại Chức năng'!$B$4:$C$92,2,FALSE))</f>
        <v>Chức năng web bao gồm UI + Service - đơn giản</v>
      </c>
      <c r="M33" s="394" t="s">
        <v>287</v>
      </c>
      <c r="N33" s="395">
        <f>IF(K33="","",VLOOKUP(K33&amp;$N$7,CSDL_CN!$D$4:$E$264,2,FALSE))</f>
        <v>7.5</v>
      </c>
      <c r="O33" s="395">
        <f>IF(K33="","",VLOOKUP(K33&amp;$O$7,CSDL_CN!$D$4:$E$264,2,FALSE))</f>
        <v>12</v>
      </c>
      <c r="P33" s="395">
        <f t="shared" si="75"/>
        <v>3.6</v>
      </c>
      <c r="Q33" s="395">
        <f>IF(K33="","",VLOOKUP(K33&amp;$Q$7,CSDL_CN!$D$4:$E$264,2,FALSE))</f>
        <v>7</v>
      </c>
      <c r="R33" s="395">
        <f t="array" ref="R33">SUM(IFERROR(N33:Q33,0))</f>
        <v>30.1</v>
      </c>
      <c r="S33" s="400">
        <v>0.2</v>
      </c>
      <c r="T33" s="400">
        <v>0.2</v>
      </c>
      <c r="U33" s="400">
        <v>0.2</v>
      </c>
      <c r="V33" s="366"/>
      <c r="W33" s="366">
        <f t="shared" si="76"/>
        <v>24.08</v>
      </c>
      <c r="X33" s="404" t="s">
        <v>288</v>
      </c>
      <c r="Y33" s="409">
        <f>E33/8/22+E34/8/22</f>
        <v>0.273636363636364</v>
      </c>
      <c r="Z33" s="410" t="s">
        <v>306</v>
      </c>
      <c r="AA33" s="411"/>
    </row>
    <row r="34" ht="45" spans="1:27">
      <c r="A34" s="366"/>
      <c r="B34" s="367"/>
      <c r="C34" s="367"/>
      <c r="D34" s="367" t="s">
        <v>330</v>
      </c>
      <c r="E34" s="376">
        <f t="shared" ref="E34:E35" si="77">SUM(F34:I34)</f>
        <v>24.08</v>
      </c>
      <c r="F34" s="377">
        <f t="shared" ref="F34:F35" si="78">N34*(1-$S34)</f>
        <v>6</v>
      </c>
      <c r="G34" s="377">
        <f t="shared" ref="G34:G35" si="79">O34*(1-$T34)</f>
        <v>9.6</v>
      </c>
      <c r="H34" s="376">
        <f t="shared" ref="H34:H35" si="80">P34*(1-$T34)</f>
        <v>2.88</v>
      </c>
      <c r="I34" s="376">
        <f t="shared" ref="I34:I35" si="81">Q34*(1-$U34)</f>
        <v>5.6</v>
      </c>
      <c r="J34" s="376">
        <f t="shared" ref="J34" si="82">E34/22/8</f>
        <v>0.136818181818182</v>
      </c>
      <c r="K34" s="383" t="s">
        <v>165</v>
      </c>
      <c r="L34" s="384" t="str">
        <f>IF(K34="","",VLOOKUP(K34,'Định nghĩa Loại Chức năng'!$B$4:$C$92,2,FALSE))</f>
        <v>Chức năng web bao gồm UI + Service - đơn giản</v>
      </c>
      <c r="M34" s="394" t="s">
        <v>287</v>
      </c>
      <c r="N34" s="395">
        <f>IF(K34="","",VLOOKUP(K34&amp;$N$7,CSDL_CN!$D$4:$E$264,2,FALSE))</f>
        <v>7.5</v>
      </c>
      <c r="O34" s="395">
        <f>IF(K34="","",VLOOKUP(K34&amp;$O$7,CSDL_CN!$D$4:$E$264,2,FALSE))</f>
        <v>12</v>
      </c>
      <c r="P34" s="395">
        <f t="shared" ref="P34:P35" si="83">IF(M34="Có",O34*30%,0)</f>
        <v>3.6</v>
      </c>
      <c r="Q34" s="395">
        <f>IF(K34="","",VLOOKUP(K34&amp;$Q$7,CSDL_CN!$D$4:$E$264,2,FALSE))</f>
        <v>7</v>
      </c>
      <c r="R34" s="395">
        <f t="array" ref="R34">SUM(IFERROR(N34:Q34,0))</f>
        <v>30.1</v>
      </c>
      <c r="S34" s="400">
        <v>0.2</v>
      </c>
      <c r="T34" s="400">
        <v>0.2</v>
      </c>
      <c r="U34" s="400">
        <v>0.2</v>
      </c>
      <c r="V34" s="366"/>
      <c r="W34" s="366">
        <f t="shared" ref="W34:W35" si="84">IF(X34="OS",E34,0)</f>
        <v>24.08</v>
      </c>
      <c r="X34" s="404" t="s">
        <v>288</v>
      </c>
      <c r="Y34" s="409"/>
      <c r="Z34" s="410" t="s">
        <v>306</v>
      </c>
      <c r="AA34" s="411"/>
    </row>
    <row r="35" ht="90" spans="1:27">
      <c r="A35" s="366">
        <v>14</v>
      </c>
      <c r="B35" s="367" t="s">
        <v>331</v>
      </c>
      <c r="C35" s="367" t="s">
        <v>232</v>
      </c>
      <c r="D35" s="367" t="s">
        <v>332</v>
      </c>
      <c r="E35" s="376">
        <f t="shared" si="77"/>
        <v>24.08</v>
      </c>
      <c r="F35" s="377">
        <f t="shared" si="78"/>
        <v>6</v>
      </c>
      <c r="G35" s="377">
        <f t="shared" si="79"/>
        <v>9.6</v>
      </c>
      <c r="H35" s="376">
        <f t="shared" si="80"/>
        <v>2.88</v>
      </c>
      <c r="I35" s="376">
        <f t="shared" si="81"/>
        <v>5.6</v>
      </c>
      <c r="J35" s="376">
        <f t="shared" si="2"/>
        <v>0.136818181818182</v>
      </c>
      <c r="K35" s="383" t="s">
        <v>165</v>
      </c>
      <c r="L35" s="384" t="str">
        <f>IF(K35="","",VLOOKUP(K35,'Định nghĩa Loại Chức năng'!$B$4:$C$92,2,FALSE))</f>
        <v>Chức năng web bao gồm UI + Service - đơn giản</v>
      </c>
      <c r="M35" s="394" t="s">
        <v>287</v>
      </c>
      <c r="N35" s="395">
        <f>IF(K35="","",VLOOKUP(K35&amp;$N$7,CSDL_CN!$D$4:$E$264,2,FALSE))</f>
        <v>7.5</v>
      </c>
      <c r="O35" s="395">
        <f>IF(K35="","",VLOOKUP(K35&amp;$O$7,CSDL_CN!$D$4:$E$264,2,FALSE))</f>
        <v>12</v>
      </c>
      <c r="P35" s="395">
        <f t="shared" si="83"/>
        <v>3.6</v>
      </c>
      <c r="Q35" s="395">
        <f>IF(K35="","",VLOOKUP(K35&amp;$Q$7,CSDL_CN!$D$4:$E$264,2,FALSE))</f>
        <v>7</v>
      </c>
      <c r="R35" s="395">
        <f t="array" ref="R35">SUM(IFERROR(N35:Q35,0))</f>
        <v>30.1</v>
      </c>
      <c r="S35" s="400">
        <v>0.2</v>
      </c>
      <c r="T35" s="400">
        <v>0.2</v>
      </c>
      <c r="U35" s="400">
        <v>0.2</v>
      </c>
      <c r="V35" s="366"/>
      <c r="W35" s="366">
        <f t="shared" si="84"/>
        <v>24.08</v>
      </c>
      <c r="X35" s="404" t="s">
        <v>288</v>
      </c>
      <c r="Y35" s="409">
        <f>E35/8/22+E36/8/22</f>
        <v>0.273636363636364</v>
      </c>
      <c r="Z35" s="410" t="s">
        <v>333</v>
      </c>
      <c r="AA35" s="411" t="s">
        <v>334</v>
      </c>
    </row>
    <row r="36" ht="90" spans="1:27">
      <c r="A36" s="366"/>
      <c r="B36" s="367"/>
      <c r="C36" s="367"/>
      <c r="D36" s="367" t="s">
        <v>335</v>
      </c>
      <c r="E36" s="376">
        <f t="shared" ref="E36:E37" si="85">SUM(F36:I36)</f>
        <v>24.08</v>
      </c>
      <c r="F36" s="377">
        <f t="shared" ref="F36:F37" si="86">N36*(1-$S36)</f>
        <v>6</v>
      </c>
      <c r="G36" s="377">
        <f t="shared" ref="G36:G37" si="87">O36*(1-$T36)</f>
        <v>9.6</v>
      </c>
      <c r="H36" s="376">
        <f t="shared" ref="H36:H37" si="88">P36*(1-$T36)</f>
        <v>2.88</v>
      </c>
      <c r="I36" s="376">
        <f t="shared" ref="I36:I37" si="89">Q36*(1-$U36)</f>
        <v>5.6</v>
      </c>
      <c r="J36" s="376">
        <f t="shared" ref="J36" si="90">E36/22/8</f>
        <v>0.136818181818182</v>
      </c>
      <c r="K36" s="383" t="s">
        <v>165</v>
      </c>
      <c r="L36" s="384" t="str">
        <f>IF(K36="","",VLOOKUP(K36,'Định nghĩa Loại Chức năng'!$B$4:$C$92,2,FALSE))</f>
        <v>Chức năng web bao gồm UI + Service - đơn giản</v>
      </c>
      <c r="M36" s="394" t="s">
        <v>287</v>
      </c>
      <c r="N36" s="395">
        <f>IF(K36="","",VLOOKUP(K36&amp;$N$7,CSDL_CN!$D$4:$E$264,2,FALSE))</f>
        <v>7.5</v>
      </c>
      <c r="O36" s="395">
        <f>IF(K36="","",VLOOKUP(K36&amp;$O$7,CSDL_CN!$D$4:$E$264,2,FALSE))</f>
        <v>12</v>
      </c>
      <c r="P36" s="395">
        <f t="shared" ref="P36:P37" si="91">IF(M36="Có",O36*30%,0)</f>
        <v>3.6</v>
      </c>
      <c r="Q36" s="395">
        <f>IF(K36="","",VLOOKUP(K36&amp;$Q$7,CSDL_CN!$D$4:$E$264,2,FALSE))</f>
        <v>7</v>
      </c>
      <c r="R36" s="395">
        <f t="array" ref="R36">SUM(IFERROR(N36:Q36,0))</f>
        <v>30.1</v>
      </c>
      <c r="S36" s="400">
        <v>0.2</v>
      </c>
      <c r="T36" s="400">
        <v>0.2</v>
      </c>
      <c r="U36" s="400">
        <v>0.2</v>
      </c>
      <c r="V36" s="366"/>
      <c r="W36" s="366">
        <f t="shared" ref="W36:W37" si="92">IF(X36="OS",E36,0)</f>
        <v>24.08</v>
      </c>
      <c r="X36" s="404" t="s">
        <v>288</v>
      </c>
      <c r="Y36" s="409"/>
      <c r="Z36" s="410" t="s">
        <v>333</v>
      </c>
      <c r="AA36" s="411"/>
    </row>
    <row r="37" ht="45" spans="1:27">
      <c r="A37" s="366">
        <v>15</v>
      </c>
      <c r="B37" s="367" t="s">
        <v>336</v>
      </c>
      <c r="C37" s="367" t="s">
        <v>337</v>
      </c>
      <c r="D37" s="367" t="s">
        <v>337</v>
      </c>
      <c r="E37" s="376">
        <f t="shared" si="85"/>
        <v>24.08</v>
      </c>
      <c r="F37" s="377">
        <f t="shared" si="86"/>
        <v>6</v>
      </c>
      <c r="G37" s="377">
        <f t="shared" si="87"/>
        <v>9.6</v>
      </c>
      <c r="H37" s="376">
        <f t="shared" si="88"/>
        <v>2.88</v>
      </c>
      <c r="I37" s="376">
        <f t="shared" si="89"/>
        <v>5.6</v>
      </c>
      <c r="J37" s="376">
        <f t="shared" si="2"/>
        <v>0.136818181818182</v>
      </c>
      <c r="K37" s="383" t="s">
        <v>165</v>
      </c>
      <c r="L37" s="384" t="str">
        <f>IF(K37="","",VLOOKUP(K37,'Định nghĩa Loại Chức năng'!$B$4:$C$92,2,FALSE))</f>
        <v>Chức năng web bao gồm UI + Service - đơn giản</v>
      </c>
      <c r="M37" s="394" t="s">
        <v>287</v>
      </c>
      <c r="N37" s="395">
        <f>IF(K37="","",VLOOKUP(K37&amp;$N$7,CSDL_CN!$D$4:$E$264,2,FALSE))</f>
        <v>7.5</v>
      </c>
      <c r="O37" s="395">
        <f>IF(K37="","",VLOOKUP(K37&amp;$O$7,CSDL_CN!$D$4:$E$264,2,FALSE))</f>
        <v>12</v>
      </c>
      <c r="P37" s="395">
        <f t="shared" si="91"/>
        <v>3.6</v>
      </c>
      <c r="Q37" s="395">
        <f>IF(K37="","",VLOOKUP(K37&amp;$Q$7,CSDL_CN!$D$4:$E$264,2,FALSE))</f>
        <v>7</v>
      </c>
      <c r="R37" s="395">
        <f t="array" ref="R37">SUM(IFERROR(N37:Q37,0))</f>
        <v>30.1</v>
      </c>
      <c r="S37" s="400">
        <v>0.2</v>
      </c>
      <c r="T37" s="400">
        <v>0.2</v>
      </c>
      <c r="U37" s="400">
        <v>0.2</v>
      </c>
      <c r="V37" s="366"/>
      <c r="W37" s="366">
        <f t="shared" si="92"/>
        <v>24.08</v>
      </c>
      <c r="X37" s="404" t="s">
        <v>288</v>
      </c>
      <c r="Y37" s="409">
        <f>E37/8/22+E38/8/22</f>
        <v>0.273636363636364</v>
      </c>
      <c r="Z37" s="410" t="s">
        <v>338</v>
      </c>
      <c r="AA37" s="411"/>
    </row>
    <row r="38" ht="45" spans="1:27">
      <c r="A38" s="366"/>
      <c r="B38" s="367"/>
      <c r="C38" s="367"/>
      <c r="D38" s="367" t="s">
        <v>339</v>
      </c>
      <c r="E38" s="376">
        <f t="shared" ref="E38:E39" si="93">SUM(F38:I38)</f>
        <v>24.08</v>
      </c>
      <c r="F38" s="377">
        <f t="shared" ref="F38:F39" si="94">N38*(1-$S38)</f>
        <v>6</v>
      </c>
      <c r="G38" s="377">
        <f t="shared" ref="G38:G39" si="95">O38*(1-$T38)</f>
        <v>9.6</v>
      </c>
      <c r="H38" s="376">
        <f t="shared" ref="H38:H39" si="96">P38*(1-$T38)</f>
        <v>2.88</v>
      </c>
      <c r="I38" s="376">
        <f t="shared" ref="I38:I39" si="97">Q38*(1-$U38)</f>
        <v>5.6</v>
      </c>
      <c r="J38" s="376">
        <f t="shared" ref="J38" si="98">E38/22/8</f>
        <v>0.136818181818182</v>
      </c>
      <c r="K38" s="383" t="s">
        <v>165</v>
      </c>
      <c r="L38" s="384" t="str">
        <f>IF(K38="","",VLOOKUP(K38,'Định nghĩa Loại Chức năng'!$B$4:$C$92,2,FALSE))</f>
        <v>Chức năng web bao gồm UI + Service - đơn giản</v>
      </c>
      <c r="M38" s="394" t="s">
        <v>287</v>
      </c>
      <c r="N38" s="395">
        <f>IF(K38="","",VLOOKUP(K38&amp;$N$7,CSDL_CN!$D$4:$E$264,2,FALSE))</f>
        <v>7.5</v>
      </c>
      <c r="O38" s="395">
        <f>IF(K38="","",VLOOKUP(K38&amp;$O$7,CSDL_CN!$D$4:$E$264,2,FALSE))</f>
        <v>12</v>
      </c>
      <c r="P38" s="395">
        <f t="shared" ref="P38:P39" si="99">IF(M38="Có",O38*30%,0)</f>
        <v>3.6</v>
      </c>
      <c r="Q38" s="395">
        <f>IF(K38="","",VLOOKUP(K38&amp;$Q$7,CSDL_CN!$D$4:$E$264,2,FALSE))</f>
        <v>7</v>
      </c>
      <c r="R38" s="395">
        <f t="array" ref="R38">SUM(IFERROR(N38:Q38,0))</f>
        <v>30.1</v>
      </c>
      <c r="S38" s="400">
        <v>0.2</v>
      </c>
      <c r="T38" s="400">
        <v>0.2</v>
      </c>
      <c r="U38" s="400">
        <v>0.2</v>
      </c>
      <c r="V38" s="366"/>
      <c r="W38" s="366">
        <f t="shared" ref="W38:W39" si="100">IF(X38="OS",E38,0)</f>
        <v>24.08</v>
      </c>
      <c r="X38" s="404" t="s">
        <v>288</v>
      </c>
      <c r="Y38" s="409"/>
      <c r="Z38" s="410" t="s">
        <v>340</v>
      </c>
      <c r="AA38" s="411"/>
    </row>
    <row r="39" ht="90" spans="1:27">
      <c r="A39" s="366">
        <v>16</v>
      </c>
      <c r="B39" s="367" t="s">
        <v>341</v>
      </c>
      <c r="C39" s="367" t="s">
        <v>342</v>
      </c>
      <c r="D39" s="367" t="s">
        <v>342</v>
      </c>
      <c r="E39" s="376">
        <f t="shared" si="93"/>
        <v>24.08</v>
      </c>
      <c r="F39" s="377">
        <f t="shared" si="94"/>
        <v>6</v>
      </c>
      <c r="G39" s="377">
        <f t="shared" si="95"/>
        <v>9.6</v>
      </c>
      <c r="H39" s="376">
        <f t="shared" si="96"/>
        <v>2.88</v>
      </c>
      <c r="I39" s="376">
        <f t="shared" si="97"/>
        <v>5.6</v>
      </c>
      <c r="J39" s="376">
        <f t="shared" si="2"/>
        <v>0.136818181818182</v>
      </c>
      <c r="K39" s="383" t="s">
        <v>165</v>
      </c>
      <c r="L39" s="384" t="str">
        <f>IF(K39="","",VLOOKUP(K39,'Định nghĩa Loại Chức năng'!$B$4:$C$92,2,FALSE))</f>
        <v>Chức năng web bao gồm UI + Service - đơn giản</v>
      </c>
      <c r="M39" s="394" t="s">
        <v>287</v>
      </c>
      <c r="N39" s="395">
        <f>IF(K39="","",VLOOKUP(K39&amp;$N$7,CSDL_CN!$D$4:$E$264,2,FALSE))</f>
        <v>7.5</v>
      </c>
      <c r="O39" s="395">
        <f>IF(K39="","",VLOOKUP(K39&amp;$O$7,CSDL_CN!$D$4:$E$264,2,FALSE))</f>
        <v>12</v>
      </c>
      <c r="P39" s="395">
        <f t="shared" si="99"/>
        <v>3.6</v>
      </c>
      <c r="Q39" s="395">
        <f>IF(K39="","",VLOOKUP(K39&amp;$Q$7,CSDL_CN!$D$4:$E$264,2,FALSE))</f>
        <v>7</v>
      </c>
      <c r="R39" s="395">
        <f t="array" ref="R39">SUM(IFERROR(N39:Q39,0))</f>
        <v>30.1</v>
      </c>
      <c r="S39" s="400">
        <v>0.2</v>
      </c>
      <c r="T39" s="400">
        <v>0.2</v>
      </c>
      <c r="U39" s="400">
        <v>0.2</v>
      </c>
      <c r="V39" s="366"/>
      <c r="W39" s="366">
        <f t="shared" si="100"/>
        <v>24.08</v>
      </c>
      <c r="X39" s="404" t="s">
        <v>288</v>
      </c>
      <c r="Y39" s="409">
        <f>E39/8/22+E40/8/22</f>
        <v>0.273636363636364</v>
      </c>
      <c r="Z39" s="410" t="s">
        <v>333</v>
      </c>
      <c r="AA39" s="411"/>
    </row>
    <row r="40" ht="90" spans="1:27">
      <c r="A40" s="366"/>
      <c r="B40" s="367"/>
      <c r="C40" s="367"/>
      <c r="D40" s="367" t="s">
        <v>335</v>
      </c>
      <c r="E40" s="376">
        <f t="shared" ref="E40:E41" si="101">SUM(F40:I40)</f>
        <v>24.08</v>
      </c>
      <c r="F40" s="377">
        <f t="shared" ref="F40:F41" si="102">N40*(1-$S40)</f>
        <v>6</v>
      </c>
      <c r="G40" s="377">
        <f t="shared" ref="G40:G41" si="103">O40*(1-$T40)</f>
        <v>9.6</v>
      </c>
      <c r="H40" s="376">
        <f t="shared" ref="H40:H41" si="104">P40*(1-$T40)</f>
        <v>2.88</v>
      </c>
      <c r="I40" s="376">
        <f t="shared" ref="I40:I41" si="105">Q40*(1-$U40)</f>
        <v>5.6</v>
      </c>
      <c r="J40" s="376">
        <f t="shared" ref="J40" si="106">E40/22/8</f>
        <v>0.136818181818182</v>
      </c>
      <c r="K40" s="383" t="s">
        <v>165</v>
      </c>
      <c r="L40" s="384" t="str">
        <f>IF(K40="","",VLOOKUP(K40,'Định nghĩa Loại Chức năng'!$B$4:$C$92,2,FALSE))</f>
        <v>Chức năng web bao gồm UI + Service - đơn giản</v>
      </c>
      <c r="M40" s="394" t="s">
        <v>287</v>
      </c>
      <c r="N40" s="395">
        <f>IF(K40="","",VLOOKUP(K40&amp;$N$7,CSDL_CN!$D$4:$E$264,2,FALSE))</f>
        <v>7.5</v>
      </c>
      <c r="O40" s="395">
        <f>IF(K40="","",VLOOKUP(K40&amp;$O$7,CSDL_CN!$D$4:$E$264,2,FALSE))</f>
        <v>12</v>
      </c>
      <c r="P40" s="395">
        <f t="shared" ref="P40:P41" si="107">IF(M40="Có",O40*30%,0)</f>
        <v>3.6</v>
      </c>
      <c r="Q40" s="395">
        <f>IF(K40="","",VLOOKUP(K40&amp;$Q$7,CSDL_CN!$D$4:$E$264,2,FALSE))</f>
        <v>7</v>
      </c>
      <c r="R40" s="395">
        <f t="array" ref="R40">SUM(IFERROR(N40:Q40,0))</f>
        <v>30.1</v>
      </c>
      <c r="S40" s="400">
        <v>0.2</v>
      </c>
      <c r="T40" s="400">
        <v>0.2</v>
      </c>
      <c r="U40" s="400">
        <v>0.2</v>
      </c>
      <c r="V40" s="366"/>
      <c r="W40" s="366">
        <f t="shared" ref="W40:W41" si="108">IF(X40="OS",E40,0)</f>
        <v>24.08</v>
      </c>
      <c r="X40" s="404" t="s">
        <v>288</v>
      </c>
      <c r="Y40" s="409"/>
      <c r="Z40" s="410" t="s">
        <v>343</v>
      </c>
      <c r="AA40" s="411"/>
    </row>
    <row r="41" ht="45" spans="1:27">
      <c r="A41" s="366">
        <v>17</v>
      </c>
      <c r="B41" s="367" t="s">
        <v>344</v>
      </c>
      <c r="C41" s="367" t="s">
        <v>345</v>
      </c>
      <c r="D41" s="367" t="s">
        <v>345</v>
      </c>
      <c r="E41" s="376">
        <f t="shared" si="101"/>
        <v>24.08</v>
      </c>
      <c r="F41" s="377">
        <f t="shared" si="102"/>
        <v>6</v>
      </c>
      <c r="G41" s="377">
        <f t="shared" si="103"/>
        <v>9.6</v>
      </c>
      <c r="H41" s="376">
        <f t="shared" si="104"/>
        <v>2.88</v>
      </c>
      <c r="I41" s="376">
        <f t="shared" si="105"/>
        <v>5.6</v>
      </c>
      <c r="J41" s="376">
        <f t="shared" si="2"/>
        <v>0.136818181818182</v>
      </c>
      <c r="K41" s="383" t="s">
        <v>165</v>
      </c>
      <c r="L41" s="384" t="str">
        <f>IF(K41="","",VLOOKUP(K41,'Định nghĩa Loại Chức năng'!$B$4:$C$92,2,FALSE))</f>
        <v>Chức năng web bao gồm UI + Service - đơn giản</v>
      </c>
      <c r="M41" s="394" t="s">
        <v>287</v>
      </c>
      <c r="N41" s="395">
        <f>IF(K41="","",VLOOKUP(K41&amp;$N$7,CSDL_CN!$D$4:$E$264,2,FALSE))</f>
        <v>7.5</v>
      </c>
      <c r="O41" s="395">
        <f>IF(K41="","",VLOOKUP(K41&amp;$O$7,CSDL_CN!$D$4:$E$264,2,FALSE))</f>
        <v>12</v>
      </c>
      <c r="P41" s="395">
        <f t="shared" si="107"/>
        <v>3.6</v>
      </c>
      <c r="Q41" s="395">
        <f>IF(K41="","",VLOOKUP(K41&amp;$Q$7,CSDL_CN!$D$4:$E$264,2,FALSE))</f>
        <v>7</v>
      </c>
      <c r="R41" s="395">
        <f t="array" ref="R41">SUM(IFERROR(N41:Q41,0))</f>
        <v>30.1</v>
      </c>
      <c r="S41" s="400">
        <v>0.2</v>
      </c>
      <c r="T41" s="400">
        <v>0.2</v>
      </c>
      <c r="U41" s="400">
        <v>0.2</v>
      </c>
      <c r="V41" s="366"/>
      <c r="W41" s="366">
        <f t="shared" si="108"/>
        <v>24.08</v>
      </c>
      <c r="X41" s="404" t="s">
        <v>288</v>
      </c>
      <c r="Y41" s="409">
        <f>E41/8/22+E42/8/22</f>
        <v>0.273636363636364</v>
      </c>
      <c r="Z41" s="410" t="s">
        <v>346</v>
      </c>
      <c r="AA41" s="411"/>
    </row>
    <row r="42" ht="45" spans="1:27">
      <c r="A42" s="366"/>
      <c r="B42" s="367"/>
      <c r="C42" s="367"/>
      <c r="D42" s="367" t="s">
        <v>347</v>
      </c>
      <c r="E42" s="376">
        <f t="shared" ref="E42:E43" si="109">SUM(F42:I42)</f>
        <v>24.08</v>
      </c>
      <c r="F42" s="377">
        <f t="shared" ref="F42:F43" si="110">N42*(1-$S42)</f>
        <v>6</v>
      </c>
      <c r="G42" s="377">
        <f t="shared" ref="G42:G43" si="111">O42*(1-$T42)</f>
        <v>9.6</v>
      </c>
      <c r="H42" s="376">
        <f t="shared" ref="H42:H43" si="112">P42*(1-$T42)</f>
        <v>2.88</v>
      </c>
      <c r="I42" s="376">
        <f t="shared" ref="I42:I43" si="113">Q42*(1-$U42)</f>
        <v>5.6</v>
      </c>
      <c r="J42" s="376">
        <f t="shared" ref="J42" si="114">E42/22/8</f>
        <v>0.136818181818182</v>
      </c>
      <c r="K42" s="383" t="s">
        <v>165</v>
      </c>
      <c r="L42" s="384" t="str">
        <f>IF(K42="","",VLOOKUP(K42,'Định nghĩa Loại Chức năng'!$B$4:$C$92,2,FALSE))</f>
        <v>Chức năng web bao gồm UI + Service - đơn giản</v>
      </c>
      <c r="M42" s="394" t="s">
        <v>287</v>
      </c>
      <c r="N42" s="395">
        <f>IF(K42="","",VLOOKUP(K42&amp;$N$7,CSDL_CN!$D$4:$E$264,2,FALSE))</f>
        <v>7.5</v>
      </c>
      <c r="O42" s="395">
        <f>IF(K42="","",VLOOKUP(K42&amp;$O$7,CSDL_CN!$D$4:$E$264,2,FALSE))</f>
        <v>12</v>
      </c>
      <c r="P42" s="395">
        <f t="shared" ref="P42:P43" si="115">IF(M42="Có",O42*30%,0)</f>
        <v>3.6</v>
      </c>
      <c r="Q42" s="395">
        <f>IF(K42="","",VLOOKUP(K42&amp;$Q$7,CSDL_CN!$D$4:$E$264,2,FALSE))</f>
        <v>7</v>
      </c>
      <c r="R42" s="395">
        <f t="array" ref="R42">SUM(IFERROR(N42:Q42,0))</f>
        <v>30.1</v>
      </c>
      <c r="S42" s="400">
        <v>0.2</v>
      </c>
      <c r="T42" s="400">
        <v>0.2</v>
      </c>
      <c r="U42" s="400">
        <v>0.2</v>
      </c>
      <c r="V42" s="366"/>
      <c r="W42" s="366">
        <f t="shared" ref="W42:W43" si="116">IF(X42="OS",E42,0)</f>
        <v>24.08</v>
      </c>
      <c r="X42" s="404" t="s">
        <v>288</v>
      </c>
      <c r="Y42" s="409"/>
      <c r="Z42" s="410" t="s">
        <v>346</v>
      </c>
      <c r="AA42" s="411"/>
    </row>
    <row r="43" ht="75" spans="1:27">
      <c r="A43" s="366">
        <v>18</v>
      </c>
      <c r="B43" s="367" t="s">
        <v>348</v>
      </c>
      <c r="C43" s="367" t="s">
        <v>234</v>
      </c>
      <c r="D43" s="367" t="s">
        <v>349</v>
      </c>
      <c r="E43" s="376">
        <f t="shared" si="109"/>
        <v>24.08</v>
      </c>
      <c r="F43" s="377">
        <f t="shared" si="110"/>
        <v>6</v>
      </c>
      <c r="G43" s="377">
        <f t="shared" si="111"/>
        <v>9.6</v>
      </c>
      <c r="H43" s="376">
        <f t="shared" si="112"/>
        <v>2.88</v>
      </c>
      <c r="I43" s="376">
        <f t="shared" si="113"/>
        <v>5.6</v>
      </c>
      <c r="J43" s="376">
        <f t="shared" si="2"/>
        <v>0.136818181818182</v>
      </c>
      <c r="K43" s="383" t="s">
        <v>165</v>
      </c>
      <c r="L43" s="384" t="str">
        <f>IF(K43="","",VLOOKUP(K43,'Định nghĩa Loại Chức năng'!$B$4:$C$92,2,FALSE))</f>
        <v>Chức năng web bao gồm UI + Service - đơn giản</v>
      </c>
      <c r="M43" s="394" t="s">
        <v>287</v>
      </c>
      <c r="N43" s="395">
        <f>IF(K43="","",VLOOKUP(K43&amp;$N$7,CSDL_CN!$D$4:$E$264,2,FALSE))</f>
        <v>7.5</v>
      </c>
      <c r="O43" s="395">
        <f>IF(K43="","",VLOOKUP(K43&amp;$O$7,CSDL_CN!$D$4:$E$264,2,FALSE))</f>
        <v>12</v>
      </c>
      <c r="P43" s="395">
        <f t="shared" si="115"/>
        <v>3.6</v>
      </c>
      <c r="Q43" s="395">
        <f>IF(K43="","",VLOOKUP(K43&amp;$Q$7,CSDL_CN!$D$4:$E$264,2,FALSE))</f>
        <v>7</v>
      </c>
      <c r="R43" s="395">
        <f t="array" ref="R43">SUM(IFERROR(N43:Q43,0))</f>
        <v>30.1</v>
      </c>
      <c r="S43" s="400">
        <v>0.2</v>
      </c>
      <c r="T43" s="400">
        <v>0.2</v>
      </c>
      <c r="U43" s="400">
        <v>0.2</v>
      </c>
      <c r="V43" s="366"/>
      <c r="W43" s="366">
        <f t="shared" si="116"/>
        <v>24.08</v>
      </c>
      <c r="X43" s="404" t="s">
        <v>288</v>
      </c>
      <c r="Y43" s="409">
        <f>E43/8/22+E44/8/22</f>
        <v>0.273636363636364</v>
      </c>
      <c r="Z43" s="410" t="s">
        <v>350</v>
      </c>
      <c r="AA43" s="411" t="s">
        <v>234</v>
      </c>
    </row>
    <row r="44" ht="75" spans="1:27">
      <c r="A44" s="366"/>
      <c r="B44" s="367"/>
      <c r="C44" s="367"/>
      <c r="D44" s="367" t="s">
        <v>351</v>
      </c>
      <c r="E44" s="376">
        <f t="shared" ref="E44:E45" si="117">SUM(F44:I44)</f>
        <v>24.08</v>
      </c>
      <c r="F44" s="377">
        <f t="shared" ref="F44:F45" si="118">N44*(1-$S44)</f>
        <v>6</v>
      </c>
      <c r="G44" s="377">
        <f t="shared" ref="G44:G45" si="119">O44*(1-$T44)</f>
        <v>9.6</v>
      </c>
      <c r="H44" s="376">
        <f t="shared" ref="H44:H45" si="120">P44*(1-$T44)</f>
        <v>2.88</v>
      </c>
      <c r="I44" s="376">
        <f t="shared" ref="I44:I45" si="121">Q44*(1-$U44)</f>
        <v>5.6</v>
      </c>
      <c r="J44" s="376">
        <f t="shared" ref="J44" si="122">E44/22/8</f>
        <v>0.136818181818182</v>
      </c>
      <c r="K44" s="383" t="s">
        <v>165</v>
      </c>
      <c r="L44" s="384" t="str">
        <f>IF(K44="","",VLOOKUP(K44,'Định nghĩa Loại Chức năng'!$B$4:$C$92,2,FALSE))</f>
        <v>Chức năng web bao gồm UI + Service - đơn giản</v>
      </c>
      <c r="M44" s="394" t="s">
        <v>287</v>
      </c>
      <c r="N44" s="395">
        <f>IF(K44="","",VLOOKUP(K44&amp;$N$7,CSDL_CN!$D$4:$E$264,2,FALSE))</f>
        <v>7.5</v>
      </c>
      <c r="O44" s="395">
        <f>IF(K44="","",VLOOKUP(K44&amp;$O$7,CSDL_CN!$D$4:$E$264,2,FALSE))</f>
        <v>12</v>
      </c>
      <c r="P44" s="395">
        <f t="shared" ref="P44:P45" si="123">IF(M44="Có",O44*30%,0)</f>
        <v>3.6</v>
      </c>
      <c r="Q44" s="395">
        <f>IF(K44="","",VLOOKUP(K44&amp;$Q$7,CSDL_CN!$D$4:$E$264,2,FALSE))</f>
        <v>7</v>
      </c>
      <c r="R44" s="395">
        <f t="array" ref="R44">SUM(IFERROR(N44:Q44,0))</f>
        <v>30.1</v>
      </c>
      <c r="S44" s="400">
        <v>0.2</v>
      </c>
      <c r="T44" s="400">
        <v>0.2</v>
      </c>
      <c r="U44" s="400">
        <v>0.2</v>
      </c>
      <c r="V44" s="366"/>
      <c r="W44" s="366">
        <f t="shared" ref="W44:W45" si="124">IF(X44="OS",E44,0)</f>
        <v>24.08</v>
      </c>
      <c r="X44" s="404" t="s">
        <v>288</v>
      </c>
      <c r="Y44" s="409"/>
      <c r="Z44" s="410" t="s">
        <v>352</v>
      </c>
      <c r="AA44" s="411"/>
    </row>
    <row r="45" ht="45" spans="1:27">
      <c r="A45" s="366">
        <v>19</v>
      </c>
      <c r="B45" s="367" t="s">
        <v>353</v>
      </c>
      <c r="C45" s="367" t="s">
        <v>354</v>
      </c>
      <c r="D45" s="367" t="s">
        <v>354</v>
      </c>
      <c r="E45" s="376">
        <f t="shared" si="117"/>
        <v>24.08</v>
      </c>
      <c r="F45" s="377">
        <f t="shared" si="118"/>
        <v>6</v>
      </c>
      <c r="G45" s="377">
        <f t="shared" si="119"/>
        <v>9.6</v>
      </c>
      <c r="H45" s="376">
        <f t="shared" si="120"/>
        <v>2.88</v>
      </c>
      <c r="I45" s="376">
        <f t="shared" si="121"/>
        <v>5.6</v>
      </c>
      <c r="J45" s="376">
        <f t="shared" si="2"/>
        <v>0.136818181818182</v>
      </c>
      <c r="K45" s="383" t="s">
        <v>165</v>
      </c>
      <c r="L45" s="384" t="str">
        <f>IF(K45="","",VLOOKUP(K45,'Định nghĩa Loại Chức năng'!$B$4:$C$92,2,FALSE))</f>
        <v>Chức năng web bao gồm UI + Service - đơn giản</v>
      </c>
      <c r="M45" s="394" t="s">
        <v>287</v>
      </c>
      <c r="N45" s="395">
        <f>IF(K45="","",VLOOKUP(K45&amp;$N$7,CSDL_CN!$D$4:$E$264,2,FALSE))</f>
        <v>7.5</v>
      </c>
      <c r="O45" s="395">
        <f>IF(K45="","",VLOOKUP(K45&amp;$O$7,CSDL_CN!$D$4:$E$264,2,FALSE))</f>
        <v>12</v>
      </c>
      <c r="P45" s="395">
        <f t="shared" si="123"/>
        <v>3.6</v>
      </c>
      <c r="Q45" s="395">
        <f>IF(K45="","",VLOOKUP(K45&amp;$Q$7,CSDL_CN!$D$4:$E$264,2,FALSE))</f>
        <v>7</v>
      </c>
      <c r="R45" s="395">
        <f t="array" ref="R45">SUM(IFERROR(N45:Q45,0))</f>
        <v>30.1</v>
      </c>
      <c r="S45" s="400">
        <v>0.2</v>
      </c>
      <c r="T45" s="400">
        <v>0.2</v>
      </c>
      <c r="U45" s="400">
        <v>0.2</v>
      </c>
      <c r="V45" s="366"/>
      <c r="W45" s="366">
        <f t="shared" si="124"/>
        <v>24.08</v>
      </c>
      <c r="X45" s="404" t="s">
        <v>288</v>
      </c>
      <c r="Y45" s="409">
        <f>E45/8/22+E46/8/22</f>
        <v>0.273636363636364</v>
      </c>
      <c r="Z45" s="410" t="s">
        <v>355</v>
      </c>
      <c r="AA45" s="411"/>
    </row>
    <row r="46" ht="45" spans="1:27">
      <c r="A46" s="366"/>
      <c r="B46" s="367"/>
      <c r="C46" s="367"/>
      <c r="D46" s="367" t="s">
        <v>356</v>
      </c>
      <c r="E46" s="376">
        <f t="shared" ref="E46:E47" si="125">SUM(F46:I46)</f>
        <v>24.08</v>
      </c>
      <c r="F46" s="377">
        <f t="shared" ref="F46:F47" si="126">N46*(1-$S46)</f>
        <v>6</v>
      </c>
      <c r="G46" s="377">
        <f t="shared" ref="G46:G47" si="127">O46*(1-$T46)</f>
        <v>9.6</v>
      </c>
      <c r="H46" s="376">
        <f t="shared" ref="H46:H47" si="128">P46*(1-$T46)</f>
        <v>2.88</v>
      </c>
      <c r="I46" s="376">
        <f t="shared" ref="I46:I47" si="129">Q46*(1-$U46)</f>
        <v>5.6</v>
      </c>
      <c r="J46" s="376">
        <f t="shared" ref="J46" si="130">E46/22/8</f>
        <v>0.136818181818182</v>
      </c>
      <c r="K46" s="383" t="s">
        <v>165</v>
      </c>
      <c r="L46" s="384" t="str">
        <f>IF(K46="","",VLOOKUP(K46,'Định nghĩa Loại Chức năng'!$B$4:$C$92,2,FALSE))</f>
        <v>Chức năng web bao gồm UI + Service - đơn giản</v>
      </c>
      <c r="M46" s="394" t="s">
        <v>287</v>
      </c>
      <c r="N46" s="395">
        <f>IF(K46="","",VLOOKUP(K46&amp;$N$7,CSDL_CN!$D$4:$E$264,2,FALSE))</f>
        <v>7.5</v>
      </c>
      <c r="O46" s="395">
        <f>IF(K46="","",VLOOKUP(K46&amp;$O$7,CSDL_CN!$D$4:$E$264,2,FALSE))</f>
        <v>12</v>
      </c>
      <c r="P46" s="395">
        <f t="shared" ref="P46:P47" si="131">IF(M46="Có",O46*30%,0)</f>
        <v>3.6</v>
      </c>
      <c r="Q46" s="395">
        <f>IF(K46="","",VLOOKUP(K46&amp;$Q$7,CSDL_CN!$D$4:$E$264,2,FALSE))</f>
        <v>7</v>
      </c>
      <c r="R46" s="395">
        <f t="array" ref="R46">SUM(IFERROR(N46:Q46,0))</f>
        <v>30.1</v>
      </c>
      <c r="S46" s="400">
        <v>0.2</v>
      </c>
      <c r="T46" s="400">
        <v>0.2</v>
      </c>
      <c r="U46" s="400">
        <v>0.2</v>
      </c>
      <c r="V46" s="366"/>
      <c r="W46" s="366">
        <f t="shared" ref="W46:W47" si="132">IF(X46="OS",E46,0)</f>
        <v>24.08</v>
      </c>
      <c r="X46" s="404" t="s">
        <v>288</v>
      </c>
      <c r="Y46" s="409"/>
      <c r="Z46" s="410" t="s">
        <v>357</v>
      </c>
      <c r="AA46" s="411"/>
    </row>
    <row r="47" ht="210" spans="1:27">
      <c r="A47" s="368">
        <v>20</v>
      </c>
      <c r="B47" s="369" t="s">
        <v>358</v>
      </c>
      <c r="C47" s="369" t="s">
        <v>359</v>
      </c>
      <c r="D47" s="369" t="s">
        <v>359</v>
      </c>
      <c r="E47" s="376">
        <f t="shared" si="125"/>
        <v>31.6</v>
      </c>
      <c r="F47" s="377">
        <f t="shared" si="126"/>
        <v>8</v>
      </c>
      <c r="G47" s="377">
        <f t="shared" si="127"/>
        <v>12</v>
      </c>
      <c r="H47" s="376">
        <f t="shared" si="128"/>
        <v>3.6</v>
      </c>
      <c r="I47" s="376">
        <f t="shared" si="129"/>
        <v>8</v>
      </c>
      <c r="J47" s="376">
        <f t="shared" si="2"/>
        <v>0.179545454545455</v>
      </c>
      <c r="K47" s="383" t="s">
        <v>168</v>
      </c>
      <c r="L47" s="384" t="str">
        <f>IF(K47="","",VLOOKUP(K47,'Định nghĩa Loại Chức năng'!$B$4:$C$92,2,FALSE))</f>
        <v>Chức năng web bao gồm UI + Service - trung bình</v>
      </c>
      <c r="M47" s="394" t="s">
        <v>287</v>
      </c>
      <c r="N47" s="395">
        <f>IF(K47="","",VLOOKUP(K47&amp;$N$7,CSDL_CN!$D$4:$E$264,2,FALSE))</f>
        <v>10</v>
      </c>
      <c r="O47" s="395">
        <f>IF(K47="","",VLOOKUP(K47&amp;$O$7,CSDL_CN!$D$4:$E$264,2,FALSE))</f>
        <v>15</v>
      </c>
      <c r="P47" s="395">
        <f t="shared" si="131"/>
        <v>4.5</v>
      </c>
      <c r="Q47" s="395">
        <f>IF(K47="","",VLOOKUP(K47&amp;$Q$7,CSDL_CN!$D$4:$E$264,2,FALSE))</f>
        <v>10</v>
      </c>
      <c r="R47" s="395">
        <f t="array" ref="R47">SUM(IFERROR(N47:Q47,0))</f>
        <v>39.5</v>
      </c>
      <c r="S47" s="400">
        <v>0.2</v>
      </c>
      <c r="T47" s="400">
        <v>0.2</v>
      </c>
      <c r="U47" s="400">
        <v>0.2</v>
      </c>
      <c r="V47" s="366"/>
      <c r="W47" s="366">
        <f t="shared" si="132"/>
        <v>31.6</v>
      </c>
      <c r="X47" s="404" t="s">
        <v>288</v>
      </c>
      <c r="Y47" s="409">
        <f>E47/8/22+E48/8/22+E49/8/22+E50/8/22</f>
        <v>0.675454545454546</v>
      </c>
      <c r="Z47" s="410" t="s">
        <v>360</v>
      </c>
      <c r="AA47" s="411"/>
    </row>
    <row r="48" ht="210" spans="1:27">
      <c r="A48" s="368"/>
      <c r="B48" s="369"/>
      <c r="C48" s="369"/>
      <c r="D48" s="369" t="s">
        <v>351</v>
      </c>
      <c r="E48" s="376">
        <f t="shared" ref="E48" si="133">SUM(F48:I48)</f>
        <v>31.6</v>
      </c>
      <c r="F48" s="377">
        <f t="shared" ref="F48" si="134">N48*(1-$S48)</f>
        <v>8</v>
      </c>
      <c r="G48" s="377">
        <f t="shared" ref="G48" si="135">O48*(1-$T48)</f>
        <v>12</v>
      </c>
      <c r="H48" s="376">
        <f t="shared" ref="H48" si="136">P48*(1-$T48)</f>
        <v>3.6</v>
      </c>
      <c r="I48" s="376">
        <f t="shared" ref="I48" si="137">Q48*(1-$U48)</f>
        <v>8</v>
      </c>
      <c r="J48" s="376">
        <f t="shared" ref="J48" si="138">E48/22/8</f>
        <v>0.179545454545455</v>
      </c>
      <c r="K48" s="383" t="s">
        <v>168</v>
      </c>
      <c r="L48" s="384" t="str">
        <f>IF(K48="","",VLOOKUP(K48,'Định nghĩa Loại Chức năng'!$B$4:$C$92,2,FALSE))</f>
        <v>Chức năng web bao gồm UI + Service - trung bình</v>
      </c>
      <c r="M48" s="394" t="s">
        <v>287</v>
      </c>
      <c r="N48" s="395">
        <f>IF(K48="","",VLOOKUP(K48&amp;$N$7,CSDL_CN!$D$4:$E$264,2,FALSE))</f>
        <v>10</v>
      </c>
      <c r="O48" s="395">
        <f>IF(K48="","",VLOOKUP(K48&amp;$O$7,CSDL_CN!$D$4:$E$264,2,FALSE))</f>
        <v>15</v>
      </c>
      <c r="P48" s="395">
        <f t="shared" ref="P48" si="139">IF(M48="Có",O48*30%,0)</f>
        <v>4.5</v>
      </c>
      <c r="Q48" s="395">
        <f>IF(K48="","",VLOOKUP(K48&amp;$Q$7,CSDL_CN!$D$4:$E$264,2,FALSE))</f>
        <v>10</v>
      </c>
      <c r="R48" s="395">
        <f t="array" ref="R48">SUM(IFERROR(N48:Q48,0))</f>
        <v>39.5</v>
      </c>
      <c r="S48" s="400">
        <v>0.2</v>
      </c>
      <c r="T48" s="400">
        <v>0.2</v>
      </c>
      <c r="U48" s="400">
        <v>0.2</v>
      </c>
      <c r="V48" s="366"/>
      <c r="W48" s="366">
        <f t="shared" ref="W48" si="140">IF(X48="OS",E48,0)</f>
        <v>31.6</v>
      </c>
      <c r="X48" s="404" t="s">
        <v>288</v>
      </c>
      <c r="Y48" s="409"/>
      <c r="Z48" s="410" t="s">
        <v>360</v>
      </c>
      <c r="AA48" s="411"/>
    </row>
    <row r="49" ht="75" spans="1:27">
      <c r="A49" s="368"/>
      <c r="B49" s="369"/>
      <c r="C49" s="369"/>
      <c r="D49" s="369" t="s">
        <v>361</v>
      </c>
      <c r="E49" s="376">
        <f t="shared" ref="E49" si="141">SUM(F49:I49)</f>
        <v>24.08</v>
      </c>
      <c r="F49" s="377">
        <f t="shared" ref="F49" si="142">N49*(1-$S49)</f>
        <v>6</v>
      </c>
      <c r="G49" s="377">
        <f t="shared" ref="G49" si="143">O49*(1-$T49)</f>
        <v>9.6</v>
      </c>
      <c r="H49" s="376">
        <f t="shared" ref="H49" si="144">P49*(1-$T49)</f>
        <v>2.88</v>
      </c>
      <c r="I49" s="376">
        <f t="shared" ref="I49" si="145">Q49*(1-$U49)</f>
        <v>5.6</v>
      </c>
      <c r="J49" s="376">
        <f t="shared" ref="J49" si="146">E49/22/8</f>
        <v>0.136818181818182</v>
      </c>
      <c r="K49" s="383" t="s">
        <v>165</v>
      </c>
      <c r="L49" s="384" t="str">
        <f>IF(K49="","",VLOOKUP(K49,'Định nghĩa Loại Chức năng'!$B$4:$C$92,2,FALSE))</f>
        <v>Chức năng web bao gồm UI + Service - đơn giản</v>
      </c>
      <c r="M49" s="394" t="s">
        <v>287</v>
      </c>
      <c r="N49" s="395">
        <f>IF(K49="","",VLOOKUP(K49&amp;$N$7,CSDL_CN!$D$4:$E$264,2,FALSE))</f>
        <v>7.5</v>
      </c>
      <c r="O49" s="395">
        <f>IF(K49="","",VLOOKUP(K49&amp;$O$7,CSDL_CN!$D$4:$E$264,2,FALSE))</f>
        <v>12</v>
      </c>
      <c r="P49" s="395">
        <f t="shared" ref="P49" si="147">IF(M49="Có",O49*30%,0)</f>
        <v>3.6</v>
      </c>
      <c r="Q49" s="395">
        <f>IF(K49="","",VLOOKUP(K49&amp;$Q$7,CSDL_CN!$D$4:$E$264,2,FALSE))</f>
        <v>7</v>
      </c>
      <c r="R49" s="395">
        <f t="array" ref="R49">SUM(IFERROR(N49:Q49,0))</f>
        <v>30.1</v>
      </c>
      <c r="S49" s="400">
        <v>0.2</v>
      </c>
      <c r="T49" s="400">
        <v>0.2</v>
      </c>
      <c r="U49" s="400">
        <v>0.2</v>
      </c>
      <c r="V49" s="366"/>
      <c r="W49" s="366">
        <f t="shared" ref="W49" si="148">IF(X49="OS",E49,0)</f>
        <v>24.08</v>
      </c>
      <c r="X49" s="404" t="s">
        <v>288</v>
      </c>
      <c r="Y49" s="409"/>
      <c r="Z49" s="410" t="s">
        <v>352</v>
      </c>
      <c r="AA49" s="411"/>
    </row>
    <row r="50" ht="225" spans="1:27">
      <c r="A50" s="368"/>
      <c r="B50" s="369"/>
      <c r="C50" s="369"/>
      <c r="D50" s="369" t="s">
        <v>362</v>
      </c>
      <c r="E50" s="376">
        <f t="shared" ref="E50:E53" si="149">SUM(F50:I50)</f>
        <v>31.6</v>
      </c>
      <c r="F50" s="377">
        <f t="shared" ref="F50:F53" si="150">N50*(1-$S50)</f>
        <v>8</v>
      </c>
      <c r="G50" s="377">
        <f t="shared" ref="G50:G53" si="151">O50*(1-$T50)</f>
        <v>12</v>
      </c>
      <c r="H50" s="376">
        <f t="shared" ref="H50:H53" si="152">P50*(1-$T50)</f>
        <v>3.6</v>
      </c>
      <c r="I50" s="376">
        <f t="shared" ref="I50:I53" si="153">Q50*(1-$U50)</f>
        <v>8</v>
      </c>
      <c r="J50" s="376">
        <f t="shared" ref="J50:J53" si="154">E50/22/8</f>
        <v>0.179545454545455</v>
      </c>
      <c r="K50" s="383" t="s">
        <v>168</v>
      </c>
      <c r="L50" s="384" t="str">
        <f>IF(K50="","",VLOOKUP(K50,'Định nghĩa Loại Chức năng'!$B$4:$C$92,2,FALSE))</f>
        <v>Chức năng web bao gồm UI + Service - trung bình</v>
      </c>
      <c r="M50" s="394" t="s">
        <v>287</v>
      </c>
      <c r="N50" s="395">
        <f>IF(K50="","",VLOOKUP(K50&amp;$N$7,CSDL_CN!$D$4:$E$264,2,FALSE))</f>
        <v>10</v>
      </c>
      <c r="O50" s="395">
        <f>IF(K50="","",VLOOKUP(K50&amp;$O$7,CSDL_CN!$D$4:$E$264,2,FALSE))</f>
        <v>15</v>
      </c>
      <c r="P50" s="395">
        <f t="shared" ref="P50:P53" si="155">IF(M50="Có",O50*30%,0)</f>
        <v>4.5</v>
      </c>
      <c r="Q50" s="395">
        <f>IF(K50="","",VLOOKUP(K50&amp;$Q$7,CSDL_CN!$D$4:$E$264,2,FALSE))</f>
        <v>10</v>
      </c>
      <c r="R50" s="395">
        <f t="array" ref="R50">SUM(IFERROR(N50:Q50,0))</f>
        <v>39.5</v>
      </c>
      <c r="S50" s="400">
        <v>0.2</v>
      </c>
      <c r="T50" s="400">
        <v>0.2</v>
      </c>
      <c r="U50" s="400">
        <v>0.2</v>
      </c>
      <c r="V50" s="366"/>
      <c r="W50" s="366">
        <f t="shared" ref="W50:W53" si="156">IF(X50="OS",E50,0)</f>
        <v>31.6</v>
      </c>
      <c r="X50" s="404" t="s">
        <v>288</v>
      </c>
      <c r="Y50" s="409"/>
      <c r="Z50" s="410" t="s">
        <v>363</v>
      </c>
      <c r="AA50" s="411"/>
    </row>
    <row r="51" ht="240" spans="1:27">
      <c r="A51" s="368">
        <v>21</v>
      </c>
      <c r="B51" s="369" t="s">
        <v>364</v>
      </c>
      <c r="C51" s="369" t="s">
        <v>365</v>
      </c>
      <c r="D51" s="367" t="s">
        <v>365</v>
      </c>
      <c r="E51" s="376">
        <f t="shared" si="149"/>
        <v>31.6</v>
      </c>
      <c r="F51" s="377">
        <f t="shared" si="150"/>
        <v>8</v>
      </c>
      <c r="G51" s="377">
        <f t="shared" si="151"/>
        <v>12</v>
      </c>
      <c r="H51" s="376">
        <f t="shared" si="152"/>
        <v>3.6</v>
      </c>
      <c r="I51" s="376">
        <f t="shared" si="153"/>
        <v>8</v>
      </c>
      <c r="J51" s="376">
        <f t="shared" si="154"/>
        <v>0.179545454545455</v>
      </c>
      <c r="K51" s="383" t="s">
        <v>168</v>
      </c>
      <c r="L51" s="384" t="str">
        <f>IF(K51="","",VLOOKUP(K51,'Định nghĩa Loại Chức năng'!$B$4:$C$92,2,FALSE))</f>
        <v>Chức năng web bao gồm UI + Service - trung bình</v>
      </c>
      <c r="M51" s="394" t="s">
        <v>287</v>
      </c>
      <c r="N51" s="395">
        <f>IF(K51="","",VLOOKUP(K51&amp;$N$7,CSDL_CN!$D$4:$E$264,2,FALSE))</f>
        <v>10</v>
      </c>
      <c r="O51" s="395">
        <f>IF(K51="","",VLOOKUP(K51&amp;$O$7,CSDL_CN!$D$4:$E$264,2,FALSE))</f>
        <v>15</v>
      </c>
      <c r="P51" s="395">
        <f t="shared" si="155"/>
        <v>4.5</v>
      </c>
      <c r="Q51" s="395">
        <f>IF(K51="","",VLOOKUP(K51&amp;$Q$7,CSDL_CN!$D$4:$E$264,2,FALSE))</f>
        <v>10</v>
      </c>
      <c r="R51" s="395">
        <f t="array" ref="R51">SUM(IFERROR(N51:Q51,0))</f>
        <v>39.5</v>
      </c>
      <c r="S51" s="400">
        <v>0.2</v>
      </c>
      <c r="T51" s="400">
        <v>0.2</v>
      </c>
      <c r="U51" s="400">
        <v>0.2</v>
      </c>
      <c r="V51" s="366"/>
      <c r="W51" s="366">
        <f t="shared" si="156"/>
        <v>31.6</v>
      </c>
      <c r="X51" s="404" t="s">
        <v>288</v>
      </c>
      <c r="Y51" s="409">
        <f>E51/8/22+E52/8/22+E53/8/22+E54/8/22</f>
        <v>0.675454545454546</v>
      </c>
      <c r="Z51" s="410" t="s">
        <v>366</v>
      </c>
      <c r="AA51" s="411"/>
    </row>
    <row r="52" ht="195" spans="1:27">
      <c r="A52" s="368"/>
      <c r="B52" s="369"/>
      <c r="C52" s="369"/>
      <c r="D52" s="367" t="s">
        <v>367</v>
      </c>
      <c r="E52" s="376">
        <f t="shared" si="149"/>
        <v>31.6</v>
      </c>
      <c r="F52" s="377">
        <f t="shared" si="150"/>
        <v>8</v>
      </c>
      <c r="G52" s="377">
        <f t="shared" si="151"/>
        <v>12</v>
      </c>
      <c r="H52" s="376">
        <f t="shared" si="152"/>
        <v>3.6</v>
      </c>
      <c r="I52" s="376">
        <f t="shared" si="153"/>
        <v>8</v>
      </c>
      <c r="J52" s="376">
        <f t="shared" si="154"/>
        <v>0.179545454545455</v>
      </c>
      <c r="K52" s="383" t="s">
        <v>168</v>
      </c>
      <c r="L52" s="384" t="str">
        <f>IF(K52="","",VLOOKUP(K52,'Định nghĩa Loại Chức năng'!$B$4:$C$92,2,FALSE))</f>
        <v>Chức năng web bao gồm UI + Service - trung bình</v>
      </c>
      <c r="M52" s="394" t="s">
        <v>287</v>
      </c>
      <c r="N52" s="395">
        <f>IF(K52="","",VLOOKUP(K52&amp;$N$7,CSDL_CN!$D$4:$E$264,2,FALSE))</f>
        <v>10</v>
      </c>
      <c r="O52" s="395">
        <f>IF(K52="","",VLOOKUP(K52&amp;$O$7,CSDL_CN!$D$4:$E$264,2,FALSE))</f>
        <v>15</v>
      </c>
      <c r="P52" s="395">
        <f t="shared" si="155"/>
        <v>4.5</v>
      </c>
      <c r="Q52" s="395">
        <f>IF(K52="","",VLOOKUP(K52&amp;$Q$7,CSDL_CN!$D$4:$E$264,2,FALSE))</f>
        <v>10</v>
      </c>
      <c r="R52" s="395">
        <f t="array" ref="R52">SUM(IFERROR(N52:Q52,0))</f>
        <v>39.5</v>
      </c>
      <c r="S52" s="400">
        <v>0.2</v>
      </c>
      <c r="T52" s="400">
        <v>0.2</v>
      </c>
      <c r="U52" s="400">
        <v>0.2</v>
      </c>
      <c r="V52" s="366"/>
      <c r="W52" s="366">
        <f t="shared" si="156"/>
        <v>31.6</v>
      </c>
      <c r="X52" s="404" t="s">
        <v>288</v>
      </c>
      <c r="Y52" s="409"/>
      <c r="Z52" s="410" t="s">
        <v>368</v>
      </c>
      <c r="AA52" s="411"/>
    </row>
    <row r="53" ht="45" spans="1:27">
      <c r="A53" s="368"/>
      <c r="B53" s="369"/>
      <c r="C53" s="369"/>
      <c r="D53" s="369" t="s">
        <v>369</v>
      </c>
      <c r="E53" s="376">
        <f t="shared" si="149"/>
        <v>24.08</v>
      </c>
      <c r="F53" s="377">
        <f t="shared" si="150"/>
        <v>6</v>
      </c>
      <c r="G53" s="377">
        <f t="shared" si="151"/>
        <v>9.6</v>
      </c>
      <c r="H53" s="376">
        <f t="shared" si="152"/>
        <v>2.88</v>
      </c>
      <c r="I53" s="376">
        <f t="shared" si="153"/>
        <v>5.6</v>
      </c>
      <c r="J53" s="376">
        <f t="shared" si="154"/>
        <v>0.136818181818182</v>
      </c>
      <c r="K53" s="383" t="s">
        <v>165</v>
      </c>
      <c r="L53" s="384" t="str">
        <f>IF(K53="","",VLOOKUP(K53,'Định nghĩa Loại Chức năng'!$B$4:$C$92,2,FALSE))</f>
        <v>Chức năng web bao gồm UI + Service - đơn giản</v>
      </c>
      <c r="M53" s="394" t="s">
        <v>287</v>
      </c>
      <c r="N53" s="395">
        <f>IF(K53="","",VLOOKUP(K53&amp;$N$7,CSDL_CN!$D$4:$E$264,2,FALSE))</f>
        <v>7.5</v>
      </c>
      <c r="O53" s="395">
        <f>IF(K53="","",VLOOKUP(K53&amp;$O$7,CSDL_CN!$D$4:$E$264,2,FALSE))</f>
        <v>12</v>
      </c>
      <c r="P53" s="395">
        <f t="shared" si="155"/>
        <v>3.6</v>
      </c>
      <c r="Q53" s="395">
        <f>IF(K53="","",VLOOKUP(K53&amp;$Q$7,CSDL_CN!$D$4:$E$264,2,FALSE))</f>
        <v>7</v>
      </c>
      <c r="R53" s="395">
        <f t="array" ref="R53">SUM(IFERROR(N53:Q53,0))</f>
        <v>30.1</v>
      </c>
      <c r="S53" s="400">
        <v>0.2</v>
      </c>
      <c r="T53" s="400">
        <v>0.2</v>
      </c>
      <c r="U53" s="400">
        <v>0.2</v>
      </c>
      <c r="V53" s="366"/>
      <c r="W53" s="366">
        <f t="shared" si="156"/>
        <v>24.08</v>
      </c>
      <c r="X53" s="404" t="s">
        <v>288</v>
      </c>
      <c r="Y53" s="409"/>
      <c r="Z53" s="410" t="s">
        <v>370</v>
      </c>
      <c r="AA53" s="411"/>
    </row>
    <row r="54" ht="195" spans="1:27">
      <c r="A54" s="368"/>
      <c r="B54" s="369"/>
      <c r="C54" s="369"/>
      <c r="D54" s="367" t="s">
        <v>371</v>
      </c>
      <c r="E54" s="376">
        <f t="shared" ref="E54:E55" si="157">SUM(F54:I54)</f>
        <v>31.6</v>
      </c>
      <c r="F54" s="377">
        <f t="shared" ref="F54:F55" si="158">N54*(1-$S54)</f>
        <v>8</v>
      </c>
      <c r="G54" s="377">
        <f t="shared" ref="G54:G55" si="159">O54*(1-$T54)</f>
        <v>12</v>
      </c>
      <c r="H54" s="376">
        <f t="shared" ref="H54:H55" si="160">P54*(1-$T54)</f>
        <v>3.6</v>
      </c>
      <c r="I54" s="376">
        <f t="shared" ref="I54:I55" si="161">Q54*(1-$U54)</f>
        <v>8</v>
      </c>
      <c r="J54" s="376">
        <f t="shared" ref="J54" si="162">E54/22/8</f>
        <v>0.179545454545455</v>
      </c>
      <c r="K54" s="383" t="s">
        <v>168</v>
      </c>
      <c r="L54" s="384" t="str">
        <f>IF(K54="","",VLOOKUP(K54,'Định nghĩa Loại Chức năng'!$B$4:$C$92,2,FALSE))</f>
        <v>Chức năng web bao gồm UI + Service - trung bình</v>
      </c>
      <c r="M54" s="394" t="s">
        <v>287</v>
      </c>
      <c r="N54" s="395">
        <f>IF(K54="","",VLOOKUP(K54&amp;$N$7,CSDL_CN!$D$4:$E$264,2,FALSE))</f>
        <v>10</v>
      </c>
      <c r="O54" s="395">
        <f>IF(K54="","",VLOOKUP(K54&amp;$O$7,CSDL_CN!$D$4:$E$264,2,FALSE))</f>
        <v>15</v>
      </c>
      <c r="P54" s="395">
        <f t="shared" ref="P54:P55" si="163">IF(M54="Có",O54*30%,0)</f>
        <v>4.5</v>
      </c>
      <c r="Q54" s="395">
        <f>IF(K54="","",VLOOKUP(K54&amp;$Q$7,CSDL_CN!$D$4:$E$264,2,FALSE))</f>
        <v>10</v>
      </c>
      <c r="R54" s="395">
        <f t="array" ref="R54">SUM(IFERROR(N54:Q54,0))</f>
        <v>39.5</v>
      </c>
      <c r="S54" s="400">
        <v>0.2</v>
      </c>
      <c r="T54" s="400">
        <v>0.2</v>
      </c>
      <c r="U54" s="400">
        <v>0.2</v>
      </c>
      <c r="V54" s="366"/>
      <c r="W54" s="366">
        <f t="shared" ref="W54:W55" si="164">IF(X54="OS",E54,0)</f>
        <v>31.6</v>
      </c>
      <c r="X54" s="404" t="s">
        <v>288</v>
      </c>
      <c r="Y54" s="409"/>
      <c r="Z54" s="410" t="s">
        <v>368</v>
      </c>
      <c r="AA54" s="411"/>
    </row>
    <row r="55" ht="240" spans="1:27">
      <c r="A55" s="370">
        <v>22</v>
      </c>
      <c r="B55" s="369" t="s">
        <v>372</v>
      </c>
      <c r="C55" s="369" t="s">
        <v>373</v>
      </c>
      <c r="D55" s="367" t="s">
        <v>373</v>
      </c>
      <c r="E55" s="376">
        <f t="shared" si="157"/>
        <v>31.6</v>
      </c>
      <c r="F55" s="377">
        <f t="shared" si="158"/>
        <v>8</v>
      </c>
      <c r="G55" s="377">
        <f t="shared" si="159"/>
        <v>12</v>
      </c>
      <c r="H55" s="376">
        <f t="shared" si="160"/>
        <v>3.6</v>
      </c>
      <c r="I55" s="376">
        <f t="shared" si="161"/>
        <v>8</v>
      </c>
      <c r="J55" s="376">
        <f t="shared" si="2"/>
        <v>0.179545454545455</v>
      </c>
      <c r="K55" s="383" t="s">
        <v>168</v>
      </c>
      <c r="L55" s="384" t="str">
        <f>IF(K55="","",VLOOKUP(K55,'Định nghĩa Loại Chức năng'!$B$4:$C$92,2,FALSE))</f>
        <v>Chức năng web bao gồm UI + Service - trung bình</v>
      </c>
      <c r="M55" s="394" t="s">
        <v>287</v>
      </c>
      <c r="N55" s="395">
        <f>IF(K55="","",VLOOKUP(K55&amp;$N$7,CSDL_CN!$D$4:$E$264,2,FALSE))</f>
        <v>10</v>
      </c>
      <c r="O55" s="395">
        <f>IF(K55="","",VLOOKUP(K55&amp;$O$7,CSDL_CN!$D$4:$E$264,2,FALSE))</f>
        <v>15</v>
      </c>
      <c r="P55" s="395">
        <f t="shared" si="163"/>
        <v>4.5</v>
      </c>
      <c r="Q55" s="395">
        <f>IF(K55="","",VLOOKUP(K55&amp;$Q$7,CSDL_CN!$D$4:$E$264,2,FALSE))</f>
        <v>10</v>
      </c>
      <c r="R55" s="395">
        <f t="array" ref="R55">SUM(IFERROR(N55:Q55,0))</f>
        <v>39.5</v>
      </c>
      <c r="S55" s="400">
        <v>0.2</v>
      </c>
      <c r="T55" s="400">
        <v>0.2</v>
      </c>
      <c r="U55" s="400">
        <v>0.2</v>
      </c>
      <c r="V55" s="366"/>
      <c r="W55" s="366">
        <f t="shared" si="164"/>
        <v>31.6</v>
      </c>
      <c r="X55" s="404" t="s">
        <v>288</v>
      </c>
      <c r="Y55" s="409">
        <f>E55/8/22+E56/8/22+E57/8/22+E58/8/22+E59/8/22</f>
        <v>0.897727272727273</v>
      </c>
      <c r="Z55" s="410" t="s">
        <v>374</v>
      </c>
      <c r="AA55" s="411" t="s">
        <v>375</v>
      </c>
    </row>
    <row r="56" ht="240" spans="1:27">
      <c r="A56" s="370"/>
      <c r="B56" s="369"/>
      <c r="C56" s="369"/>
      <c r="D56" s="367" t="s">
        <v>376</v>
      </c>
      <c r="E56" s="376">
        <f t="shared" ref="E56:E64" si="165">SUM(F56:I56)</f>
        <v>31.6</v>
      </c>
      <c r="F56" s="377">
        <f t="shared" ref="F56:F64" si="166">N56*(1-$S56)</f>
        <v>8</v>
      </c>
      <c r="G56" s="377">
        <f t="shared" ref="G56:G64" si="167">O56*(1-$T56)</f>
        <v>12</v>
      </c>
      <c r="H56" s="376">
        <f t="shared" ref="H56:H64" si="168">P56*(1-$T56)</f>
        <v>3.6</v>
      </c>
      <c r="I56" s="376">
        <f t="shared" ref="I56:I64" si="169">Q56*(1-$U56)</f>
        <v>8</v>
      </c>
      <c r="J56" s="376">
        <f t="shared" ref="J56:J64" si="170">E56/22/8</f>
        <v>0.179545454545455</v>
      </c>
      <c r="K56" s="383" t="s">
        <v>168</v>
      </c>
      <c r="L56" s="384" t="str">
        <f>IF(K56="","",VLOOKUP(K56,'Định nghĩa Loại Chức năng'!$B$4:$C$92,2,FALSE))</f>
        <v>Chức năng web bao gồm UI + Service - trung bình</v>
      </c>
      <c r="M56" s="394" t="s">
        <v>287</v>
      </c>
      <c r="N56" s="395">
        <f>IF(K56="","",VLOOKUP(K56&amp;$N$7,CSDL_CN!$D$4:$E$264,2,FALSE))</f>
        <v>10</v>
      </c>
      <c r="O56" s="395">
        <f>IF(K56="","",VLOOKUP(K56&amp;$O$7,CSDL_CN!$D$4:$E$264,2,FALSE))</f>
        <v>15</v>
      </c>
      <c r="P56" s="395">
        <f t="shared" ref="P56:P64" si="171">IF(M56="Có",O56*30%,0)</f>
        <v>4.5</v>
      </c>
      <c r="Q56" s="395">
        <f>IF(K56="","",VLOOKUP(K56&amp;$Q$7,CSDL_CN!$D$4:$E$264,2,FALSE))</f>
        <v>10</v>
      </c>
      <c r="R56" s="395">
        <f t="array" ref="R56">SUM(IFERROR(N56:Q56,0))</f>
        <v>39.5</v>
      </c>
      <c r="S56" s="400">
        <v>0.2</v>
      </c>
      <c r="T56" s="400">
        <v>0.2</v>
      </c>
      <c r="U56" s="400">
        <v>0.2</v>
      </c>
      <c r="V56" s="366"/>
      <c r="W56" s="366">
        <f t="shared" ref="W56:W64" si="172">IF(X56="OS",E56,0)</f>
        <v>31.6</v>
      </c>
      <c r="X56" s="404" t="s">
        <v>288</v>
      </c>
      <c r="Y56" s="409"/>
      <c r="Z56" s="410" t="s">
        <v>377</v>
      </c>
      <c r="AA56" s="411"/>
    </row>
    <row r="57" ht="240" spans="1:27">
      <c r="A57" s="370"/>
      <c r="B57" s="369"/>
      <c r="C57" s="369"/>
      <c r="D57" s="369" t="s">
        <v>378</v>
      </c>
      <c r="E57" s="376">
        <f t="shared" si="165"/>
        <v>31.6</v>
      </c>
      <c r="F57" s="377">
        <f t="shared" si="166"/>
        <v>8</v>
      </c>
      <c r="G57" s="377">
        <f t="shared" si="167"/>
        <v>12</v>
      </c>
      <c r="H57" s="376">
        <f t="shared" si="168"/>
        <v>3.6</v>
      </c>
      <c r="I57" s="376">
        <f t="shared" si="169"/>
        <v>8</v>
      </c>
      <c r="J57" s="376">
        <f t="shared" si="170"/>
        <v>0.179545454545455</v>
      </c>
      <c r="K57" s="383" t="s">
        <v>168</v>
      </c>
      <c r="L57" s="384" t="str">
        <f>IF(K57="","",VLOOKUP(K57,'Định nghĩa Loại Chức năng'!$B$4:$C$92,2,FALSE))</f>
        <v>Chức năng web bao gồm UI + Service - trung bình</v>
      </c>
      <c r="M57" s="394" t="s">
        <v>287</v>
      </c>
      <c r="N57" s="395">
        <f>IF(K57="","",VLOOKUP(K57&amp;$N$7,CSDL_CN!$D$4:$E$264,2,FALSE))</f>
        <v>10</v>
      </c>
      <c r="O57" s="395">
        <f>IF(K57="","",VLOOKUP(K57&amp;$O$7,CSDL_CN!$D$4:$E$264,2,FALSE))</f>
        <v>15</v>
      </c>
      <c r="P57" s="395">
        <f t="shared" si="171"/>
        <v>4.5</v>
      </c>
      <c r="Q57" s="395">
        <f>IF(K57="","",VLOOKUP(K57&amp;$Q$7,CSDL_CN!$D$4:$E$264,2,FALSE))</f>
        <v>10</v>
      </c>
      <c r="R57" s="395">
        <f t="array" ref="R57">SUM(IFERROR(N57:Q57,0))</f>
        <v>39.5</v>
      </c>
      <c r="S57" s="400">
        <v>0.2</v>
      </c>
      <c r="T57" s="400">
        <v>0.2</v>
      </c>
      <c r="U57" s="400">
        <v>0.2</v>
      </c>
      <c r="V57" s="366"/>
      <c r="W57" s="366">
        <f t="shared" si="172"/>
        <v>31.6</v>
      </c>
      <c r="X57" s="404" t="s">
        <v>288</v>
      </c>
      <c r="Y57" s="409"/>
      <c r="Z57" s="410" t="s">
        <v>379</v>
      </c>
      <c r="AA57" s="411"/>
    </row>
    <row r="58" ht="240" spans="1:27">
      <c r="A58" s="370"/>
      <c r="B58" s="369"/>
      <c r="C58" s="369"/>
      <c r="D58" s="367" t="s">
        <v>380</v>
      </c>
      <c r="E58" s="376">
        <f t="shared" si="165"/>
        <v>31.6</v>
      </c>
      <c r="F58" s="377">
        <f t="shared" si="166"/>
        <v>8</v>
      </c>
      <c r="G58" s="377">
        <f t="shared" si="167"/>
        <v>12</v>
      </c>
      <c r="H58" s="376">
        <f t="shared" si="168"/>
        <v>3.6</v>
      </c>
      <c r="I58" s="376">
        <f t="shared" si="169"/>
        <v>8</v>
      </c>
      <c r="J58" s="376">
        <f t="shared" si="170"/>
        <v>0.179545454545455</v>
      </c>
      <c r="K58" s="383" t="s">
        <v>168</v>
      </c>
      <c r="L58" s="384" t="str">
        <f>IF(K58="","",VLOOKUP(K58,'Định nghĩa Loại Chức năng'!$B$4:$C$92,2,FALSE))</f>
        <v>Chức năng web bao gồm UI + Service - trung bình</v>
      </c>
      <c r="M58" s="394" t="s">
        <v>287</v>
      </c>
      <c r="N58" s="395">
        <f>IF(K58="","",VLOOKUP(K58&amp;$N$7,CSDL_CN!$D$4:$E$264,2,FALSE))</f>
        <v>10</v>
      </c>
      <c r="O58" s="395">
        <f>IF(K58="","",VLOOKUP(K58&amp;$O$7,CSDL_CN!$D$4:$E$264,2,FALSE))</f>
        <v>15</v>
      </c>
      <c r="P58" s="395">
        <f t="shared" si="171"/>
        <v>4.5</v>
      </c>
      <c r="Q58" s="395">
        <f>IF(K58="","",VLOOKUP(K58&amp;$Q$7,CSDL_CN!$D$4:$E$264,2,FALSE))</f>
        <v>10</v>
      </c>
      <c r="R58" s="395">
        <f t="array" ref="R58">SUM(IFERROR(N58:Q58,0))</f>
        <v>39.5</v>
      </c>
      <c r="S58" s="400">
        <v>0.2</v>
      </c>
      <c r="T58" s="400">
        <v>0.2</v>
      </c>
      <c r="U58" s="400">
        <v>0.2</v>
      </c>
      <c r="V58" s="366"/>
      <c r="W58" s="366">
        <f t="shared" si="172"/>
        <v>31.6</v>
      </c>
      <c r="X58" s="404" t="s">
        <v>288</v>
      </c>
      <c r="Y58" s="409"/>
      <c r="Z58" s="410" t="s">
        <v>381</v>
      </c>
      <c r="AA58" s="411"/>
    </row>
    <row r="59" ht="240" spans="1:27">
      <c r="A59" s="370"/>
      <c r="B59" s="369"/>
      <c r="C59" s="369"/>
      <c r="D59" s="367" t="s">
        <v>382</v>
      </c>
      <c r="E59" s="376">
        <f t="shared" ref="E59" si="173">SUM(F59:I59)</f>
        <v>31.6</v>
      </c>
      <c r="F59" s="377">
        <f t="shared" ref="F59" si="174">N59*(1-$S59)</f>
        <v>8</v>
      </c>
      <c r="G59" s="377">
        <f t="shared" ref="G59" si="175">O59*(1-$T59)</f>
        <v>12</v>
      </c>
      <c r="H59" s="376">
        <f t="shared" ref="H59" si="176">P59*(1-$T59)</f>
        <v>3.6</v>
      </c>
      <c r="I59" s="376">
        <f t="shared" ref="I59" si="177">Q59*(1-$U59)</f>
        <v>8</v>
      </c>
      <c r="J59" s="376">
        <f t="shared" ref="J59" si="178">E59/22/8</f>
        <v>0.179545454545455</v>
      </c>
      <c r="K59" s="383" t="s">
        <v>168</v>
      </c>
      <c r="L59" s="384" t="str">
        <f>IF(K59="","",VLOOKUP(K59,'Định nghĩa Loại Chức năng'!$B$4:$C$92,2,FALSE))</f>
        <v>Chức năng web bao gồm UI + Service - trung bình</v>
      </c>
      <c r="M59" s="394" t="s">
        <v>287</v>
      </c>
      <c r="N59" s="395">
        <f>IF(K59="","",VLOOKUP(K59&amp;$N$7,CSDL_CN!$D$4:$E$264,2,FALSE))</f>
        <v>10</v>
      </c>
      <c r="O59" s="395">
        <f>IF(K59="","",VLOOKUP(K59&amp;$O$7,CSDL_CN!$D$4:$E$264,2,FALSE))</f>
        <v>15</v>
      </c>
      <c r="P59" s="395">
        <f t="shared" ref="P59" si="179">IF(M59="Có",O59*30%,0)</f>
        <v>4.5</v>
      </c>
      <c r="Q59" s="395">
        <f>IF(K59="","",VLOOKUP(K59&amp;$Q$7,CSDL_CN!$D$4:$E$264,2,FALSE))</f>
        <v>10</v>
      </c>
      <c r="R59" s="395">
        <f t="array" ref="R59">SUM(IFERROR(N59:Q59,0))</f>
        <v>39.5</v>
      </c>
      <c r="S59" s="400">
        <v>0.2</v>
      </c>
      <c r="T59" s="400">
        <v>0.2</v>
      </c>
      <c r="U59" s="400">
        <v>0.2</v>
      </c>
      <c r="V59" s="366"/>
      <c r="W59" s="366">
        <f t="shared" ref="W59" si="180">IF(X59="OS",E59,0)</f>
        <v>31.6</v>
      </c>
      <c r="X59" s="404" t="s">
        <v>288</v>
      </c>
      <c r="Y59" s="409"/>
      <c r="Z59" s="410" t="s">
        <v>383</v>
      </c>
      <c r="AA59" s="411"/>
    </row>
    <row r="60" ht="240" spans="1:27">
      <c r="A60" s="368">
        <v>23</v>
      </c>
      <c r="B60" s="369" t="s">
        <v>384</v>
      </c>
      <c r="C60" s="369" t="s">
        <v>385</v>
      </c>
      <c r="D60" s="367" t="s">
        <v>385</v>
      </c>
      <c r="E60" s="376">
        <f t="shared" si="165"/>
        <v>31.6</v>
      </c>
      <c r="F60" s="377">
        <f t="shared" si="166"/>
        <v>8</v>
      </c>
      <c r="G60" s="377">
        <f t="shared" si="167"/>
        <v>12</v>
      </c>
      <c r="H60" s="376">
        <f t="shared" si="168"/>
        <v>3.6</v>
      </c>
      <c r="I60" s="376">
        <f t="shared" si="169"/>
        <v>8</v>
      </c>
      <c r="J60" s="376">
        <f t="shared" si="170"/>
        <v>0.179545454545455</v>
      </c>
      <c r="K60" s="383" t="s">
        <v>168</v>
      </c>
      <c r="L60" s="384" t="str">
        <f>IF(K60="","",VLOOKUP(K60,'Định nghĩa Loại Chức năng'!$B$4:$C$92,2,FALSE))</f>
        <v>Chức năng web bao gồm UI + Service - trung bình</v>
      </c>
      <c r="M60" s="394" t="s">
        <v>287</v>
      </c>
      <c r="N60" s="395">
        <f>IF(K60="","",VLOOKUP(K60&amp;$N$7,CSDL_CN!$D$4:$E$264,2,FALSE))</f>
        <v>10</v>
      </c>
      <c r="O60" s="395">
        <f>IF(K60="","",VLOOKUP(K60&amp;$O$7,CSDL_CN!$D$4:$E$264,2,FALSE))</f>
        <v>15</v>
      </c>
      <c r="P60" s="395">
        <f t="shared" si="171"/>
        <v>4.5</v>
      </c>
      <c r="Q60" s="395">
        <f>IF(K60="","",VLOOKUP(K60&amp;$Q$7,CSDL_CN!$D$4:$E$264,2,FALSE))</f>
        <v>10</v>
      </c>
      <c r="R60" s="395">
        <f t="array" ref="R60">SUM(IFERROR(N60:Q60,0))</f>
        <v>39.5</v>
      </c>
      <c r="S60" s="400">
        <v>0.2</v>
      </c>
      <c r="T60" s="400">
        <v>0.2</v>
      </c>
      <c r="U60" s="400">
        <v>0.2</v>
      </c>
      <c r="V60" s="366"/>
      <c r="W60" s="366">
        <f t="shared" si="172"/>
        <v>31.6</v>
      </c>
      <c r="X60" s="404" t="s">
        <v>288</v>
      </c>
      <c r="Y60" s="409">
        <f>E60/8/22+E61/8/22+E62/8/22+E63/8/22</f>
        <v>0.718181818181818</v>
      </c>
      <c r="Z60" s="410" t="s">
        <v>386</v>
      </c>
      <c r="AA60" s="411"/>
    </row>
    <row r="61" ht="240" spans="1:27">
      <c r="A61" s="368"/>
      <c r="B61" s="369"/>
      <c r="C61" s="369"/>
      <c r="D61" s="367" t="s">
        <v>387</v>
      </c>
      <c r="E61" s="376">
        <f t="shared" si="165"/>
        <v>31.6</v>
      </c>
      <c r="F61" s="377">
        <f t="shared" si="166"/>
        <v>8</v>
      </c>
      <c r="G61" s="377">
        <f t="shared" si="167"/>
        <v>12</v>
      </c>
      <c r="H61" s="376">
        <f t="shared" si="168"/>
        <v>3.6</v>
      </c>
      <c r="I61" s="376">
        <f t="shared" si="169"/>
        <v>8</v>
      </c>
      <c r="J61" s="376">
        <f t="shared" si="170"/>
        <v>0.179545454545455</v>
      </c>
      <c r="K61" s="383" t="s">
        <v>168</v>
      </c>
      <c r="L61" s="384" t="str">
        <f>IF(K61="","",VLOOKUP(K61,'Định nghĩa Loại Chức năng'!$B$4:$C$92,2,FALSE))</f>
        <v>Chức năng web bao gồm UI + Service - trung bình</v>
      </c>
      <c r="M61" s="394" t="s">
        <v>287</v>
      </c>
      <c r="N61" s="395">
        <f>IF(K61="","",VLOOKUP(K61&amp;$N$7,CSDL_CN!$D$4:$E$264,2,FALSE))</f>
        <v>10</v>
      </c>
      <c r="O61" s="395">
        <f>IF(K61="","",VLOOKUP(K61&amp;$O$7,CSDL_CN!$D$4:$E$264,2,FALSE))</f>
        <v>15</v>
      </c>
      <c r="P61" s="395">
        <f t="shared" si="171"/>
        <v>4.5</v>
      </c>
      <c r="Q61" s="395">
        <f>IF(K61="","",VLOOKUP(K61&amp;$Q$7,CSDL_CN!$D$4:$E$264,2,FALSE))</f>
        <v>10</v>
      </c>
      <c r="R61" s="395">
        <f t="array" ref="R61">SUM(IFERROR(N61:Q61,0))</f>
        <v>39.5</v>
      </c>
      <c r="S61" s="400">
        <v>0.2</v>
      </c>
      <c r="T61" s="400">
        <v>0.2</v>
      </c>
      <c r="U61" s="400">
        <v>0.2</v>
      </c>
      <c r="V61" s="366"/>
      <c r="W61" s="366">
        <f t="shared" si="172"/>
        <v>31.6</v>
      </c>
      <c r="X61" s="404" t="s">
        <v>288</v>
      </c>
      <c r="Y61" s="409"/>
      <c r="Z61" s="410" t="s">
        <v>388</v>
      </c>
      <c r="AA61" s="411"/>
    </row>
    <row r="62" ht="240" spans="1:27">
      <c r="A62" s="368"/>
      <c r="B62" s="369"/>
      <c r="C62" s="369"/>
      <c r="D62" s="369" t="s">
        <v>389</v>
      </c>
      <c r="E62" s="376">
        <f t="shared" si="165"/>
        <v>31.6</v>
      </c>
      <c r="F62" s="377">
        <f t="shared" si="166"/>
        <v>8</v>
      </c>
      <c r="G62" s="377">
        <f t="shared" si="167"/>
        <v>12</v>
      </c>
      <c r="H62" s="376">
        <f t="shared" si="168"/>
        <v>3.6</v>
      </c>
      <c r="I62" s="376">
        <f t="shared" si="169"/>
        <v>8</v>
      </c>
      <c r="J62" s="376">
        <f t="shared" si="170"/>
        <v>0.179545454545455</v>
      </c>
      <c r="K62" s="383" t="s">
        <v>168</v>
      </c>
      <c r="L62" s="384" t="str">
        <f>IF(K62="","",VLOOKUP(K62,'Định nghĩa Loại Chức năng'!$B$4:$C$92,2,FALSE))</f>
        <v>Chức năng web bao gồm UI + Service - trung bình</v>
      </c>
      <c r="M62" s="394" t="s">
        <v>287</v>
      </c>
      <c r="N62" s="395">
        <f>IF(K62="","",VLOOKUP(K62&amp;$N$7,CSDL_CN!$D$4:$E$264,2,FALSE))</f>
        <v>10</v>
      </c>
      <c r="O62" s="395">
        <f>IF(K62="","",VLOOKUP(K62&amp;$O$7,CSDL_CN!$D$4:$E$264,2,FALSE))</f>
        <v>15</v>
      </c>
      <c r="P62" s="395">
        <f t="shared" si="171"/>
        <v>4.5</v>
      </c>
      <c r="Q62" s="395">
        <f>IF(K62="","",VLOOKUP(K62&amp;$Q$7,CSDL_CN!$D$4:$E$264,2,FALSE))</f>
        <v>10</v>
      </c>
      <c r="R62" s="395">
        <f t="array" ref="R62">SUM(IFERROR(N62:Q62,0))</f>
        <v>39.5</v>
      </c>
      <c r="S62" s="400">
        <v>0.2</v>
      </c>
      <c r="T62" s="400">
        <v>0.2</v>
      </c>
      <c r="U62" s="400">
        <v>0.2</v>
      </c>
      <c r="V62" s="366"/>
      <c r="W62" s="366">
        <f t="shared" si="172"/>
        <v>31.6</v>
      </c>
      <c r="X62" s="404" t="s">
        <v>288</v>
      </c>
      <c r="Y62" s="409"/>
      <c r="Z62" s="410" t="s">
        <v>390</v>
      </c>
      <c r="AA62" s="411"/>
    </row>
    <row r="63" ht="240" spans="1:27">
      <c r="A63" s="368"/>
      <c r="B63" s="369"/>
      <c r="C63" s="369"/>
      <c r="D63" s="367" t="s">
        <v>391</v>
      </c>
      <c r="E63" s="376">
        <f t="shared" si="165"/>
        <v>31.6</v>
      </c>
      <c r="F63" s="377">
        <f t="shared" si="166"/>
        <v>8</v>
      </c>
      <c r="G63" s="377">
        <f t="shared" si="167"/>
        <v>12</v>
      </c>
      <c r="H63" s="376">
        <f t="shared" si="168"/>
        <v>3.6</v>
      </c>
      <c r="I63" s="376">
        <f t="shared" si="169"/>
        <v>8</v>
      </c>
      <c r="J63" s="376">
        <f t="shared" si="170"/>
        <v>0.179545454545455</v>
      </c>
      <c r="K63" s="383" t="s">
        <v>168</v>
      </c>
      <c r="L63" s="384" t="str">
        <f>IF(K63="","",VLOOKUP(K63,'Định nghĩa Loại Chức năng'!$B$4:$C$92,2,FALSE))</f>
        <v>Chức năng web bao gồm UI + Service - trung bình</v>
      </c>
      <c r="M63" s="394" t="s">
        <v>287</v>
      </c>
      <c r="N63" s="395">
        <f>IF(K63="","",VLOOKUP(K63&amp;$N$7,CSDL_CN!$D$4:$E$264,2,FALSE))</f>
        <v>10</v>
      </c>
      <c r="O63" s="395">
        <f>IF(K63="","",VLOOKUP(K63&amp;$O$7,CSDL_CN!$D$4:$E$264,2,FALSE))</f>
        <v>15</v>
      </c>
      <c r="P63" s="395">
        <f t="shared" si="171"/>
        <v>4.5</v>
      </c>
      <c r="Q63" s="395">
        <f>IF(K63="","",VLOOKUP(K63&amp;$Q$7,CSDL_CN!$D$4:$E$264,2,FALSE))</f>
        <v>10</v>
      </c>
      <c r="R63" s="395">
        <f t="array" ref="R63">SUM(IFERROR(N63:Q63,0))</f>
        <v>39.5</v>
      </c>
      <c r="S63" s="400">
        <v>0.2</v>
      </c>
      <c r="T63" s="400">
        <v>0.2</v>
      </c>
      <c r="U63" s="400">
        <v>0.2</v>
      </c>
      <c r="V63" s="366"/>
      <c r="W63" s="366">
        <f t="shared" si="172"/>
        <v>31.6</v>
      </c>
      <c r="X63" s="404" t="s">
        <v>288</v>
      </c>
      <c r="Y63" s="409"/>
      <c r="Z63" s="410" t="s">
        <v>392</v>
      </c>
      <c r="AA63" s="411"/>
    </row>
    <row r="64" ht="240" spans="1:27">
      <c r="A64" s="368">
        <v>24</v>
      </c>
      <c r="B64" s="369" t="s">
        <v>393</v>
      </c>
      <c r="C64" s="369" t="s">
        <v>394</v>
      </c>
      <c r="D64" s="367" t="s">
        <v>394</v>
      </c>
      <c r="E64" s="376">
        <f t="shared" si="165"/>
        <v>31.6</v>
      </c>
      <c r="F64" s="377">
        <f t="shared" si="166"/>
        <v>8</v>
      </c>
      <c r="G64" s="377">
        <f t="shared" si="167"/>
        <v>12</v>
      </c>
      <c r="H64" s="376">
        <f t="shared" si="168"/>
        <v>3.6</v>
      </c>
      <c r="I64" s="376">
        <f t="shared" si="169"/>
        <v>8</v>
      </c>
      <c r="J64" s="376">
        <f t="shared" si="170"/>
        <v>0.179545454545455</v>
      </c>
      <c r="K64" s="383" t="s">
        <v>168</v>
      </c>
      <c r="L64" s="384" t="str">
        <f>IF(K64="","",VLOOKUP(K64,'Định nghĩa Loại Chức năng'!$B$4:$C$92,2,FALSE))</f>
        <v>Chức năng web bao gồm UI + Service - trung bình</v>
      </c>
      <c r="M64" s="394" t="s">
        <v>287</v>
      </c>
      <c r="N64" s="395">
        <f>IF(K64="","",VLOOKUP(K64&amp;$N$7,CSDL_CN!$D$4:$E$264,2,FALSE))</f>
        <v>10</v>
      </c>
      <c r="O64" s="395">
        <f>IF(K64="","",VLOOKUP(K64&amp;$O$7,CSDL_CN!$D$4:$E$264,2,FALSE))</f>
        <v>15</v>
      </c>
      <c r="P64" s="395">
        <f t="shared" si="171"/>
        <v>4.5</v>
      </c>
      <c r="Q64" s="395">
        <f>IF(K64="","",VLOOKUP(K64&amp;$Q$7,CSDL_CN!$D$4:$E$264,2,FALSE))</f>
        <v>10</v>
      </c>
      <c r="R64" s="395">
        <f t="array" ref="R64">SUM(IFERROR(N64:Q64,0))</f>
        <v>39.5</v>
      </c>
      <c r="S64" s="400">
        <v>0.2</v>
      </c>
      <c r="T64" s="400">
        <v>0.2</v>
      </c>
      <c r="U64" s="400">
        <v>0.2</v>
      </c>
      <c r="V64" s="366"/>
      <c r="W64" s="366">
        <f t="shared" si="172"/>
        <v>31.6</v>
      </c>
      <c r="X64" s="404" t="s">
        <v>288</v>
      </c>
      <c r="Y64" s="409">
        <f>E64/8/22+E65/8/22+E66/8/22+E67/8/22+E68/8/22</f>
        <v>0.897727272727273</v>
      </c>
      <c r="Z64" s="410" t="s">
        <v>395</v>
      </c>
      <c r="AA64" s="411"/>
    </row>
    <row r="65" ht="240" spans="1:27">
      <c r="A65" s="368"/>
      <c r="B65" s="369"/>
      <c r="C65" s="369"/>
      <c r="D65" s="367" t="s">
        <v>396</v>
      </c>
      <c r="E65" s="376">
        <f t="shared" ref="E65:E67" si="181">SUM(F65:I65)</f>
        <v>31.6</v>
      </c>
      <c r="F65" s="377">
        <f t="shared" ref="F65:F67" si="182">N65*(1-$S65)</f>
        <v>8</v>
      </c>
      <c r="G65" s="377">
        <f t="shared" ref="G65:G67" si="183">O65*(1-$T65)</f>
        <v>12</v>
      </c>
      <c r="H65" s="376">
        <f t="shared" ref="H65:H67" si="184">P65*(1-$T65)</f>
        <v>3.6</v>
      </c>
      <c r="I65" s="376">
        <f t="shared" ref="I65:I67" si="185">Q65*(1-$U65)</f>
        <v>8</v>
      </c>
      <c r="J65" s="376">
        <f t="shared" ref="J65:J67" si="186">E65/22/8</f>
        <v>0.179545454545455</v>
      </c>
      <c r="K65" s="383" t="s">
        <v>168</v>
      </c>
      <c r="L65" s="384" t="str">
        <f>IF(K65="","",VLOOKUP(K65,'Định nghĩa Loại Chức năng'!$B$4:$C$92,2,FALSE))</f>
        <v>Chức năng web bao gồm UI + Service - trung bình</v>
      </c>
      <c r="M65" s="394" t="s">
        <v>287</v>
      </c>
      <c r="N65" s="395">
        <f>IF(K65="","",VLOOKUP(K65&amp;$N$7,CSDL_CN!$D$4:$E$264,2,FALSE))</f>
        <v>10</v>
      </c>
      <c r="O65" s="395">
        <f>IF(K65="","",VLOOKUP(K65&amp;$O$7,CSDL_CN!$D$4:$E$264,2,FALSE))</f>
        <v>15</v>
      </c>
      <c r="P65" s="395">
        <f t="shared" ref="P65:P67" si="187">IF(M65="Có",O65*30%,0)</f>
        <v>4.5</v>
      </c>
      <c r="Q65" s="395">
        <f>IF(K65="","",VLOOKUP(K65&amp;$Q$7,CSDL_CN!$D$4:$E$264,2,FALSE))</f>
        <v>10</v>
      </c>
      <c r="R65" s="395">
        <f t="array" ref="R65">SUM(IFERROR(N65:Q65,0))</f>
        <v>39.5</v>
      </c>
      <c r="S65" s="400">
        <v>0.2</v>
      </c>
      <c r="T65" s="400">
        <v>0.2</v>
      </c>
      <c r="U65" s="400">
        <v>0.2</v>
      </c>
      <c r="V65" s="366"/>
      <c r="W65" s="366">
        <f t="shared" ref="W65:W67" si="188">IF(X65="OS",E65,0)</f>
        <v>31.6</v>
      </c>
      <c r="X65" s="404" t="s">
        <v>288</v>
      </c>
      <c r="Y65" s="409"/>
      <c r="Z65" s="410" t="s">
        <v>397</v>
      </c>
      <c r="AA65" s="411"/>
    </row>
    <row r="66" ht="240" spans="1:27">
      <c r="A66" s="368"/>
      <c r="B66" s="369"/>
      <c r="C66" s="369"/>
      <c r="D66" s="369" t="s">
        <v>378</v>
      </c>
      <c r="E66" s="376">
        <f t="shared" si="181"/>
        <v>31.6</v>
      </c>
      <c r="F66" s="377">
        <f t="shared" si="182"/>
        <v>8</v>
      </c>
      <c r="G66" s="377">
        <f t="shared" si="183"/>
        <v>12</v>
      </c>
      <c r="H66" s="376">
        <f t="shared" si="184"/>
        <v>3.6</v>
      </c>
      <c r="I66" s="376">
        <f t="shared" si="185"/>
        <v>8</v>
      </c>
      <c r="J66" s="376">
        <f t="shared" si="186"/>
        <v>0.179545454545455</v>
      </c>
      <c r="K66" s="383" t="s">
        <v>168</v>
      </c>
      <c r="L66" s="384" t="str">
        <f>IF(K66="","",VLOOKUP(K66,'Định nghĩa Loại Chức năng'!$B$4:$C$92,2,FALSE))</f>
        <v>Chức năng web bao gồm UI + Service - trung bình</v>
      </c>
      <c r="M66" s="394" t="s">
        <v>287</v>
      </c>
      <c r="N66" s="395">
        <f>IF(K66="","",VLOOKUP(K66&amp;$N$7,CSDL_CN!$D$4:$E$264,2,FALSE))</f>
        <v>10</v>
      </c>
      <c r="O66" s="395">
        <f>IF(K66="","",VLOOKUP(K66&amp;$O$7,CSDL_CN!$D$4:$E$264,2,FALSE))</f>
        <v>15</v>
      </c>
      <c r="P66" s="395">
        <f t="shared" si="187"/>
        <v>4.5</v>
      </c>
      <c r="Q66" s="395">
        <f>IF(K66="","",VLOOKUP(K66&amp;$Q$7,CSDL_CN!$D$4:$E$264,2,FALSE))</f>
        <v>10</v>
      </c>
      <c r="R66" s="395">
        <f t="array" ref="R66">SUM(IFERROR(N66:Q66,0))</f>
        <v>39.5</v>
      </c>
      <c r="S66" s="400">
        <v>0.2</v>
      </c>
      <c r="T66" s="400">
        <v>0.2</v>
      </c>
      <c r="U66" s="400">
        <v>0.2</v>
      </c>
      <c r="V66" s="366"/>
      <c r="W66" s="366">
        <f t="shared" si="188"/>
        <v>31.6</v>
      </c>
      <c r="X66" s="404" t="s">
        <v>288</v>
      </c>
      <c r="Y66" s="409"/>
      <c r="Z66" s="410" t="s">
        <v>398</v>
      </c>
      <c r="AA66" s="411"/>
    </row>
    <row r="67" ht="240" spans="1:27">
      <c r="A67" s="368"/>
      <c r="B67" s="369"/>
      <c r="C67" s="369"/>
      <c r="D67" s="367" t="s">
        <v>399</v>
      </c>
      <c r="E67" s="376">
        <f t="shared" si="181"/>
        <v>31.6</v>
      </c>
      <c r="F67" s="377">
        <f t="shared" si="182"/>
        <v>8</v>
      </c>
      <c r="G67" s="377">
        <f t="shared" si="183"/>
        <v>12</v>
      </c>
      <c r="H67" s="376">
        <f t="shared" si="184"/>
        <v>3.6</v>
      </c>
      <c r="I67" s="376">
        <f t="shared" si="185"/>
        <v>8</v>
      </c>
      <c r="J67" s="376">
        <f t="shared" si="186"/>
        <v>0.179545454545455</v>
      </c>
      <c r="K67" s="383" t="s">
        <v>168</v>
      </c>
      <c r="L67" s="384" t="str">
        <f>IF(K67="","",VLOOKUP(K67,'Định nghĩa Loại Chức năng'!$B$4:$C$92,2,FALSE))</f>
        <v>Chức năng web bao gồm UI + Service - trung bình</v>
      </c>
      <c r="M67" s="394" t="s">
        <v>287</v>
      </c>
      <c r="N67" s="395">
        <f>IF(K67="","",VLOOKUP(K67&amp;$N$7,CSDL_CN!$D$4:$E$264,2,FALSE))</f>
        <v>10</v>
      </c>
      <c r="O67" s="395">
        <f>IF(K67="","",VLOOKUP(K67&amp;$O$7,CSDL_CN!$D$4:$E$264,2,FALSE))</f>
        <v>15</v>
      </c>
      <c r="P67" s="395">
        <f t="shared" si="187"/>
        <v>4.5</v>
      </c>
      <c r="Q67" s="395">
        <f>IF(K67="","",VLOOKUP(K67&amp;$Q$7,CSDL_CN!$D$4:$E$264,2,FALSE))</f>
        <v>10</v>
      </c>
      <c r="R67" s="395">
        <f t="array" ref="R67">SUM(IFERROR(N67:Q67,0))</f>
        <v>39.5</v>
      </c>
      <c r="S67" s="400">
        <v>0.2</v>
      </c>
      <c r="T67" s="400">
        <v>0.2</v>
      </c>
      <c r="U67" s="400">
        <v>0.2</v>
      </c>
      <c r="V67" s="366"/>
      <c r="W67" s="366">
        <f t="shared" si="188"/>
        <v>31.6</v>
      </c>
      <c r="X67" s="404" t="s">
        <v>288</v>
      </c>
      <c r="Y67" s="409"/>
      <c r="Z67" s="410" t="s">
        <v>400</v>
      </c>
      <c r="AA67" s="411"/>
    </row>
    <row r="68" ht="240" spans="1:27">
      <c r="A68" s="368"/>
      <c r="B68" s="369"/>
      <c r="C68" s="369"/>
      <c r="D68" s="367" t="s">
        <v>401</v>
      </c>
      <c r="E68" s="376">
        <f t="shared" ref="E68:E69" si="189">SUM(F68:I68)</f>
        <v>31.6</v>
      </c>
      <c r="F68" s="377">
        <f t="shared" ref="F68:F69" si="190">N68*(1-$S68)</f>
        <v>8</v>
      </c>
      <c r="G68" s="377">
        <f t="shared" ref="G68:G69" si="191">O68*(1-$T68)</f>
        <v>12</v>
      </c>
      <c r="H68" s="376">
        <f t="shared" ref="H68:H69" si="192">P68*(1-$T68)</f>
        <v>3.6</v>
      </c>
      <c r="I68" s="376">
        <f t="shared" ref="I68:I69" si="193">Q68*(1-$U68)</f>
        <v>8</v>
      </c>
      <c r="J68" s="376">
        <f t="shared" ref="J68" si="194">E68/22/8</f>
        <v>0.179545454545455</v>
      </c>
      <c r="K68" s="383" t="s">
        <v>168</v>
      </c>
      <c r="L68" s="384" t="str">
        <f>IF(K68="","",VLOOKUP(K68,'Định nghĩa Loại Chức năng'!$B$4:$C$92,2,FALSE))</f>
        <v>Chức năng web bao gồm UI + Service - trung bình</v>
      </c>
      <c r="M68" s="394" t="s">
        <v>287</v>
      </c>
      <c r="N68" s="395">
        <f>IF(K68="","",VLOOKUP(K68&amp;$N$7,CSDL_CN!$D$4:$E$264,2,FALSE))</f>
        <v>10</v>
      </c>
      <c r="O68" s="395">
        <f>IF(K68="","",VLOOKUP(K68&amp;$O$7,CSDL_CN!$D$4:$E$264,2,FALSE))</f>
        <v>15</v>
      </c>
      <c r="P68" s="395">
        <f t="shared" ref="P68:P69" si="195">IF(M68="Có",O68*30%,0)</f>
        <v>4.5</v>
      </c>
      <c r="Q68" s="395">
        <f>IF(K68="","",VLOOKUP(K68&amp;$Q$7,CSDL_CN!$D$4:$E$264,2,FALSE))</f>
        <v>10</v>
      </c>
      <c r="R68" s="395">
        <f t="array" ref="R68">SUM(IFERROR(N68:Q68,0))</f>
        <v>39.5</v>
      </c>
      <c r="S68" s="400">
        <v>0.2</v>
      </c>
      <c r="T68" s="400">
        <v>0.2</v>
      </c>
      <c r="U68" s="400">
        <v>0.2</v>
      </c>
      <c r="V68" s="366"/>
      <c r="W68" s="366">
        <f t="shared" ref="W68:W69" si="196">IF(X68="OS",E68,0)</f>
        <v>31.6</v>
      </c>
      <c r="X68" s="404" t="s">
        <v>288</v>
      </c>
      <c r="Y68" s="409"/>
      <c r="Z68" s="410" t="s">
        <v>402</v>
      </c>
      <c r="AA68" s="411"/>
    </row>
    <row r="69" ht="240" spans="1:27">
      <c r="A69" s="368">
        <v>25</v>
      </c>
      <c r="B69" s="369" t="s">
        <v>403</v>
      </c>
      <c r="C69" s="369" t="s">
        <v>404</v>
      </c>
      <c r="D69" s="367" t="s">
        <v>404</v>
      </c>
      <c r="E69" s="376">
        <f t="shared" si="189"/>
        <v>31.6</v>
      </c>
      <c r="F69" s="377">
        <f t="shared" si="190"/>
        <v>8</v>
      </c>
      <c r="G69" s="377">
        <f t="shared" si="191"/>
        <v>12</v>
      </c>
      <c r="H69" s="376">
        <f t="shared" si="192"/>
        <v>3.6</v>
      </c>
      <c r="I69" s="376">
        <f t="shared" si="193"/>
        <v>8</v>
      </c>
      <c r="J69" s="376">
        <f t="shared" si="2"/>
        <v>0.179545454545455</v>
      </c>
      <c r="K69" s="383" t="s">
        <v>168</v>
      </c>
      <c r="L69" s="384" t="str">
        <f>IF(K69="","",VLOOKUP(K69,'Định nghĩa Loại Chức năng'!$B$4:$C$92,2,FALSE))</f>
        <v>Chức năng web bao gồm UI + Service - trung bình</v>
      </c>
      <c r="M69" s="394" t="s">
        <v>287</v>
      </c>
      <c r="N69" s="395">
        <f>IF(K69="","",VLOOKUP(K69&amp;$N$7,CSDL_CN!$D$4:$E$264,2,FALSE))</f>
        <v>10</v>
      </c>
      <c r="O69" s="395">
        <f>IF(K69="","",VLOOKUP(K69&amp;$O$7,CSDL_CN!$D$4:$E$264,2,FALSE))</f>
        <v>15</v>
      </c>
      <c r="P69" s="395">
        <f t="shared" si="195"/>
        <v>4.5</v>
      </c>
      <c r="Q69" s="395">
        <f>IF(K69="","",VLOOKUP(K69&amp;$Q$7,CSDL_CN!$D$4:$E$264,2,FALSE))</f>
        <v>10</v>
      </c>
      <c r="R69" s="395">
        <f t="array" ref="R69">SUM(IFERROR(N69:Q69,0))</f>
        <v>39.5</v>
      </c>
      <c r="S69" s="400">
        <v>0.2</v>
      </c>
      <c r="T69" s="400">
        <v>0.2</v>
      </c>
      <c r="U69" s="400">
        <v>0.2</v>
      </c>
      <c r="V69" s="366"/>
      <c r="W69" s="366">
        <f t="shared" si="196"/>
        <v>31.6</v>
      </c>
      <c r="X69" s="404" t="s">
        <v>288</v>
      </c>
      <c r="Y69" s="409">
        <f>E69/8/22+E70/8/22+E71/8/22+E72/8/22+E73/8/22</f>
        <v>0.897727272727273</v>
      </c>
      <c r="Z69" s="410" t="s">
        <v>405</v>
      </c>
      <c r="AA69" s="411"/>
    </row>
    <row r="70" ht="240" spans="1:27">
      <c r="A70" s="368"/>
      <c r="B70" s="369"/>
      <c r="C70" s="369"/>
      <c r="D70" s="367" t="s">
        <v>406</v>
      </c>
      <c r="E70" s="376">
        <f t="shared" ref="E70:E74" si="197">SUM(F70:I70)</f>
        <v>31.6</v>
      </c>
      <c r="F70" s="377">
        <f t="shared" ref="F70:F74" si="198">N70*(1-$S70)</f>
        <v>8</v>
      </c>
      <c r="G70" s="377">
        <f t="shared" ref="G70:G74" si="199">O70*(1-$T70)</f>
        <v>12</v>
      </c>
      <c r="H70" s="376">
        <f t="shared" ref="H70:H74" si="200">P70*(1-$T70)</f>
        <v>3.6</v>
      </c>
      <c r="I70" s="376">
        <f t="shared" ref="I70:I74" si="201">Q70*(1-$U70)</f>
        <v>8</v>
      </c>
      <c r="J70" s="376">
        <f t="shared" ref="J70:J73" si="202">E70/22/8</f>
        <v>0.179545454545455</v>
      </c>
      <c r="K70" s="383" t="s">
        <v>168</v>
      </c>
      <c r="L70" s="384" t="str">
        <f>IF(K70="","",VLOOKUP(K70,'Định nghĩa Loại Chức năng'!$B$4:$C$92,2,FALSE))</f>
        <v>Chức năng web bao gồm UI + Service - trung bình</v>
      </c>
      <c r="M70" s="394" t="s">
        <v>287</v>
      </c>
      <c r="N70" s="395">
        <f>IF(K70="","",VLOOKUP(K70&amp;$N$7,CSDL_CN!$D$4:$E$264,2,FALSE))</f>
        <v>10</v>
      </c>
      <c r="O70" s="395">
        <f>IF(K70="","",VLOOKUP(K70&amp;$O$7,CSDL_CN!$D$4:$E$264,2,FALSE))</f>
        <v>15</v>
      </c>
      <c r="P70" s="395">
        <f t="shared" ref="P70:P74" si="203">IF(M70="Có",O70*30%,0)</f>
        <v>4.5</v>
      </c>
      <c r="Q70" s="395">
        <f>IF(K70="","",VLOOKUP(K70&amp;$Q$7,CSDL_CN!$D$4:$E$264,2,FALSE))</f>
        <v>10</v>
      </c>
      <c r="R70" s="395">
        <f t="array" ref="R70">SUM(IFERROR(N70:Q70,0))</f>
        <v>39.5</v>
      </c>
      <c r="S70" s="400">
        <v>0.2</v>
      </c>
      <c r="T70" s="400">
        <v>0.2</v>
      </c>
      <c r="U70" s="400">
        <v>0.2</v>
      </c>
      <c r="V70" s="366"/>
      <c r="W70" s="366">
        <f t="shared" ref="W70:W74" si="204">IF(X70="OS",E70,0)</f>
        <v>31.6</v>
      </c>
      <c r="X70" s="404" t="s">
        <v>288</v>
      </c>
      <c r="Y70" s="409"/>
      <c r="Z70" s="410" t="s">
        <v>407</v>
      </c>
      <c r="AA70" s="411"/>
    </row>
    <row r="71" ht="240" spans="1:27">
      <c r="A71" s="368"/>
      <c r="B71" s="369"/>
      <c r="C71" s="369"/>
      <c r="D71" s="369" t="s">
        <v>408</v>
      </c>
      <c r="E71" s="376">
        <f t="shared" si="197"/>
        <v>31.6</v>
      </c>
      <c r="F71" s="377">
        <f t="shared" si="198"/>
        <v>8</v>
      </c>
      <c r="G71" s="377">
        <f t="shared" si="199"/>
        <v>12</v>
      </c>
      <c r="H71" s="376">
        <f t="shared" si="200"/>
        <v>3.6</v>
      </c>
      <c r="I71" s="376">
        <f t="shared" si="201"/>
        <v>8</v>
      </c>
      <c r="J71" s="376">
        <f t="shared" si="202"/>
        <v>0.179545454545455</v>
      </c>
      <c r="K71" s="383" t="s">
        <v>168</v>
      </c>
      <c r="L71" s="384" t="str">
        <f>IF(K71="","",VLOOKUP(K71,'Định nghĩa Loại Chức năng'!$B$4:$C$92,2,FALSE))</f>
        <v>Chức năng web bao gồm UI + Service - trung bình</v>
      </c>
      <c r="M71" s="394" t="s">
        <v>287</v>
      </c>
      <c r="N71" s="395">
        <f>IF(K71="","",VLOOKUP(K71&amp;$N$7,CSDL_CN!$D$4:$E$264,2,FALSE))</f>
        <v>10</v>
      </c>
      <c r="O71" s="395">
        <f>IF(K71="","",VLOOKUP(K71&amp;$O$7,CSDL_CN!$D$4:$E$264,2,FALSE))</f>
        <v>15</v>
      </c>
      <c r="P71" s="395">
        <f t="shared" si="203"/>
        <v>4.5</v>
      </c>
      <c r="Q71" s="395">
        <f>IF(K71="","",VLOOKUP(K71&amp;$Q$7,CSDL_CN!$D$4:$E$264,2,FALSE))</f>
        <v>10</v>
      </c>
      <c r="R71" s="395">
        <f t="array" ref="R71">SUM(IFERROR(N71:Q71,0))</f>
        <v>39.5</v>
      </c>
      <c r="S71" s="400">
        <v>0.2</v>
      </c>
      <c r="T71" s="400">
        <v>0.2</v>
      </c>
      <c r="U71" s="400">
        <v>0.2</v>
      </c>
      <c r="V71" s="366"/>
      <c r="W71" s="366">
        <f t="shared" si="204"/>
        <v>31.6</v>
      </c>
      <c r="X71" s="404" t="s">
        <v>288</v>
      </c>
      <c r="Y71" s="409"/>
      <c r="Z71" s="410" t="s">
        <v>409</v>
      </c>
      <c r="AA71" s="411"/>
    </row>
    <row r="72" ht="240" spans="1:27">
      <c r="A72" s="368"/>
      <c r="B72" s="369"/>
      <c r="C72" s="369"/>
      <c r="D72" s="367" t="s">
        <v>410</v>
      </c>
      <c r="E72" s="376">
        <f t="shared" si="197"/>
        <v>31.6</v>
      </c>
      <c r="F72" s="377">
        <f t="shared" si="198"/>
        <v>8</v>
      </c>
      <c r="G72" s="377">
        <f t="shared" si="199"/>
        <v>12</v>
      </c>
      <c r="H72" s="376">
        <f t="shared" si="200"/>
        <v>3.6</v>
      </c>
      <c r="I72" s="376">
        <f t="shared" si="201"/>
        <v>8</v>
      </c>
      <c r="J72" s="376">
        <f t="shared" si="202"/>
        <v>0.179545454545455</v>
      </c>
      <c r="K72" s="383" t="s">
        <v>168</v>
      </c>
      <c r="L72" s="384" t="str">
        <f>IF(K72="","",VLOOKUP(K72,'Định nghĩa Loại Chức năng'!$B$4:$C$92,2,FALSE))</f>
        <v>Chức năng web bao gồm UI + Service - trung bình</v>
      </c>
      <c r="M72" s="394" t="s">
        <v>287</v>
      </c>
      <c r="N72" s="395">
        <f>IF(K72="","",VLOOKUP(K72&amp;$N$7,CSDL_CN!$D$4:$E$264,2,FALSE))</f>
        <v>10</v>
      </c>
      <c r="O72" s="395">
        <f>IF(K72="","",VLOOKUP(K72&amp;$O$7,CSDL_CN!$D$4:$E$264,2,FALSE))</f>
        <v>15</v>
      </c>
      <c r="P72" s="395">
        <f t="shared" si="203"/>
        <v>4.5</v>
      </c>
      <c r="Q72" s="395">
        <f>IF(K72="","",VLOOKUP(K72&amp;$Q$7,CSDL_CN!$D$4:$E$264,2,FALSE))</f>
        <v>10</v>
      </c>
      <c r="R72" s="395">
        <f t="array" ref="R72">SUM(IFERROR(N72:Q72,0))</f>
        <v>39.5</v>
      </c>
      <c r="S72" s="400">
        <v>0.2</v>
      </c>
      <c r="T72" s="400">
        <v>0.2</v>
      </c>
      <c r="U72" s="400">
        <v>0.2</v>
      </c>
      <c r="V72" s="366"/>
      <c r="W72" s="366">
        <f t="shared" si="204"/>
        <v>31.6</v>
      </c>
      <c r="X72" s="404" t="s">
        <v>288</v>
      </c>
      <c r="Y72" s="409"/>
      <c r="Z72" s="410" t="s">
        <v>411</v>
      </c>
      <c r="AA72" s="411"/>
    </row>
    <row r="73" ht="240" spans="1:27">
      <c r="A73" s="368"/>
      <c r="B73" s="369"/>
      <c r="C73" s="369"/>
      <c r="D73" s="367" t="s">
        <v>412</v>
      </c>
      <c r="E73" s="376">
        <f t="shared" si="197"/>
        <v>31.6</v>
      </c>
      <c r="F73" s="377">
        <f t="shared" si="198"/>
        <v>8</v>
      </c>
      <c r="G73" s="377">
        <f t="shared" si="199"/>
        <v>12</v>
      </c>
      <c r="H73" s="376">
        <f t="shared" si="200"/>
        <v>3.6</v>
      </c>
      <c r="I73" s="376">
        <f t="shared" si="201"/>
        <v>8</v>
      </c>
      <c r="J73" s="376">
        <f t="shared" si="202"/>
        <v>0.179545454545455</v>
      </c>
      <c r="K73" s="383" t="s">
        <v>168</v>
      </c>
      <c r="L73" s="384" t="str">
        <f>IF(K73="","",VLOOKUP(K73,'Định nghĩa Loại Chức năng'!$B$4:$C$92,2,FALSE))</f>
        <v>Chức năng web bao gồm UI + Service - trung bình</v>
      </c>
      <c r="M73" s="394" t="s">
        <v>287</v>
      </c>
      <c r="N73" s="395">
        <f>IF(K73="","",VLOOKUP(K73&amp;$N$7,CSDL_CN!$D$4:$E$264,2,FALSE))</f>
        <v>10</v>
      </c>
      <c r="O73" s="395">
        <f>IF(K73="","",VLOOKUP(K73&amp;$O$7,CSDL_CN!$D$4:$E$264,2,FALSE))</f>
        <v>15</v>
      </c>
      <c r="P73" s="395">
        <f t="shared" si="203"/>
        <v>4.5</v>
      </c>
      <c r="Q73" s="395">
        <f>IF(K73="","",VLOOKUP(K73&amp;$Q$7,CSDL_CN!$D$4:$E$264,2,FALSE))</f>
        <v>10</v>
      </c>
      <c r="R73" s="395">
        <f t="array" ref="R73">SUM(IFERROR(N73:Q73,0))</f>
        <v>39.5</v>
      </c>
      <c r="S73" s="400">
        <v>0.2</v>
      </c>
      <c r="T73" s="400">
        <v>0.2</v>
      </c>
      <c r="U73" s="400">
        <v>0.2</v>
      </c>
      <c r="V73" s="366"/>
      <c r="W73" s="366">
        <f t="shared" si="204"/>
        <v>31.6</v>
      </c>
      <c r="X73" s="404" t="s">
        <v>288</v>
      </c>
      <c r="Y73" s="409"/>
      <c r="Z73" s="410" t="s">
        <v>413</v>
      </c>
      <c r="AA73" s="411"/>
    </row>
    <row r="74" ht="270" spans="1:27">
      <c r="A74" s="368">
        <v>26</v>
      </c>
      <c r="B74" s="369" t="s">
        <v>414</v>
      </c>
      <c r="C74" s="369" t="s">
        <v>415</v>
      </c>
      <c r="D74" s="367" t="s">
        <v>416</v>
      </c>
      <c r="E74" s="376">
        <f t="shared" si="197"/>
        <v>31.6</v>
      </c>
      <c r="F74" s="377">
        <f t="shared" si="198"/>
        <v>8</v>
      </c>
      <c r="G74" s="377">
        <f t="shared" si="199"/>
        <v>12</v>
      </c>
      <c r="H74" s="376">
        <f t="shared" si="200"/>
        <v>3.6</v>
      </c>
      <c r="I74" s="376">
        <f t="shared" si="201"/>
        <v>8</v>
      </c>
      <c r="J74" s="376">
        <f t="shared" si="2"/>
        <v>0.179545454545455</v>
      </c>
      <c r="K74" s="383" t="s">
        <v>168</v>
      </c>
      <c r="L74" s="384" t="str">
        <f>IF(K74="","",VLOOKUP(K74,'Định nghĩa Loại Chức năng'!$B$4:$C$92,2,FALSE))</f>
        <v>Chức năng web bao gồm UI + Service - trung bình</v>
      </c>
      <c r="M74" s="394" t="s">
        <v>287</v>
      </c>
      <c r="N74" s="395">
        <f>IF(K74="","",VLOOKUP(K74&amp;$N$7,CSDL_CN!$D$4:$E$264,2,FALSE))</f>
        <v>10</v>
      </c>
      <c r="O74" s="395">
        <f>IF(K74="","",VLOOKUP(K74&amp;$O$7,CSDL_CN!$D$4:$E$264,2,FALSE))</f>
        <v>15</v>
      </c>
      <c r="P74" s="395">
        <f t="shared" si="203"/>
        <v>4.5</v>
      </c>
      <c r="Q74" s="395">
        <f>IF(K74="","",VLOOKUP(K74&amp;$Q$7,CSDL_CN!$D$4:$E$264,2,FALSE))</f>
        <v>10</v>
      </c>
      <c r="R74" s="395">
        <f t="array" ref="R74">SUM(IFERROR(N74:Q74,0))</f>
        <v>39.5</v>
      </c>
      <c r="S74" s="400">
        <v>0.2</v>
      </c>
      <c r="T74" s="400">
        <v>0.2</v>
      </c>
      <c r="U74" s="400">
        <v>0.2</v>
      </c>
      <c r="V74" s="366"/>
      <c r="W74" s="366">
        <f t="shared" si="204"/>
        <v>31.6</v>
      </c>
      <c r="X74" s="404" t="s">
        <v>288</v>
      </c>
      <c r="Y74" s="409">
        <f>E74/8/22+E75/8/22+E76/8/22+E77/8/22+E78/8/22</f>
        <v>0.897727272727273</v>
      </c>
      <c r="Z74" s="410" t="s">
        <v>417</v>
      </c>
      <c r="AA74" s="411"/>
    </row>
    <row r="75" ht="270" spans="1:27">
      <c r="A75" s="368"/>
      <c r="B75" s="369"/>
      <c r="C75" s="369"/>
      <c r="D75" s="367" t="s">
        <v>418</v>
      </c>
      <c r="E75" s="376">
        <f t="shared" ref="E75:E79" si="205">SUM(F75:I75)</f>
        <v>31.6</v>
      </c>
      <c r="F75" s="377">
        <f t="shared" ref="F75:F79" si="206">N75*(1-$S75)</f>
        <v>8</v>
      </c>
      <c r="G75" s="377">
        <f t="shared" ref="G75:G79" si="207">O75*(1-$T75)</f>
        <v>12</v>
      </c>
      <c r="H75" s="376">
        <f t="shared" ref="H75:H79" si="208">P75*(1-$T75)</f>
        <v>3.6</v>
      </c>
      <c r="I75" s="376">
        <f t="shared" ref="I75:I79" si="209">Q75*(1-$U75)</f>
        <v>8</v>
      </c>
      <c r="J75" s="376">
        <f t="shared" ref="J75:J78" si="210">E75/22/8</f>
        <v>0.179545454545455</v>
      </c>
      <c r="K75" s="383" t="s">
        <v>168</v>
      </c>
      <c r="L75" s="384" t="str">
        <f>IF(K75="","",VLOOKUP(K75,'Định nghĩa Loại Chức năng'!$B$4:$C$92,2,FALSE))</f>
        <v>Chức năng web bao gồm UI + Service - trung bình</v>
      </c>
      <c r="M75" s="394" t="s">
        <v>287</v>
      </c>
      <c r="N75" s="395">
        <f>IF(K75="","",VLOOKUP(K75&amp;$N$7,CSDL_CN!$D$4:$E$264,2,FALSE))</f>
        <v>10</v>
      </c>
      <c r="O75" s="395">
        <f>IF(K75="","",VLOOKUP(K75&amp;$O$7,CSDL_CN!$D$4:$E$264,2,FALSE))</f>
        <v>15</v>
      </c>
      <c r="P75" s="395">
        <f t="shared" ref="P75:P79" si="211">IF(M75="Có",O75*30%,0)</f>
        <v>4.5</v>
      </c>
      <c r="Q75" s="395">
        <f>IF(K75="","",VLOOKUP(K75&amp;$Q$7,CSDL_CN!$D$4:$E$264,2,FALSE))</f>
        <v>10</v>
      </c>
      <c r="R75" s="395">
        <f t="array" ref="R75">SUM(IFERROR(N75:Q75,0))</f>
        <v>39.5</v>
      </c>
      <c r="S75" s="400">
        <v>0.2</v>
      </c>
      <c r="T75" s="400">
        <v>0.2</v>
      </c>
      <c r="U75" s="400">
        <v>0.2</v>
      </c>
      <c r="V75" s="366"/>
      <c r="W75" s="366">
        <f t="shared" ref="W75:W79" si="212">IF(X75="OS",E75,0)</f>
        <v>31.6</v>
      </c>
      <c r="X75" s="404" t="s">
        <v>288</v>
      </c>
      <c r="Y75" s="409"/>
      <c r="Z75" s="410" t="s">
        <v>419</v>
      </c>
      <c r="AA75" s="411"/>
    </row>
    <row r="76" ht="270" spans="1:27">
      <c r="A76" s="368"/>
      <c r="B76" s="369"/>
      <c r="C76" s="369"/>
      <c r="D76" s="367" t="s">
        <v>420</v>
      </c>
      <c r="E76" s="376">
        <f t="shared" si="205"/>
        <v>31.6</v>
      </c>
      <c r="F76" s="377">
        <f t="shared" si="206"/>
        <v>8</v>
      </c>
      <c r="G76" s="377">
        <f t="shared" si="207"/>
        <v>12</v>
      </c>
      <c r="H76" s="376">
        <f t="shared" si="208"/>
        <v>3.6</v>
      </c>
      <c r="I76" s="376">
        <f t="shared" si="209"/>
        <v>8</v>
      </c>
      <c r="J76" s="376">
        <f t="shared" si="210"/>
        <v>0.179545454545455</v>
      </c>
      <c r="K76" s="383" t="s">
        <v>168</v>
      </c>
      <c r="L76" s="384" t="str">
        <f>IF(K76="","",VLOOKUP(K76,'Định nghĩa Loại Chức năng'!$B$4:$C$92,2,FALSE))</f>
        <v>Chức năng web bao gồm UI + Service - trung bình</v>
      </c>
      <c r="M76" s="394" t="s">
        <v>287</v>
      </c>
      <c r="N76" s="395">
        <f>IF(K76="","",VLOOKUP(K76&amp;$N$7,CSDL_CN!$D$4:$E$264,2,FALSE))</f>
        <v>10</v>
      </c>
      <c r="O76" s="395">
        <f>IF(K76="","",VLOOKUP(K76&amp;$O$7,CSDL_CN!$D$4:$E$264,2,FALSE))</f>
        <v>15</v>
      </c>
      <c r="P76" s="395">
        <f t="shared" si="211"/>
        <v>4.5</v>
      </c>
      <c r="Q76" s="395">
        <f>IF(K76="","",VLOOKUP(K76&amp;$Q$7,CSDL_CN!$D$4:$E$264,2,FALSE))</f>
        <v>10</v>
      </c>
      <c r="R76" s="395">
        <f t="array" ref="R76">SUM(IFERROR(N76:Q76,0))</f>
        <v>39.5</v>
      </c>
      <c r="S76" s="400">
        <v>0.2</v>
      </c>
      <c r="T76" s="400">
        <v>0.2</v>
      </c>
      <c r="U76" s="400">
        <v>0.2</v>
      </c>
      <c r="V76" s="366"/>
      <c r="W76" s="366">
        <f t="shared" si="212"/>
        <v>31.6</v>
      </c>
      <c r="X76" s="404" t="s">
        <v>288</v>
      </c>
      <c r="Y76" s="409"/>
      <c r="Z76" s="410" t="s">
        <v>419</v>
      </c>
      <c r="AA76" s="411"/>
    </row>
    <row r="77" ht="270" spans="1:27">
      <c r="A77" s="368"/>
      <c r="B77" s="369"/>
      <c r="C77" s="369"/>
      <c r="D77" s="367" t="s">
        <v>421</v>
      </c>
      <c r="E77" s="376">
        <f t="shared" si="205"/>
        <v>31.6</v>
      </c>
      <c r="F77" s="377">
        <f t="shared" si="206"/>
        <v>8</v>
      </c>
      <c r="G77" s="377">
        <f t="shared" si="207"/>
        <v>12</v>
      </c>
      <c r="H77" s="376">
        <f t="shared" si="208"/>
        <v>3.6</v>
      </c>
      <c r="I77" s="376">
        <f t="shared" si="209"/>
        <v>8</v>
      </c>
      <c r="J77" s="376">
        <f t="shared" si="210"/>
        <v>0.179545454545455</v>
      </c>
      <c r="K77" s="383" t="s">
        <v>168</v>
      </c>
      <c r="L77" s="384" t="str">
        <f>IF(K77="","",VLOOKUP(K77,'Định nghĩa Loại Chức năng'!$B$4:$C$92,2,FALSE))</f>
        <v>Chức năng web bao gồm UI + Service - trung bình</v>
      </c>
      <c r="M77" s="394" t="s">
        <v>287</v>
      </c>
      <c r="N77" s="395">
        <f>IF(K77="","",VLOOKUP(K77&amp;$N$7,CSDL_CN!$D$4:$E$264,2,FALSE))</f>
        <v>10</v>
      </c>
      <c r="O77" s="395">
        <f>IF(K77="","",VLOOKUP(K77&amp;$O$7,CSDL_CN!$D$4:$E$264,2,FALSE))</f>
        <v>15</v>
      </c>
      <c r="P77" s="395">
        <f t="shared" si="211"/>
        <v>4.5</v>
      </c>
      <c r="Q77" s="395">
        <f>IF(K77="","",VLOOKUP(K77&amp;$Q$7,CSDL_CN!$D$4:$E$264,2,FALSE))</f>
        <v>10</v>
      </c>
      <c r="R77" s="395">
        <f t="array" ref="R77">SUM(IFERROR(N77:Q77,0))</f>
        <v>39.5</v>
      </c>
      <c r="S77" s="400">
        <v>0.2</v>
      </c>
      <c r="T77" s="400">
        <v>0.2</v>
      </c>
      <c r="U77" s="400">
        <v>0.2</v>
      </c>
      <c r="V77" s="366"/>
      <c r="W77" s="366">
        <f t="shared" si="212"/>
        <v>31.6</v>
      </c>
      <c r="X77" s="404" t="s">
        <v>288</v>
      </c>
      <c r="Y77" s="409"/>
      <c r="Z77" s="410" t="s">
        <v>422</v>
      </c>
      <c r="AA77" s="411"/>
    </row>
    <row r="78" ht="270" spans="1:27">
      <c r="A78" s="368"/>
      <c r="B78" s="369"/>
      <c r="C78" s="369"/>
      <c r="D78" s="367" t="s">
        <v>408</v>
      </c>
      <c r="E78" s="376">
        <f t="shared" si="205"/>
        <v>31.6</v>
      </c>
      <c r="F78" s="377">
        <f t="shared" si="206"/>
        <v>8</v>
      </c>
      <c r="G78" s="377">
        <f t="shared" si="207"/>
        <v>12</v>
      </c>
      <c r="H78" s="376">
        <f t="shared" si="208"/>
        <v>3.6</v>
      </c>
      <c r="I78" s="376">
        <f t="shared" si="209"/>
        <v>8</v>
      </c>
      <c r="J78" s="376">
        <f t="shared" si="210"/>
        <v>0.179545454545455</v>
      </c>
      <c r="K78" s="383" t="s">
        <v>168</v>
      </c>
      <c r="L78" s="384" t="str">
        <f>IF(K78="","",VLOOKUP(K78,'Định nghĩa Loại Chức năng'!$B$4:$C$92,2,FALSE))</f>
        <v>Chức năng web bao gồm UI + Service - trung bình</v>
      </c>
      <c r="M78" s="394" t="s">
        <v>287</v>
      </c>
      <c r="N78" s="395">
        <f>IF(K78="","",VLOOKUP(K78&amp;$N$7,CSDL_CN!$D$4:$E$264,2,FALSE))</f>
        <v>10</v>
      </c>
      <c r="O78" s="395">
        <f>IF(K78="","",VLOOKUP(K78&amp;$O$7,CSDL_CN!$D$4:$E$264,2,FALSE))</f>
        <v>15</v>
      </c>
      <c r="P78" s="395">
        <f t="shared" si="211"/>
        <v>4.5</v>
      </c>
      <c r="Q78" s="395">
        <f>IF(K78="","",VLOOKUP(K78&amp;$Q$7,CSDL_CN!$D$4:$E$264,2,FALSE))</f>
        <v>10</v>
      </c>
      <c r="R78" s="395">
        <f t="array" ref="R78">SUM(IFERROR(N78:Q78,0))</f>
        <v>39.5</v>
      </c>
      <c r="S78" s="400">
        <v>0.2</v>
      </c>
      <c r="T78" s="400">
        <v>0.2</v>
      </c>
      <c r="U78" s="400">
        <v>0.2</v>
      </c>
      <c r="V78" s="366"/>
      <c r="W78" s="366">
        <f t="shared" si="212"/>
        <v>31.6</v>
      </c>
      <c r="X78" s="404" t="s">
        <v>288</v>
      </c>
      <c r="Y78" s="409"/>
      <c r="Z78" s="410" t="s">
        <v>423</v>
      </c>
      <c r="AA78" s="411"/>
    </row>
    <row r="79" ht="240" spans="1:27">
      <c r="A79" s="366">
        <v>27</v>
      </c>
      <c r="B79" s="367" t="s">
        <v>424</v>
      </c>
      <c r="C79" s="367" t="s">
        <v>425</v>
      </c>
      <c r="D79" s="367" t="s">
        <v>425</v>
      </c>
      <c r="E79" s="376">
        <f t="shared" si="205"/>
        <v>31.6</v>
      </c>
      <c r="F79" s="377">
        <f t="shared" si="206"/>
        <v>8</v>
      </c>
      <c r="G79" s="377">
        <f t="shared" si="207"/>
        <v>12</v>
      </c>
      <c r="H79" s="376">
        <f t="shared" si="208"/>
        <v>3.6</v>
      </c>
      <c r="I79" s="376">
        <f t="shared" si="209"/>
        <v>8</v>
      </c>
      <c r="J79" s="376">
        <f t="shared" si="2"/>
        <v>0.179545454545455</v>
      </c>
      <c r="K79" s="383" t="s">
        <v>168</v>
      </c>
      <c r="L79" s="384" t="str">
        <f>IF(K79="","",VLOOKUP(K79,'Định nghĩa Loại Chức năng'!$B$4:$C$92,2,FALSE))</f>
        <v>Chức năng web bao gồm UI + Service - trung bình</v>
      </c>
      <c r="M79" s="394" t="s">
        <v>287</v>
      </c>
      <c r="N79" s="395">
        <f>IF(K79="","",VLOOKUP(K79&amp;$N$7,CSDL_CN!$D$4:$E$264,2,FALSE))</f>
        <v>10</v>
      </c>
      <c r="O79" s="395">
        <f>IF(K79="","",VLOOKUP(K79&amp;$O$7,CSDL_CN!$D$4:$E$264,2,FALSE))</f>
        <v>15</v>
      </c>
      <c r="P79" s="395">
        <f t="shared" si="211"/>
        <v>4.5</v>
      </c>
      <c r="Q79" s="395">
        <f>IF(K79="","",VLOOKUP(K79&amp;$Q$7,CSDL_CN!$D$4:$E$264,2,FALSE))</f>
        <v>10</v>
      </c>
      <c r="R79" s="395">
        <f t="array" ref="R79">SUM(IFERROR(N79:Q79,0))</f>
        <v>39.5</v>
      </c>
      <c r="S79" s="400">
        <v>0.2</v>
      </c>
      <c r="T79" s="400">
        <v>0.2</v>
      </c>
      <c r="U79" s="400">
        <v>0.2</v>
      </c>
      <c r="V79" s="366"/>
      <c r="W79" s="366">
        <f t="shared" si="212"/>
        <v>31.6</v>
      </c>
      <c r="X79" s="404" t="s">
        <v>288</v>
      </c>
      <c r="Y79" s="409">
        <f>E79/8/22+E80/8/22+E81/8/22+E82/8/22</f>
        <v>0.718181818181818</v>
      </c>
      <c r="Z79" s="410" t="s">
        <v>426</v>
      </c>
      <c r="AA79" s="411"/>
    </row>
    <row r="80" ht="240" spans="1:27">
      <c r="A80" s="366"/>
      <c r="B80" s="367"/>
      <c r="C80" s="367"/>
      <c r="D80" s="367" t="s">
        <v>427</v>
      </c>
      <c r="E80" s="376">
        <f t="shared" ref="E80:E81" si="213">SUM(F80:I80)</f>
        <v>31.6</v>
      </c>
      <c r="F80" s="377">
        <f t="shared" ref="F80:F81" si="214">N80*(1-$S80)</f>
        <v>8</v>
      </c>
      <c r="G80" s="377">
        <f t="shared" ref="G80:G81" si="215">O80*(1-$T80)</f>
        <v>12</v>
      </c>
      <c r="H80" s="376">
        <f t="shared" ref="H80:H81" si="216">P80*(1-$T80)</f>
        <v>3.6</v>
      </c>
      <c r="I80" s="376">
        <f t="shared" ref="I80:I81" si="217">Q80*(1-$U80)</f>
        <v>8</v>
      </c>
      <c r="J80" s="376">
        <f t="shared" ref="J80:J81" si="218">E80/22/8</f>
        <v>0.179545454545455</v>
      </c>
      <c r="K80" s="383" t="s">
        <v>168</v>
      </c>
      <c r="L80" s="384" t="str">
        <f>IF(K80="","",VLOOKUP(K80,'Định nghĩa Loại Chức năng'!$B$4:$C$92,2,FALSE))</f>
        <v>Chức năng web bao gồm UI + Service - trung bình</v>
      </c>
      <c r="M80" s="394" t="s">
        <v>287</v>
      </c>
      <c r="N80" s="395">
        <f>IF(K80="","",VLOOKUP(K80&amp;$N$7,CSDL_CN!$D$4:$E$264,2,FALSE))</f>
        <v>10</v>
      </c>
      <c r="O80" s="395">
        <f>IF(K80="","",VLOOKUP(K80&amp;$O$7,CSDL_CN!$D$4:$E$264,2,FALSE))</f>
        <v>15</v>
      </c>
      <c r="P80" s="395">
        <f t="shared" ref="P80:P81" si="219">IF(M80="Có",O80*30%,0)</f>
        <v>4.5</v>
      </c>
      <c r="Q80" s="395">
        <f>IF(K80="","",VLOOKUP(K80&amp;$Q$7,CSDL_CN!$D$4:$E$264,2,FALSE))</f>
        <v>10</v>
      </c>
      <c r="R80" s="395">
        <f t="array" ref="R80">SUM(IFERROR(N80:Q80,0))</f>
        <v>39.5</v>
      </c>
      <c r="S80" s="400">
        <v>0.2</v>
      </c>
      <c r="T80" s="400">
        <v>0.2</v>
      </c>
      <c r="U80" s="400">
        <v>0.2</v>
      </c>
      <c r="V80" s="366"/>
      <c r="W80" s="366">
        <f t="shared" ref="W80:W81" si="220">IF(X80="OS",E80,0)</f>
        <v>31.6</v>
      </c>
      <c r="X80" s="404" t="s">
        <v>288</v>
      </c>
      <c r="Y80" s="409"/>
      <c r="Z80" s="410" t="s">
        <v>428</v>
      </c>
      <c r="AA80" s="411"/>
    </row>
    <row r="81" ht="240" spans="1:27">
      <c r="A81" s="366"/>
      <c r="B81" s="367"/>
      <c r="C81" s="367"/>
      <c r="D81" s="367" t="s">
        <v>429</v>
      </c>
      <c r="E81" s="376">
        <f t="shared" si="213"/>
        <v>31.6</v>
      </c>
      <c r="F81" s="377">
        <f t="shared" si="214"/>
        <v>8</v>
      </c>
      <c r="G81" s="377">
        <f t="shared" si="215"/>
        <v>12</v>
      </c>
      <c r="H81" s="376">
        <f t="shared" si="216"/>
        <v>3.6</v>
      </c>
      <c r="I81" s="376">
        <f t="shared" si="217"/>
        <v>8</v>
      </c>
      <c r="J81" s="376">
        <f t="shared" si="218"/>
        <v>0.179545454545455</v>
      </c>
      <c r="K81" s="383" t="s">
        <v>168</v>
      </c>
      <c r="L81" s="384" t="str">
        <f>IF(K81="","",VLOOKUP(K81,'Định nghĩa Loại Chức năng'!$B$4:$C$92,2,FALSE))</f>
        <v>Chức năng web bao gồm UI + Service - trung bình</v>
      </c>
      <c r="M81" s="394" t="s">
        <v>287</v>
      </c>
      <c r="N81" s="395">
        <f>IF(K81="","",VLOOKUP(K81&amp;$N$7,CSDL_CN!$D$4:$E$264,2,FALSE))</f>
        <v>10</v>
      </c>
      <c r="O81" s="395">
        <f>IF(K81="","",VLOOKUP(K81&amp;$O$7,CSDL_CN!$D$4:$E$264,2,FALSE))</f>
        <v>15</v>
      </c>
      <c r="P81" s="395">
        <f t="shared" si="219"/>
        <v>4.5</v>
      </c>
      <c r="Q81" s="395">
        <f>IF(K81="","",VLOOKUP(K81&amp;$Q$7,CSDL_CN!$D$4:$E$264,2,FALSE))</f>
        <v>10</v>
      </c>
      <c r="R81" s="395">
        <f t="array" ref="R81">SUM(IFERROR(N81:Q81,0))</f>
        <v>39.5</v>
      </c>
      <c r="S81" s="400">
        <v>0.2</v>
      </c>
      <c r="T81" s="400">
        <v>0.2</v>
      </c>
      <c r="U81" s="400">
        <v>0.2</v>
      </c>
      <c r="V81" s="366"/>
      <c r="W81" s="366">
        <f t="shared" si="220"/>
        <v>31.6</v>
      </c>
      <c r="X81" s="404" t="s">
        <v>288</v>
      </c>
      <c r="Y81" s="409"/>
      <c r="Z81" s="410" t="s">
        <v>430</v>
      </c>
      <c r="AA81" s="411"/>
    </row>
    <row r="82" ht="255" spans="1:27">
      <c r="A82" s="366"/>
      <c r="B82" s="367"/>
      <c r="C82" s="367"/>
      <c r="D82" s="367" t="s">
        <v>431</v>
      </c>
      <c r="E82" s="376">
        <f t="shared" ref="E82:E83" si="221">SUM(F82:I82)</f>
        <v>31.6</v>
      </c>
      <c r="F82" s="377">
        <f t="shared" ref="F82:F83" si="222">N82*(1-$S82)</f>
        <v>8</v>
      </c>
      <c r="G82" s="377">
        <f t="shared" ref="G82:G83" si="223">O82*(1-$T82)</f>
        <v>12</v>
      </c>
      <c r="H82" s="376">
        <f t="shared" ref="H82:H83" si="224">P82*(1-$T82)</f>
        <v>3.6</v>
      </c>
      <c r="I82" s="376">
        <f t="shared" ref="I82:I83" si="225">Q82*(1-$U82)</f>
        <v>8</v>
      </c>
      <c r="J82" s="376">
        <f t="shared" ref="J82" si="226">E82/22/8</f>
        <v>0.179545454545455</v>
      </c>
      <c r="K82" s="383" t="s">
        <v>168</v>
      </c>
      <c r="L82" s="384" t="str">
        <f>IF(K82="","",VLOOKUP(K82,'Định nghĩa Loại Chức năng'!$B$4:$C$92,2,FALSE))</f>
        <v>Chức năng web bao gồm UI + Service - trung bình</v>
      </c>
      <c r="M82" s="394" t="s">
        <v>287</v>
      </c>
      <c r="N82" s="395">
        <f>IF(K82="","",VLOOKUP(K82&amp;$N$7,CSDL_CN!$D$4:$E$264,2,FALSE))</f>
        <v>10</v>
      </c>
      <c r="O82" s="395">
        <f>IF(K82="","",VLOOKUP(K82&amp;$O$7,CSDL_CN!$D$4:$E$264,2,FALSE))</f>
        <v>15</v>
      </c>
      <c r="P82" s="395">
        <f t="shared" ref="P82:P83" si="227">IF(M82="Có",O82*30%,0)</f>
        <v>4.5</v>
      </c>
      <c r="Q82" s="395">
        <f>IF(K82="","",VLOOKUP(K82&amp;$Q$7,CSDL_CN!$D$4:$E$264,2,FALSE))</f>
        <v>10</v>
      </c>
      <c r="R82" s="395">
        <f t="array" ref="R82">SUM(IFERROR(N82:Q82,0))</f>
        <v>39.5</v>
      </c>
      <c r="S82" s="400">
        <v>0.2</v>
      </c>
      <c r="T82" s="400">
        <v>0.2</v>
      </c>
      <c r="U82" s="400">
        <v>0.2</v>
      </c>
      <c r="V82" s="366"/>
      <c r="W82" s="366">
        <f t="shared" ref="W82:W83" si="228">IF(X82="OS",E82,0)</f>
        <v>31.6</v>
      </c>
      <c r="X82" s="404" t="s">
        <v>288</v>
      </c>
      <c r="Y82" s="409"/>
      <c r="Z82" s="410" t="s">
        <v>432</v>
      </c>
      <c r="AA82" s="411"/>
    </row>
    <row r="83" ht="240" spans="1:27">
      <c r="A83" s="366">
        <v>28</v>
      </c>
      <c r="B83" s="367" t="s">
        <v>433</v>
      </c>
      <c r="C83" s="367" t="s">
        <v>434</v>
      </c>
      <c r="D83" s="367" t="s">
        <v>434</v>
      </c>
      <c r="E83" s="376">
        <f t="shared" si="221"/>
        <v>31.6</v>
      </c>
      <c r="F83" s="377">
        <f t="shared" si="222"/>
        <v>8</v>
      </c>
      <c r="G83" s="377">
        <f t="shared" si="223"/>
        <v>12</v>
      </c>
      <c r="H83" s="376">
        <f t="shared" si="224"/>
        <v>3.6</v>
      </c>
      <c r="I83" s="376">
        <f t="shared" si="225"/>
        <v>8</v>
      </c>
      <c r="J83" s="376">
        <f t="shared" si="2"/>
        <v>0.179545454545455</v>
      </c>
      <c r="K83" s="383" t="s">
        <v>168</v>
      </c>
      <c r="L83" s="384" t="str">
        <f>IF(K83="","",VLOOKUP(K83,'Định nghĩa Loại Chức năng'!$B$4:$C$92,2,FALSE))</f>
        <v>Chức năng web bao gồm UI + Service - trung bình</v>
      </c>
      <c r="M83" s="394" t="s">
        <v>287</v>
      </c>
      <c r="N83" s="395">
        <f>IF(K83="","",VLOOKUP(K83&amp;$N$7,CSDL_CN!$D$4:$E$264,2,FALSE))</f>
        <v>10</v>
      </c>
      <c r="O83" s="395">
        <f>IF(K83="","",VLOOKUP(K83&amp;$O$7,CSDL_CN!$D$4:$E$264,2,FALSE))</f>
        <v>15</v>
      </c>
      <c r="P83" s="395">
        <f t="shared" si="227"/>
        <v>4.5</v>
      </c>
      <c r="Q83" s="395">
        <f>IF(K83="","",VLOOKUP(K83&amp;$Q$7,CSDL_CN!$D$4:$E$264,2,FALSE))</f>
        <v>10</v>
      </c>
      <c r="R83" s="395">
        <f t="array" ref="R83">SUM(IFERROR(N83:Q83,0))</f>
        <v>39.5</v>
      </c>
      <c r="S83" s="400">
        <v>0.2</v>
      </c>
      <c r="T83" s="400">
        <v>0.2</v>
      </c>
      <c r="U83" s="400">
        <v>0.2</v>
      </c>
      <c r="V83" s="366"/>
      <c r="W83" s="366">
        <f t="shared" si="228"/>
        <v>31.6</v>
      </c>
      <c r="X83" s="404" t="s">
        <v>288</v>
      </c>
      <c r="Y83" s="409">
        <f>E83/8/22+E84/8/22+E85/8/22+E86/8/22</f>
        <v>0.718181818181818</v>
      </c>
      <c r="Z83" s="410" t="s">
        <v>435</v>
      </c>
      <c r="AA83" s="411"/>
    </row>
    <row r="84" ht="240" spans="1:27">
      <c r="A84" s="366"/>
      <c r="B84" s="367"/>
      <c r="C84" s="367"/>
      <c r="D84" s="367" t="s">
        <v>427</v>
      </c>
      <c r="E84" s="376">
        <f t="shared" ref="E84:E86" si="229">SUM(F84:I84)</f>
        <v>31.6</v>
      </c>
      <c r="F84" s="377">
        <f t="shared" ref="F84:F86" si="230">N84*(1-$S84)</f>
        <v>8</v>
      </c>
      <c r="G84" s="377">
        <f t="shared" ref="G84:G86" si="231">O84*(1-$T84)</f>
        <v>12</v>
      </c>
      <c r="H84" s="376">
        <f t="shared" ref="H84:H86" si="232">P84*(1-$T84)</f>
        <v>3.6</v>
      </c>
      <c r="I84" s="376">
        <f t="shared" ref="I84:I86" si="233">Q84*(1-$U84)</f>
        <v>8</v>
      </c>
      <c r="J84" s="376">
        <f t="shared" ref="J84:J86" si="234">E84/22/8</f>
        <v>0.179545454545455</v>
      </c>
      <c r="K84" s="383" t="s">
        <v>168</v>
      </c>
      <c r="L84" s="384" t="str">
        <f>IF(K84="","",VLOOKUP(K84,'Định nghĩa Loại Chức năng'!$B$4:$C$92,2,FALSE))</f>
        <v>Chức năng web bao gồm UI + Service - trung bình</v>
      </c>
      <c r="M84" s="394" t="s">
        <v>287</v>
      </c>
      <c r="N84" s="395">
        <f>IF(K84="","",VLOOKUP(K84&amp;$N$7,CSDL_CN!$D$4:$E$264,2,FALSE))</f>
        <v>10</v>
      </c>
      <c r="O84" s="395">
        <f>IF(K84="","",VLOOKUP(K84&amp;$O$7,CSDL_CN!$D$4:$E$264,2,FALSE))</f>
        <v>15</v>
      </c>
      <c r="P84" s="395">
        <f t="shared" ref="P84:P86" si="235">IF(M84="Có",O84*30%,0)</f>
        <v>4.5</v>
      </c>
      <c r="Q84" s="395">
        <f>IF(K84="","",VLOOKUP(K84&amp;$Q$7,CSDL_CN!$D$4:$E$264,2,FALSE))</f>
        <v>10</v>
      </c>
      <c r="R84" s="395">
        <f t="array" ref="R84">SUM(IFERROR(N84:Q84,0))</f>
        <v>39.5</v>
      </c>
      <c r="S84" s="400">
        <v>0.2</v>
      </c>
      <c r="T84" s="400">
        <v>0.2</v>
      </c>
      <c r="U84" s="400">
        <v>0.2</v>
      </c>
      <c r="V84" s="366"/>
      <c r="W84" s="366">
        <f t="shared" ref="W84:W86" si="236">IF(X84="OS",E84,0)</f>
        <v>31.6</v>
      </c>
      <c r="X84" s="404" t="s">
        <v>288</v>
      </c>
      <c r="Y84" s="409"/>
      <c r="Z84" s="410" t="s">
        <v>428</v>
      </c>
      <c r="AA84" s="411"/>
    </row>
    <row r="85" ht="240" spans="1:27">
      <c r="A85" s="366"/>
      <c r="B85" s="367"/>
      <c r="C85" s="367"/>
      <c r="D85" s="367" t="s">
        <v>429</v>
      </c>
      <c r="E85" s="376">
        <f t="shared" si="229"/>
        <v>31.6</v>
      </c>
      <c r="F85" s="377">
        <f t="shared" si="230"/>
        <v>8</v>
      </c>
      <c r="G85" s="377">
        <f t="shared" si="231"/>
        <v>12</v>
      </c>
      <c r="H85" s="376">
        <f t="shared" si="232"/>
        <v>3.6</v>
      </c>
      <c r="I85" s="376">
        <f t="shared" si="233"/>
        <v>8</v>
      </c>
      <c r="J85" s="376">
        <f t="shared" si="234"/>
        <v>0.179545454545455</v>
      </c>
      <c r="K85" s="383" t="s">
        <v>168</v>
      </c>
      <c r="L85" s="384" t="str">
        <f>IF(K85="","",VLOOKUP(K85,'Định nghĩa Loại Chức năng'!$B$4:$C$92,2,FALSE))</f>
        <v>Chức năng web bao gồm UI + Service - trung bình</v>
      </c>
      <c r="M85" s="394" t="s">
        <v>287</v>
      </c>
      <c r="N85" s="395">
        <f>IF(K85="","",VLOOKUP(K85&amp;$N$7,CSDL_CN!$D$4:$E$264,2,FALSE))</f>
        <v>10</v>
      </c>
      <c r="O85" s="395">
        <f>IF(K85="","",VLOOKUP(K85&amp;$O$7,CSDL_CN!$D$4:$E$264,2,FALSE))</f>
        <v>15</v>
      </c>
      <c r="P85" s="395">
        <f t="shared" si="235"/>
        <v>4.5</v>
      </c>
      <c r="Q85" s="395">
        <f>IF(K85="","",VLOOKUP(K85&amp;$Q$7,CSDL_CN!$D$4:$E$264,2,FALSE))</f>
        <v>10</v>
      </c>
      <c r="R85" s="395">
        <f t="array" ref="R85">SUM(IFERROR(N85:Q85,0))</f>
        <v>39.5</v>
      </c>
      <c r="S85" s="400">
        <v>0.2</v>
      </c>
      <c r="T85" s="400">
        <v>0.2</v>
      </c>
      <c r="U85" s="400">
        <v>0.2</v>
      </c>
      <c r="V85" s="366"/>
      <c r="W85" s="366">
        <f t="shared" si="236"/>
        <v>31.6</v>
      </c>
      <c r="X85" s="404" t="s">
        <v>288</v>
      </c>
      <c r="Y85" s="409"/>
      <c r="Z85" s="410" t="s">
        <v>430</v>
      </c>
      <c r="AA85" s="411"/>
    </row>
    <row r="86" ht="255" spans="1:27">
      <c r="A86" s="366"/>
      <c r="B86" s="367"/>
      <c r="C86" s="367"/>
      <c r="D86" s="367" t="s">
        <v>431</v>
      </c>
      <c r="E86" s="376">
        <f t="shared" si="229"/>
        <v>31.6</v>
      </c>
      <c r="F86" s="377">
        <f t="shared" si="230"/>
        <v>8</v>
      </c>
      <c r="G86" s="377">
        <f t="shared" si="231"/>
        <v>12</v>
      </c>
      <c r="H86" s="376">
        <f t="shared" si="232"/>
        <v>3.6</v>
      </c>
      <c r="I86" s="376">
        <f t="shared" si="233"/>
        <v>8</v>
      </c>
      <c r="J86" s="376">
        <f t="shared" si="234"/>
        <v>0.179545454545455</v>
      </c>
      <c r="K86" s="383" t="s">
        <v>168</v>
      </c>
      <c r="L86" s="384" t="str">
        <f>IF(K86="","",VLOOKUP(K86,'Định nghĩa Loại Chức năng'!$B$4:$C$92,2,FALSE))</f>
        <v>Chức năng web bao gồm UI + Service - trung bình</v>
      </c>
      <c r="M86" s="394" t="s">
        <v>287</v>
      </c>
      <c r="N86" s="395">
        <f>IF(K86="","",VLOOKUP(K86&amp;$N$7,CSDL_CN!$D$4:$E$264,2,FALSE))</f>
        <v>10</v>
      </c>
      <c r="O86" s="395">
        <f>IF(K86="","",VLOOKUP(K86&amp;$O$7,CSDL_CN!$D$4:$E$264,2,FALSE))</f>
        <v>15</v>
      </c>
      <c r="P86" s="395">
        <f t="shared" si="235"/>
        <v>4.5</v>
      </c>
      <c r="Q86" s="395">
        <f>IF(K86="","",VLOOKUP(K86&amp;$Q$7,CSDL_CN!$D$4:$E$264,2,FALSE))</f>
        <v>10</v>
      </c>
      <c r="R86" s="395">
        <f t="array" ref="R86">SUM(IFERROR(N86:Q86,0))</f>
        <v>39.5</v>
      </c>
      <c r="S86" s="400">
        <v>0.2</v>
      </c>
      <c r="T86" s="400">
        <v>0.2</v>
      </c>
      <c r="U86" s="400">
        <v>0.2</v>
      </c>
      <c r="V86" s="366"/>
      <c r="W86" s="366">
        <f t="shared" si="236"/>
        <v>31.6</v>
      </c>
      <c r="X86" s="404" t="s">
        <v>288</v>
      </c>
      <c r="Y86" s="409"/>
      <c r="Z86" s="410" t="s">
        <v>432</v>
      </c>
      <c r="AA86" s="411"/>
    </row>
    <row r="87" ht="240" spans="1:27">
      <c r="A87" s="366">
        <v>29</v>
      </c>
      <c r="B87" s="367" t="s">
        <v>436</v>
      </c>
      <c r="C87" s="367" t="s">
        <v>437</v>
      </c>
      <c r="D87" s="367" t="s">
        <v>437</v>
      </c>
      <c r="E87" s="376">
        <f t="shared" ref="E87:E94" si="237">SUM(F87:I87)</f>
        <v>31.6</v>
      </c>
      <c r="F87" s="377">
        <f t="shared" ref="F87:F94" si="238">N87*(1-$S87)</f>
        <v>8</v>
      </c>
      <c r="G87" s="377">
        <f t="shared" ref="G87:G94" si="239">O87*(1-$T87)</f>
        <v>12</v>
      </c>
      <c r="H87" s="376">
        <f t="shared" ref="H87:H94" si="240">P87*(1-$T87)</f>
        <v>3.6</v>
      </c>
      <c r="I87" s="376">
        <f t="shared" ref="I87:I94" si="241">Q87*(1-$U87)</f>
        <v>8</v>
      </c>
      <c r="J87" s="376">
        <f t="shared" ref="J87:J94" si="242">E87/22/8</f>
        <v>0.179545454545455</v>
      </c>
      <c r="K87" s="383" t="s">
        <v>168</v>
      </c>
      <c r="L87" s="384" t="str">
        <f>IF(K87="","",VLOOKUP(K87,'Định nghĩa Loại Chức năng'!$B$4:$C$92,2,FALSE))</f>
        <v>Chức năng web bao gồm UI + Service - trung bình</v>
      </c>
      <c r="M87" s="394" t="s">
        <v>287</v>
      </c>
      <c r="N87" s="395">
        <f>IF(K87="","",VLOOKUP(K87&amp;$N$7,CSDL_CN!$D$4:$E$264,2,FALSE))</f>
        <v>10</v>
      </c>
      <c r="O87" s="395">
        <f>IF(K87="","",VLOOKUP(K87&amp;$O$7,CSDL_CN!$D$4:$E$264,2,FALSE))</f>
        <v>15</v>
      </c>
      <c r="P87" s="395">
        <f t="shared" ref="P87:P94" si="243">IF(M87="Có",O87*30%,0)</f>
        <v>4.5</v>
      </c>
      <c r="Q87" s="395">
        <f>IF(K87="","",VLOOKUP(K87&amp;$Q$7,CSDL_CN!$D$4:$E$264,2,FALSE))</f>
        <v>10</v>
      </c>
      <c r="R87" s="395">
        <f t="array" ref="R87">SUM(IFERROR(N87:Q87,0))</f>
        <v>39.5</v>
      </c>
      <c r="S87" s="400">
        <v>0.2</v>
      </c>
      <c r="T87" s="400">
        <v>0.2</v>
      </c>
      <c r="U87" s="400">
        <v>0.2</v>
      </c>
      <c r="V87" s="366"/>
      <c r="W87" s="366">
        <f t="shared" ref="W87:W94" si="244">IF(X87="OS",E87,0)</f>
        <v>31.6</v>
      </c>
      <c r="X87" s="404" t="s">
        <v>288</v>
      </c>
      <c r="Y87" s="409">
        <f>E87/8/22+E88/8/22+E89/8/22+E90/8/22</f>
        <v>0.718181818181818</v>
      </c>
      <c r="Z87" s="410" t="s">
        <v>435</v>
      </c>
      <c r="AA87" s="411"/>
    </row>
    <row r="88" ht="240" spans="1:27">
      <c r="A88" s="366"/>
      <c r="B88" s="367"/>
      <c r="C88" s="367"/>
      <c r="D88" s="367" t="s">
        <v>438</v>
      </c>
      <c r="E88" s="376">
        <f t="shared" si="237"/>
        <v>31.6</v>
      </c>
      <c r="F88" s="377">
        <f t="shared" si="238"/>
        <v>8</v>
      </c>
      <c r="G88" s="377">
        <f t="shared" si="239"/>
        <v>12</v>
      </c>
      <c r="H88" s="376">
        <f t="shared" si="240"/>
        <v>3.6</v>
      </c>
      <c r="I88" s="376">
        <f t="shared" si="241"/>
        <v>8</v>
      </c>
      <c r="J88" s="376">
        <f t="shared" si="242"/>
        <v>0.179545454545455</v>
      </c>
      <c r="K88" s="383" t="s">
        <v>168</v>
      </c>
      <c r="L88" s="384" t="str">
        <f>IF(K88="","",VLOOKUP(K88,'Định nghĩa Loại Chức năng'!$B$4:$C$92,2,FALSE))</f>
        <v>Chức năng web bao gồm UI + Service - trung bình</v>
      </c>
      <c r="M88" s="394" t="s">
        <v>287</v>
      </c>
      <c r="N88" s="395">
        <f>IF(K88="","",VLOOKUP(K88&amp;$N$7,CSDL_CN!$D$4:$E$264,2,FALSE))</f>
        <v>10</v>
      </c>
      <c r="O88" s="395">
        <f>IF(K88="","",VLOOKUP(K88&amp;$O$7,CSDL_CN!$D$4:$E$264,2,FALSE))</f>
        <v>15</v>
      </c>
      <c r="P88" s="395">
        <f t="shared" si="243"/>
        <v>4.5</v>
      </c>
      <c r="Q88" s="395">
        <f>IF(K88="","",VLOOKUP(K88&amp;$Q$7,CSDL_CN!$D$4:$E$264,2,FALSE))</f>
        <v>10</v>
      </c>
      <c r="R88" s="395">
        <f t="array" ref="R88">SUM(IFERROR(N88:Q88,0))</f>
        <v>39.5</v>
      </c>
      <c r="S88" s="400">
        <v>0.2</v>
      </c>
      <c r="T88" s="400">
        <v>0.2</v>
      </c>
      <c r="U88" s="400">
        <v>0.2</v>
      </c>
      <c r="V88" s="366"/>
      <c r="W88" s="366">
        <f t="shared" si="244"/>
        <v>31.6</v>
      </c>
      <c r="X88" s="404" t="s">
        <v>288</v>
      </c>
      <c r="Y88" s="409"/>
      <c r="Z88" s="410" t="s">
        <v>428</v>
      </c>
      <c r="AA88" s="411"/>
    </row>
    <row r="89" ht="240" spans="1:27">
      <c r="A89" s="366"/>
      <c r="B89" s="367"/>
      <c r="C89" s="367"/>
      <c r="D89" s="367" t="s">
        <v>439</v>
      </c>
      <c r="E89" s="376">
        <f t="shared" si="237"/>
        <v>31.6</v>
      </c>
      <c r="F89" s="377">
        <f t="shared" si="238"/>
        <v>8</v>
      </c>
      <c r="G89" s="377">
        <f t="shared" si="239"/>
        <v>12</v>
      </c>
      <c r="H89" s="376">
        <f t="shared" si="240"/>
        <v>3.6</v>
      </c>
      <c r="I89" s="376">
        <f t="shared" si="241"/>
        <v>8</v>
      </c>
      <c r="J89" s="376">
        <f t="shared" si="242"/>
        <v>0.179545454545455</v>
      </c>
      <c r="K89" s="383" t="s">
        <v>168</v>
      </c>
      <c r="L89" s="384" t="str">
        <f>IF(K89="","",VLOOKUP(K89,'Định nghĩa Loại Chức năng'!$B$4:$C$92,2,FALSE))</f>
        <v>Chức năng web bao gồm UI + Service - trung bình</v>
      </c>
      <c r="M89" s="394" t="s">
        <v>287</v>
      </c>
      <c r="N89" s="395">
        <f>IF(K89="","",VLOOKUP(K89&amp;$N$7,CSDL_CN!$D$4:$E$264,2,FALSE))</f>
        <v>10</v>
      </c>
      <c r="O89" s="395">
        <f>IF(K89="","",VLOOKUP(K89&amp;$O$7,CSDL_CN!$D$4:$E$264,2,FALSE))</f>
        <v>15</v>
      </c>
      <c r="P89" s="395">
        <f t="shared" si="243"/>
        <v>4.5</v>
      </c>
      <c r="Q89" s="395">
        <f>IF(K89="","",VLOOKUP(K89&amp;$Q$7,CSDL_CN!$D$4:$E$264,2,FALSE))</f>
        <v>10</v>
      </c>
      <c r="R89" s="395">
        <f t="array" ref="R89">SUM(IFERROR(N89:Q89,0))</f>
        <v>39.5</v>
      </c>
      <c r="S89" s="400">
        <v>0.2</v>
      </c>
      <c r="T89" s="400">
        <v>0.2</v>
      </c>
      <c r="U89" s="400">
        <v>0.2</v>
      </c>
      <c r="V89" s="366"/>
      <c r="W89" s="366">
        <f t="shared" si="244"/>
        <v>31.6</v>
      </c>
      <c r="X89" s="404" t="s">
        <v>288</v>
      </c>
      <c r="Y89" s="409"/>
      <c r="Z89" s="410" t="s">
        <v>430</v>
      </c>
      <c r="AA89" s="411"/>
    </row>
    <row r="90" ht="255" spans="1:27">
      <c r="A90" s="366"/>
      <c r="B90" s="367"/>
      <c r="C90" s="367"/>
      <c r="D90" s="367" t="s">
        <v>440</v>
      </c>
      <c r="E90" s="376">
        <f t="shared" si="237"/>
        <v>31.6</v>
      </c>
      <c r="F90" s="377">
        <f t="shared" si="238"/>
        <v>8</v>
      </c>
      <c r="G90" s="377">
        <f t="shared" si="239"/>
        <v>12</v>
      </c>
      <c r="H90" s="376">
        <f t="shared" si="240"/>
        <v>3.6</v>
      </c>
      <c r="I90" s="376">
        <f t="shared" si="241"/>
        <v>8</v>
      </c>
      <c r="J90" s="376">
        <f t="shared" si="242"/>
        <v>0.179545454545455</v>
      </c>
      <c r="K90" s="383" t="s">
        <v>168</v>
      </c>
      <c r="L90" s="384" t="str">
        <f>IF(K90="","",VLOOKUP(K90,'Định nghĩa Loại Chức năng'!$B$4:$C$92,2,FALSE))</f>
        <v>Chức năng web bao gồm UI + Service - trung bình</v>
      </c>
      <c r="M90" s="394" t="s">
        <v>287</v>
      </c>
      <c r="N90" s="395">
        <f>IF(K90="","",VLOOKUP(K90&amp;$N$7,CSDL_CN!$D$4:$E$264,2,FALSE))</f>
        <v>10</v>
      </c>
      <c r="O90" s="395">
        <f>IF(K90="","",VLOOKUP(K90&amp;$O$7,CSDL_CN!$D$4:$E$264,2,FALSE))</f>
        <v>15</v>
      </c>
      <c r="P90" s="395">
        <f t="shared" si="243"/>
        <v>4.5</v>
      </c>
      <c r="Q90" s="395">
        <f>IF(K90="","",VLOOKUP(K90&amp;$Q$7,CSDL_CN!$D$4:$E$264,2,FALSE))</f>
        <v>10</v>
      </c>
      <c r="R90" s="395">
        <f t="array" ref="R90">SUM(IFERROR(N90:Q90,0))</f>
        <v>39.5</v>
      </c>
      <c r="S90" s="400">
        <v>0.2</v>
      </c>
      <c r="T90" s="400">
        <v>0.2</v>
      </c>
      <c r="U90" s="400">
        <v>0.2</v>
      </c>
      <c r="V90" s="366"/>
      <c r="W90" s="366">
        <f t="shared" si="244"/>
        <v>31.6</v>
      </c>
      <c r="X90" s="404" t="s">
        <v>288</v>
      </c>
      <c r="Y90" s="409"/>
      <c r="Z90" s="410" t="s">
        <v>432</v>
      </c>
      <c r="AA90" s="411"/>
    </row>
    <row r="91" ht="225" spans="1:27">
      <c r="A91" s="366">
        <v>30</v>
      </c>
      <c r="B91" s="367" t="s">
        <v>441</v>
      </c>
      <c r="C91" s="367" t="s">
        <v>442</v>
      </c>
      <c r="D91" s="367" t="s">
        <v>442</v>
      </c>
      <c r="E91" s="376">
        <f t="shared" si="237"/>
        <v>31.6</v>
      </c>
      <c r="F91" s="377">
        <f t="shared" si="238"/>
        <v>8</v>
      </c>
      <c r="G91" s="377">
        <f t="shared" si="239"/>
        <v>12</v>
      </c>
      <c r="H91" s="376">
        <f t="shared" si="240"/>
        <v>3.6</v>
      </c>
      <c r="I91" s="376">
        <f t="shared" si="241"/>
        <v>8</v>
      </c>
      <c r="J91" s="376">
        <f t="shared" si="242"/>
        <v>0.179545454545455</v>
      </c>
      <c r="K91" s="383" t="s">
        <v>168</v>
      </c>
      <c r="L91" s="384" t="str">
        <f>IF(K91="","",VLOOKUP(K91,'Định nghĩa Loại Chức năng'!$B$4:$C$92,2,FALSE))</f>
        <v>Chức năng web bao gồm UI + Service - trung bình</v>
      </c>
      <c r="M91" s="394" t="s">
        <v>287</v>
      </c>
      <c r="N91" s="395">
        <f>IF(K91="","",VLOOKUP(K91&amp;$N$7,CSDL_CN!$D$4:$E$264,2,FALSE))</f>
        <v>10</v>
      </c>
      <c r="O91" s="395">
        <f>IF(K91="","",VLOOKUP(K91&amp;$O$7,CSDL_CN!$D$4:$E$264,2,FALSE))</f>
        <v>15</v>
      </c>
      <c r="P91" s="395">
        <f t="shared" si="243"/>
        <v>4.5</v>
      </c>
      <c r="Q91" s="395">
        <f>IF(K91="","",VLOOKUP(K91&amp;$Q$7,CSDL_CN!$D$4:$E$264,2,FALSE))</f>
        <v>10</v>
      </c>
      <c r="R91" s="395">
        <f t="array" ref="R91">SUM(IFERROR(N91:Q91,0))</f>
        <v>39.5</v>
      </c>
      <c r="S91" s="400">
        <v>0.2</v>
      </c>
      <c r="T91" s="400">
        <v>0.2</v>
      </c>
      <c r="U91" s="400">
        <v>0.2</v>
      </c>
      <c r="V91" s="366"/>
      <c r="W91" s="366">
        <f t="shared" si="244"/>
        <v>31.6</v>
      </c>
      <c r="X91" s="404" t="s">
        <v>288</v>
      </c>
      <c r="Y91" s="409">
        <f>E91/8/22+E92/8/22+E93/8/22+E94/8/22</f>
        <v>0.718181818181818</v>
      </c>
      <c r="Z91" s="410" t="s">
        <v>443</v>
      </c>
      <c r="AA91" s="411"/>
    </row>
    <row r="92" ht="240" spans="1:27">
      <c r="A92" s="366"/>
      <c r="B92" s="367"/>
      <c r="C92" s="367"/>
      <c r="D92" s="367" t="s">
        <v>376</v>
      </c>
      <c r="E92" s="376">
        <f t="shared" si="237"/>
        <v>31.6</v>
      </c>
      <c r="F92" s="377">
        <f t="shared" si="238"/>
        <v>8</v>
      </c>
      <c r="G92" s="377">
        <f t="shared" si="239"/>
        <v>12</v>
      </c>
      <c r="H92" s="376">
        <f t="shared" si="240"/>
        <v>3.6</v>
      </c>
      <c r="I92" s="376">
        <f t="shared" si="241"/>
        <v>8</v>
      </c>
      <c r="J92" s="376">
        <f t="shared" si="242"/>
        <v>0.179545454545455</v>
      </c>
      <c r="K92" s="383" t="s">
        <v>168</v>
      </c>
      <c r="L92" s="384" t="str">
        <f>IF(K92="","",VLOOKUP(K92,'Định nghĩa Loại Chức năng'!$B$4:$C$92,2,FALSE))</f>
        <v>Chức năng web bao gồm UI + Service - trung bình</v>
      </c>
      <c r="M92" s="394" t="s">
        <v>287</v>
      </c>
      <c r="N92" s="395">
        <f>IF(K92="","",VLOOKUP(K92&amp;$N$7,CSDL_CN!$D$4:$E$264,2,FALSE))</f>
        <v>10</v>
      </c>
      <c r="O92" s="395">
        <f>IF(K92="","",VLOOKUP(K92&amp;$O$7,CSDL_CN!$D$4:$E$264,2,FALSE))</f>
        <v>15</v>
      </c>
      <c r="P92" s="395">
        <f t="shared" si="243"/>
        <v>4.5</v>
      </c>
      <c r="Q92" s="395">
        <f>IF(K92="","",VLOOKUP(K92&amp;$Q$7,CSDL_CN!$D$4:$E$264,2,FALSE))</f>
        <v>10</v>
      </c>
      <c r="R92" s="395">
        <f t="array" ref="R92">SUM(IFERROR(N92:Q92,0))</f>
        <v>39.5</v>
      </c>
      <c r="S92" s="400">
        <v>0.2</v>
      </c>
      <c r="T92" s="400">
        <v>0.2</v>
      </c>
      <c r="U92" s="400">
        <v>0.2</v>
      </c>
      <c r="V92" s="366"/>
      <c r="W92" s="366">
        <f t="shared" si="244"/>
        <v>31.6</v>
      </c>
      <c r="X92" s="404" t="s">
        <v>288</v>
      </c>
      <c r="Y92" s="409"/>
      <c r="Z92" s="410" t="s">
        <v>444</v>
      </c>
      <c r="AA92" s="411"/>
    </row>
    <row r="93" ht="240" spans="1:27">
      <c r="A93" s="366"/>
      <c r="B93" s="367"/>
      <c r="C93" s="367"/>
      <c r="D93" s="369" t="s">
        <v>378</v>
      </c>
      <c r="E93" s="376">
        <f t="shared" si="237"/>
        <v>31.6</v>
      </c>
      <c r="F93" s="377">
        <f t="shared" si="238"/>
        <v>8</v>
      </c>
      <c r="G93" s="377">
        <f t="shared" si="239"/>
        <v>12</v>
      </c>
      <c r="H93" s="376">
        <f t="shared" si="240"/>
        <v>3.6</v>
      </c>
      <c r="I93" s="376">
        <f t="shared" si="241"/>
        <v>8</v>
      </c>
      <c r="J93" s="376">
        <f t="shared" si="242"/>
        <v>0.179545454545455</v>
      </c>
      <c r="K93" s="383" t="s">
        <v>168</v>
      </c>
      <c r="L93" s="384" t="str">
        <f>IF(K93="","",VLOOKUP(K93,'Định nghĩa Loại Chức năng'!$B$4:$C$92,2,FALSE))</f>
        <v>Chức năng web bao gồm UI + Service - trung bình</v>
      </c>
      <c r="M93" s="394" t="s">
        <v>287</v>
      </c>
      <c r="N93" s="395">
        <f>IF(K93="","",VLOOKUP(K93&amp;$N$7,CSDL_CN!$D$4:$E$264,2,FALSE))</f>
        <v>10</v>
      </c>
      <c r="O93" s="395">
        <f>IF(K93="","",VLOOKUP(K93&amp;$O$7,CSDL_CN!$D$4:$E$264,2,FALSE))</f>
        <v>15</v>
      </c>
      <c r="P93" s="395">
        <f t="shared" si="243"/>
        <v>4.5</v>
      </c>
      <c r="Q93" s="395">
        <f>IF(K93="","",VLOOKUP(K93&amp;$Q$7,CSDL_CN!$D$4:$E$264,2,FALSE))</f>
        <v>10</v>
      </c>
      <c r="R93" s="395">
        <f t="array" ref="R93">SUM(IFERROR(N93:Q93,0))</f>
        <v>39.5</v>
      </c>
      <c r="S93" s="400">
        <v>0.2</v>
      </c>
      <c r="T93" s="400">
        <v>0.2</v>
      </c>
      <c r="U93" s="400">
        <v>0.2</v>
      </c>
      <c r="V93" s="366"/>
      <c r="W93" s="366">
        <f t="shared" si="244"/>
        <v>31.6</v>
      </c>
      <c r="X93" s="404" t="s">
        <v>288</v>
      </c>
      <c r="Y93" s="409"/>
      <c r="Z93" s="410" t="s">
        <v>444</v>
      </c>
      <c r="AA93" s="411"/>
    </row>
    <row r="94" ht="240" spans="1:27">
      <c r="A94" s="366"/>
      <c r="B94" s="367"/>
      <c r="C94" s="367"/>
      <c r="D94" s="367" t="s">
        <v>408</v>
      </c>
      <c r="E94" s="376">
        <f t="shared" si="237"/>
        <v>31.6</v>
      </c>
      <c r="F94" s="377">
        <f t="shared" si="238"/>
        <v>8</v>
      </c>
      <c r="G94" s="377">
        <f t="shared" si="239"/>
        <v>12</v>
      </c>
      <c r="H94" s="376">
        <f t="shared" si="240"/>
        <v>3.6</v>
      </c>
      <c r="I94" s="376">
        <f t="shared" si="241"/>
        <v>8</v>
      </c>
      <c r="J94" s="376">
        <f t="shared" si="242"/>
        <v>0.179545454545455</v>
      </c>
      <c r="K94" s="383" t="s">
        <v>168</v>
      </c>
      <c r="L94" s="384" t="str">
        <f>IF(K94="","",VLOOKUP(K94,'Định nghĩa Loại Chức năng'!$B$4:$C$92,2,FALSE))</f>
        <v>Chức năng web bao gồm UI + Service - trung bình</v>
      </c>
      <c r="M94" s="394" t="s">
        <v>287</v>
      </c>
      <c r="N94" s="395">
        <f>IF(K94="","",VLOOKUP(K94&amp;$N$7,CSDL_CN!$D$4:$E$264,2,FALSE))</f>
        <v>10</v>
      </c>
      <c r="O94" s="395">
        <f>IF(K94="","",VLOOKUP(K94&amp;$O$7,CSDL_CN!$D$4:$E$264,2,FALSE))</f>
        <v>15</v>
      </c>
      <c r="P94" s="395">
        <f t="shared" si="243"/>
        <v>4.5</v>
      </c>
      <c r="Q94" s="395">
        <f>IF(K94="","",VLOOKUP(K94&amp;$Q$7,CSDL_CN!$D$4:$E$264,2,FALSE))</f>
        <v>10</v>
      </c>
      <c r="R94" s="395">
        <f t="array" ref="R94">SUM(IFERROR(N94:Q94,0))</f>
        <v>39.5</v>
      </c>
      <c r="S94" s="400">
        <v>0.2</v>
      </c>
      <c r="T94" s="400">
        <v>0.2</v>
      </c>
      <c r="U94" s="400">
        <v>0.2</v>
      </c>
      <c r="V94" s="366"/>
      <c r="W94" s="366">
        <f t="shared" si="244"/>
        <v>31.6</v>
      </c>
      <c r="X94" s="404" t="s">
        <v>288</v>
      </c>
      <c r="Y94" s="409"/>
      <c r="Z94" s="410" t="s">
        <v>444</v>
      </c>
      <c r="AA94" s="411"/>
    </row>
    <row r="95" ht="240" spans="1:27">
      <c r="A95" s="366">
        <v>31</v>
      </c>
      <c r="B95" s="367" t="s">
        <v>445</v>
      </c>
      <c r="C95" s="367" t="s">
        <v>446</v>
      </c>
      <c r="D95" s="367" t="s">
        <v>446</v>
      </c>
      <c r="E95" s="376">
        <f t="shared" ref="E95:E98" si="245">SUM(F95:I95)</f>
        <v>31.6</v>
      </c>
      <c r="F95" s="377">
        <f t="shared" ref="F95:F98" si="246">N95*(1-$S95)</f>
        <v>8</v>
      </c>
      <c r="G95" s="377">
        <f t="shared" ref="G95:G98" si="247">O95*(1-$T95)</f>
        <v>12</v>
      </c>
      <c r="H95" s="376">
        <f t="shared" ref="H95:H98" si="248">P95*(1-$T95)</f>
        <v>3.6</v>
      </c>
      <c r="I95" s="376">
        <f t="shared" ref="I95:I98" si="249">Q95*(1-$U95)</f>
        <v>8</v>
      </c>
      <c r="J95" s="376">
        <f t="shared" ref="J95:J98" si="250">E95/22/8</f>
        <v>0.179545454545455</v>
      </c>
      <c r="K95" s="383" t="s">
        <v>168</v>
      </c>
      <c r="L95" s="384" t="str">
        <f>IF(K95="","",VLOOKUP(K95,'Định nghĩa Loại Chức năng'!$B$4:$C$92,2,FALSE))</f>
        <v>Chức năng web bao gồm UI + Service - trung bình</v>
      </c>
      <c r="M95" s="394" t="s">
        <v>287</v>
      </c>
      <c r="N95" s="395">
        <f>IF(K95="","",VLOOKUP(K95&amp;$N$7,CSDL_CN!$D$4:$E$264,2,FALSE))</f>
        <v>10</v>
      </c>
      <c r="O95" s="395">
        <f>IF(K95="","",VLOOKUP(K95&amp;$O$7,CSDL_CN!$D$4:$E$264,2,FALSE))</f>
        <v>15</v>
      </c>
      <c r="P95" s="395">
        <f t="shared" ref="P95:P98" si="251">IF(M95="Có",O95*30%,0)</f>
        <v>4.5</v>
      </c>
      <c r="Q95" s="395">
        <f>IF(K95="","",VLOOKUP(K95&amp;$Q$7,CSDL_CN!$D$4:$E$264,2,FALSE))</f>
        <v>10</v>
      </c>
      <c r="R95" s="395">
        <f t="array" ref="R95">SUM(IFERROR(N95:Q95,0))</f>
        <v>39.5</v>
      </c>
      <c r="S95" s="400">
        <v>0.2</v>
      </c>
      <c r="T95" s="400">
        <v>0.2</v>
      </c>
      <c r="U95" s="400">
        <v>0.2</v>
      </c>
      <c r="V95" s="366"/>
      <c r="W95" s="366">
        <f t="shared" ref="W95:W98" si="252">IF(X95="OS",E95,0)</f>
        <v>31.6</v>
      </c>
      <c r="X95" s="404" t="s">
        <v>288</v>
      </c>
      <c r="Y95" s="409">
        <f>E95/8/22+E96/8/22+E97/8/22+E98/8/22</f>
        <v>0.718181818181818</v>
      </c>
      <c r="Z95" s="410" t="s">
        <v>447</v>
      </c>
      <c r="AA95" s="411"/>
    </row>
    <row r="96" ht="240" spans="1:27">
      <c r="A96" s="366"/>
      <c r="B96" s="367"/>
      <c r="C96" s="367"/>
      <c r="D96" s="367" t="s">
        <v>427</v>
      </c>
      <c r="E96" s="376">
        <f t="shared" si="245"/>
        <v>31.6</v>
      </c>
      <c r="F96" s="377">
        <f t="shared" si="246"/>
        <v>8</v>
      </c>
      <c r="G96" s="377">
        <f t="shared" si="247"/>
        <v>12</v>
      </c>
      <c r="H96" s="376">
        <f t="shared" si="248"/>
        <v>3.6</v>
      </c>
      <c r="I96" s="376">
        <f t="shared" si="249"/>
        <v>8</v>
      </c>
      <c r="J96" s="376">
        <f t="shared" si="250"/>
        <v>0.179545454545455</v>
      </c>
      <c r="K96" s="383" t="s">
        <v>168</v>
      </c>
      <c r="L96" s="384" t="str">
        <f>IF(K96="","",VLOOKUP(K96,'Định nghĩa Loại Chức năng'!$B$4:$C$92,2,FALSE))</f>
        <v>Chức năng web bao gồm UI + Service - trung bình</v>
      </c>
      <c r="M96" s="394" t="s">
        <v>287</v>
      </c>
      <c r="N96" s="395">
        <f>IF(K96="","",VLOOKUP(K96&amp;$N$7,CSDL_CN!$D$4:$E$264,2,FALSE))</f>
        <v>10</v>
      </c>
      <c r="O96" s="395">
        <f>IF(K96="","",VLOOKUP(K96&amp;$O$7,CSDL_CN!$D$4:$E$264,2,FALSE))</f>
        <v>15</v>
      </c>
      <c r="P96" s="395">
        <f t="shared" si="251"/>
        <v>4.5</v>
      </c>
      <c r="Q96" s="395">
        <f>IF(K96="","",VLOOKUP(K96&amp;$Q$7,CSDL_CN!$D$4:$E$264,2,FALSE))</f>
        <v>10</v>
      </c>
      <c r="R96" s="395">
        <f t="array" ref="R96">SUM(IFERROR(N96:Q96,0))</f>
        <v>39.5</v>
      </c>
      <c r="S96" s="400">
        <v>0.2</v>
      </c>
      <c r="T96" s="400">
        <v>0.2</v>
      </c>
      <c r="U96" s="400">
        <v>0.2</v>
      </c>
      <c r="V96" s="366"/>
      <c r="W96" s="366">
        <f t="shared" si="252"/>
        <v>31.6</v>
      </c>
      <c r="X96" s="404" t="s">
        <v>288</v>
      </c>
      <c r="Y96" s="409"/>
      <c r="Z96" s="410" t="s">
        <v>430</v>
      </c>
      <c r="AA96" s="411"/>
    </row>
    <row r="97" ht="240" spans="1:27">
      <c r="A97" s="366"/>
      <c r="B97" s="367"/>
      <c r="C97" s="367"/>
      <c r="D97" s="367" t="s">
        <v>429</v>
      </c>
      <c r="E97" s="376">
        <f t="shared" si="245"/>
        <v>31.6</v>
      </c>
      <c r="F97" s="377">
        <f t="shared" si="246"/>
        <v>8</v>
      </c>
      <c r="G97" s="377">
        <f t="shared" si="247"/>
        <v>12</v>
      </c>
      <c r="H97" s="376">
        <f t="shared" si="248"/>
        <v>3.6</v>
      </c>
      <c r="I97" s="376">
        <f t="shared" si="249"/>
        <v>8</v>
      </c>
      <c r="J97" s="376">
        <f t="shared" si="250"/>
        <v>0.179545454545455</v>
      </c>
      <c r="K97" s="383" t="s">
        <v>168</v>
      </c>
      <c r="L97" s="384" t="str">
        <f>IF(K97="","",VLOOKUP(K97,'Định nghĩa Loại Chức năng'!$B$4:$C$92,2,FALSE))</f>
        <v>Chức năng web bao gồm UI + Service - trung bình</v>
      </c>
      <c r="M97" s="394" t="s">
        <v>287</v>
      </c>
      <c r="N97" s="395">
        <f>IF(K97="","",VLOOKUP(K97&amp;$N$7,CSDL_CN!$D$4:$E$264,2,FALSE))</f>
        <v>10</v>
      </c>
      <c r="O97" s="395">
        <f>IF(K97="","",VLOOKUP(K97&amp;$O$7,CSDL_CN!$D$4:$E$264,2,FALSE))</f>
        <v>15</v>
      </c>
      <c r="P97" s="395">
        <f t="shared" si="251"/>
        <v>4.5</v>
      </c>
      <c r="Q97" s="395">
        <f>IF(K97="","",VLOOKUP(K97&amp;$Q$7,CSDL_CN!$D$4:$E$264,2,FALSE))</f>
        <v>10</v>
      </c>
      <c r="R97" s="395">
        <f t="array" ref="R97">SUM(IFERROR(N97:Q97,0))</f>
        <v>39.5</v>
      </c>
      <c r="S97" s="400">
        <v>0.2</v>
      </c>
      <c r="T97" s="400">
        <v>0.2</v>
      </c>
      <c r="U97" s="400">
        <v>0.2</v>
      </c>
      <c r="V97" s="366"/>
      <c r="W97" s="366">
        <f t="shared" si="252"/>
        <v>31.6</v>
      </c>
      <c r="X97" s="404" t="s">
        <v>288</v>
      </c>
      <c r="Y97" s="409"/>
      <c r="Z97" s="410" t="s">
        <v>430</v>
      </c>
      <c r="AA97" s="411"/>
    </row>
    <row r="98" ht="240" spans="1:27">
      <c r="A98" s="366"/>
      <c r="B98" s="367"/>
      <c r="C98" s="367"/>
      <c r="D98" s="367" t="s">
        <v>431</v>
      </c>
      <c r="E98" s="376">
        <f t="shared" si="245"/>
        <v>31.6</v>
      </c>
      <c r="F98" s="377">
        <f t="shared" si="246"/>
        <v>8</v>
      </c>
      <c r="G98" s="377">
        <f t="shared" si="247"/>
        <v>12</v>
      </c>
      <c r="H98" s="376">
        <f t="shared" si="248"/>
        <v>3.6</v>
      </c>
      <c r="I98" s="376">
        <f t="shared" si="249"/>
        <v>8</v>
      </c>
      <c r="J98" s="376">
        <f t="shared" si="250"/>
        <v>0.179545454545455</v>
      </c>
      <c r="K98" s="383" t="s">
        <v>168</v>
      </c>
      <c r="L98" s="384" t="str">
        <f>IF(K98="","",VLOOKUP(K98,'Định nghĩa Loại Chức năng'!$B$4:$C$92,2,FALSE))</f>
        <v>Chức năng web bao gồm UI + Service - trung bình</v>
      </c>
      <c r="M98" s="394" t="s">
        <v>287</v>
      </c>
      <c r="N98" s="395">
        <f>IF(K98="","",VLOOKUP(K98&amp;$N$7,CSDL_CN!$D$4:$E$264,2,FALSE))</f>
        <v>10</v>
      </c>
      <c r="O98" s="395">
        <f>IF(K98="","",VLOOKUP(K98&amp;$O$7,CSDL_CN!$D$4:$E$264,2,FALSE))</f>
        <v>15</v>
      </c>
      <c r="P98" s="395">
        <f t="shared" si="251"/>
        <v>4.5</v>
      </c>
      <c r="Q98" s="395">
        <f>IF(K98="","",VLOOKUP(K98&amp;$Q$7,CSDL_CN!$D$4:$E$264,2,FALSE))</f>
        <v>10</v>
      </c>
      <c r="R98" s="395">
        <f t="array" ref="R98">SUM(IFERROR(N98:Q98,0))</f>
        <v>39.5</v>
      </c>
      <c r="S98" s="400">
        <v>0.2</v>
      </c>
      <c r="T98" s="400">
        <v>0.2</v>
      </c>
      <c r="U98" s="400">
        <v>0.2</v>
      </c>
      <c r="V98" s="366"/>
      <c r="W98" s="366">
        <f t="shared" si="252"/>
        <v>31.6</v>
      </c>
      <c r="X98" s="404" t="s">
        <v>288</v>
      </c>
      <c r="Y98" s="409"/>
      <c r="Z98" s="410" t="s">
        <v>448</v>
      </c>
      <c r="AA98" s="411"/>
    </row>
    <row r="99" ht="240" spans="1:27">
      <c r="A99" s="366">
        <v>32</v>
      </c>
      <c r="B99" s="367" t="s">
        <v>449</v>
      </c>
      <c r="C99" s="367" t="s">
        <v>450</v>
      </c>
      <c r="D99" s="367" t="s">
        <v>450</v>
      </c>
      <c r="E99" s="376">
        <f t="shared" ref="E99:E102" si="253">SUM(F99:I99)</f>
        <v>31.6</v>
      </c>
      <c r="F99" s="377">
        <f t="shared" ref="F99:F102" si="254">N99*(1-$S99)</f>
        <v>8</v>
      </c>
      <c r="G99" s="377">
        <f t="shared" ref="G99:G102" si="255">O99*(1-$T99)</f>
        <v>12</v>
      </c>
      <c r="H99" s="376">
        <f t="shared" ref="H99:H102" si="256">P99*(1-$T99)</f>
        <v>3.6</v>
      </c>
      <c r="I99" s="376">
        <f t="shared" ref="I99:I102" si="257">Q99*(1-$U99)</f>
        <v>8</v>
      </c>
      <c r="J99" s="376">
        <f t="shared" ref="J99:J102" si="258">E99/22/8</f>
        <v>0.179545454545455</v>
      </c>
      <c r="K99" s="383" t="s">
        <v>168</v>
      </c>
      <c r="L99" s="384" t="str">
        <f>IF(K99="","",VLOOKUP(K99,'Định nghĩa Loại Chức năng'!$B$4:$C$92,2,FALSE))</f>
        <v>Chức năng web bao gồm UI + Service - trung bình</v>
      </c>
      <c r="M99" s="394" t="s">
        <v>287</v>
      </c>
      <c r="N99" s="395">
        <f>IF(K99="","",VLOOKUP(K99&amp;$N$7,CSDL_CN!$D$4:$E$264,2,FALSE))</f>
        <v>10</v>
      </c>
      <c r="O99" s="395">
        <f>IF(K99="","",VLOOKUP(K99&amp;$O$7,CSDL_CN!$D$4:$E$264,2,FALSE))</f>
        <v>15</v>
      </c>
      <c r="P99" s="395">
        <f t="shared" ref="P99:P102" si="259">IF(M99="Có",O99*30%,0)</f>
        <v>4.5</v>
      </c>
      <c r="Q99" s="395">
        <f>IF(K99="","",VLOOKUP(K99&amp;$Q$7,CSDL_CN!$D$4:$E$264,2,FALSE))</f>
        <v>10</v>
      </c>
      <c r="R99" s="395">
        <f t="array" ref="R99">SUM(IFERROR(N99:Q99,0))</f>
        <v>39.5</v>
      </c>
      <c r="S99" s="400">
        <v>0.2</v>
      </c>
      <c r="T99" s="400">
        <v>0.2</v>
      </c>
      <c r="U99" s="400">
        <v>0.2</v>
      </c>
      <c r="V99" s="366"/>
      <c r="W99" s="366">
        <f t="shared" ref="W99:W102" si="260">IF(X99="OS",E99,0)</f>
        <v>31.6</v>
      </c>
      <c r="X99" s="404" t="s">
        <v>288</v>
      </c>
      <c r="Y99" s="409">
        <f>E99/8/22+E100/8/22+E101/8/22+E102/8/22</f>
        <v>0.718181818181818</v>
      </c>
      <c r="Z99" s="410" t="s">
        <v>451</v>
      </c>
      <c r="AA99" s="411"/>
    </row>
    <row r="100" ht="240" spans="1:27">
      <c r="A100" s="366"/>
      <c r="B100" s="367"/>
      <c r="C100" s="367"/>
      <c r="D100" s="367" t="s">
        <v>427</v>
      </c>
      <c r="E100" s="376">
        <f t="shared" si="253"/>
        <v>31.6</v>
      </c>
      <c r="F100" s="377">
        <f t="shared" si="254"/>
        <v>8</v>
      </c>
      <c r="G100" s="377">
        <f t="shared" si="255"/>
        <v>12</v>
      </c>
      <c r="H100" s="376">
        <f t="shared" si="256"/>
        <v>3.6</v>
      </c>
      <c r="I100" s="376">
        <f t="shared" si="257"/>
        <v>8</v>
      </c>
      <c r="J100" s="376">
        <f t="shared" si="258"/>
        <v>0.179545454545455</v>
      </c>
      <c r="K100" s="383" t="s">
        <v>168</v>
      </c>
      <c r="L100" s="384" t="str">
        <f>IF(K100="","",VLOOKUP(K100,'Định nghĩa Loại Chức năng'!$B$4:$C$92,2,FALSE))</f>
        <v>Chức năng web bao gồm UI + Service - trung bình</v>
      </c>
      <c r="M100" s="394" t="s">
        <v>287</v>
      </c>
      <c r="N100" s="395">
        <f>IF(K100="","",VLOOKUP(K100&amp;$N$7,CSDL_CN!$D$4:$E$264,2,FALSE))</f>
        <v>10</v>
      </c>
      <c r="O100" s="395">
        <f>IF(K100="","",VLOOKUP(K100&amp;$O$7,CSDL_CN!$D$4:$E$264,2,FALSE))</f>
        <v>15</v>
      </c>
      <c r="P100" s="395">
        <f t="shared" si="259"/>
        <v>4.5</v>
      </c>
      <c r="Q100" s="395">
        <f>IF(K100="","",VLOOKUP(K100&amp;$Q$7,CSDL_CN!$D$4:$E$264,2,FALSE))</f>
        <v>10</v>
      </c>
      <c r="R100" s="395">
        <f t="array" ref="R100">SUM(IFERROR(N100:Q100,0))</f>
        <v>39.5</v>
      </c>
      <c r="S100" s="400">
        <v>0.2</v>
      </c>
      <c r="T100" s="400">
        <v>0.2</v>
      </c>
      <c r="U100" s="400">
        <v>0.2</v>
      </c>
      <c r="V100" s="366"/>
      <c r="W100" s="366">
        <f t="shared" si="260"/>
        <v>31.6</v>
      </c>
      <c r="X100" s="404" t="s">
        <v>288</v>
      </c>
      <c r="Y100" s="409"/>
      <c r="Z100" s="410" t="s">
        <v>452</v>
      </c>
      <c r="AA100" s="411"/>
    </row>
    <row r="101" ht="240" spans="1:27">
      <c r="A101" s="366"/>
      <c r="B101" s="367"/>
      <c r="C101" s="367"/>
      <c r="D101" s="367" t="s">
        <v>429</v>
      </c>
      <c r="E101" s="376">
        <f t="shared" si="253"/>
        <v>31.6</v>
      </c>
      <c r="F101" s="377">
        <f t="shared" si="254"/>
        <v>8</v>
      </c>
      <c r="G101" s="377">
        <f t="shared" si="255"/>
        <v>12</v>
      </c>
      <c r="H101" s="376">
        <f t="shared" si="256"/>
        <v>3.6</v>
      </c>
      <c r="I101" s="376">
        <f t="shared" si="257"/>
        <v>8</v>
      </c>
      <c r="J101" s="376">
        <f t="shared" si="258"/>
        <v>0.179545454545455</v>
      </c>
      <c r="K101" s="383" t="s">
        <v>168</v>
      </c>
      <c r="L101" s="384" t="str">
        <f>IF(K101="","",VLOOKUP(K101,'Định nghĩa Loại Chức năng'!$B$4:$C$92,2,FALSE))</f>
        <v>Chức năng web bao gồm UI + Service - trung bình</v>
      </c>
      <c r="M101" s="394" t="s">
        <v>287</v>
      </c>
      <c r="N101" s="395">
        <f>IF(K101="","",VLOOKUP(K101&amp;$N$7,CSDL_CN!$D$4:$E$264,2,FALSE))</f>
        <v>10</v>
      </c>
      <c r="O101" s="395">
        <f>IF(K101="","",VLOOKUP(K101&amp;$O$7,CSDL_CN!$D$4:$E$264,2,FALSE))</f>
        <v>15</v>
      </c>
      <c r="P101" s="395">
        <f t="shared" si="259"/>
        <v>4.5</v>
      </c>
      <c r="Q101" s="395">
        <f>IF(K101="","",VLOOKUP(K101&amp;$Q$7,CSDL_CN!$D$4:$E$264,2,FALSE))</f>
        <v>10</v>
      </c>
      <c r="R101" s="395">
        <f t="array" ref="R101">SUM(IFERROR(N101:Q101,0))</f>
        <v>39.5</v>
      </c>
      <c r="S101" s="400">
        <v>0.2</v>
      </c>
      <c r="T101" s="400">
        <v>0.2</v>
      </c>
      <c r="U101" s="400">
        <v>0.2</v>
      </c>
      <c r="V101" s="366"/>
      <c r="W101" s="366">
        <f t="shared" si="260"/>
        <v>31.6</v>
      </c>
      <c r="X101" s="404" t="s">
        <v>288</v>
      </c>
      <c r="Y101" s="409"/>
      <c r="Z101" s="410" t="s">
        <v>430</v>
      </c>
      <c r="AA101" s="411"/>
    </row>
    <row r="102" ht="240" spans="1:27">
      <c r="A102" s="366"/>
      <c r="B102" s="367"/>
      <c r="C102" s="367"/>
      <c r="D102" s="367" t="s">
        <v>431</v>
      </c>
      <c r="E102" s="376">
        <f t="shared" si="253"/>
        <v>31.6</v>
      </c>
      <c r="F102" s="377">
        <f t="shared" si="254"/>
        <v>8</v>
      </c>
      <c r="G102" s="377">
        <f t="shared" si="255"/>
        <v>12</v>
      </c>
      <c r="H102" s="376">
        <f t="shared" si="256"/>
        <v>3.6</v>
      </c>
      <c r="I102" s="376">
        <f t="shared" si="257"/>
        <v>8</v>
      </c>
      <c r="J102" s="376">
        <f t="shared" si="258"/>
        <v>0.179545454545455</v>
      </c>
      <c r="K102" s="383" t="s">
        <v>168</v>
      </c>
      <c r="L102" s="384" t="str">
        <f>IF(K102="","",VLOOKUP(K102,'Định nghĩa Loại Chức năng'!$B$4:$C$92,2,FALSE))</f>
        <v>Chức năng web bao gồm UI + Service - trung bình</v>
      </c>
      <c r="M102" s="394" t="s">
        <v>287</v>
      </c>
      <c r="N102" s="395">
        <f>IF(K102="","",VLOOKUP(K102&amp;$N$7,CSDL_CN!$D$4:$E$264,2,FALSE))</f>
        <v>10</v>
      </c>
      <c r="O102" s="395">
        <f>IF(K102="","",VLOOKUP(K102&amp;$O$7,CSDL_CN!$D$4:$E$264,2,FALSE))</f>
        <v>15</v>
      </c>
      <c r="P102" s="395">
        <f t="shared" si="259"/>
        <v>4.5</v>
      </c>
      <c r="Q102" s="395">
        <f>IF(K102="","",VLOOKUP(K102&amp;$Q$7,CSDL_CN!$D$4:$E$264,2,FALSE))</f>
        <v>10</v>
      </c>
      <c r="R102" s="395">
        <f t="array" ref="R102">SUM(IFERROR(N102:Q102,0))</f>
        <v>39.5</v>
      </c>
      <c r="S102" s="400">
        <v>0.2</v>
      </c>
      <c r="T102" s="400">
        <v>0.2</v>
      </c>
      <c r="U102" s="400">
        <v>0.2</v>
      </c>
      <c r="V102" s="366"/>
      <c r="W102" s="366">
        <f t="shared" si="260"/>
        <v>31.6</v>
      </c>
      <c r="X102" s="404" t="s">
        <v>288</v>
      </c>
      <c r="Y102" s="409"/>
      <c r="Z102" s="410" t="s">
        <v>448</v>
      </c>
      <c r="AA102" s="411"/>
    </row>
    <row r="103" ht="240" spans="1:27">
      <c r="A103" s="366">
        <v>33</v>
      </c>
      <c r="B103" s="367" t="s">
        <v>453</v>
      </c>
      <c r="C103" s="367" t="s">
        <v>454</v>
      </c>
      <c r="D103" s="367" t="s">
        <v>454</v>
      </c>
      <c r="E103" s="376">
        <f t="shared" ref="E103:E106" si="261">SUM(F103:I103)</f>
        <v>31.6</v>
      </c>
      <c r="F103" s="377">
        <f t="shared" ref="F103:F106" si="262">N103*(1-$S103)</f>
        <v>8</v>
      </c>
      <c r="G103" s="377">
        <f t="shared" ref="G103:G106" si="263">O103*(1-$T103)</f>
        <v>12</v>
      </c>
      <c r="H103" s="376">
        <f t="shared" ref="H103:H106" si="264">P103*(1-$T103)</f>
        <v>3.6</v>
      </c>
      <c r="I103" s="376">
        <f t="shared" ref="I103:I106" si="265">Q103*(1-$U103)</f>
        <v>8</v>
      </c>
      <c r="J103" s="376">
        <f t="shared" ref="J103:J106" si="266">E103/22/8</f>
        <v>0.179545454545455</v>
      </c>
      <c r="K103" s="383" t="s">
        <v>168</v>
      </c>
      <c r="L103" s="384" t="str">
        <f>IF(K103="","",VLOOKUP(K103,'Định nghĩa Loại Chức năng'!$B$4:$C$92,2,FALSE))</f>
        <v>Chức năng web bao gồm UI + Service - trung bình</v>
      </c>
      <c r="M103" s="394" t="s">
        <v>287</v>
      </c>
      <c r="N103" s="395">
        <f>IF(K103="","",VLOOKUP(K103&amp;$N$7,CSDL_CN!$D$4:$E$264,2,FALSE))</f>
        <v>10</v>
      </c>
      <c r="O103" s="395">
        <f>IF(K103="","",VLOOKUP(K103&amp;$O$7,CSDL_CN!$D$4:$E$264,2,FALSE))</f>
        <v>15</v>
      </c>
      <c r="P103" s="395">
        <f t="shared" ref="P103:P106" si="267">IF(M103="Có",O103*30%,0)</f>
        <v>4.5</v>
      </c>
      <c r="Q103" s="395">
        <f>IF(K103="","",VLOOKUP(K103&amp;$Q$7,CSDL_CN!$D$4:$E$264,2,FALSE))</f>
        <v>10</v>
      </c>
      <c r="R103" s="395">
        <f t="array" ref="R103">SUM(IFERROR(N103:Q103,0))</f>
        <v>39.5</v>
      </c>
      <c r="S103" s="400">
        <v>0.2</v>
      </c>
      <c r="T103" s="400">
        <v>0.2</v>
      </c>
      <c r="U103" s="400">
        <v>0.2</v>
      </c>
      <c r="V103" s="366"/>
      <c r="W103" s="366">
        <f t="shared" ref="W103:W106" si="268">IF(X103="OS",E103,0)</f>
        <v>31.6</v>
      </c>
      <c r="X103" s="404" t="s">
        <v>288</v>
      </c>
      <c r="Y103" s="409">
        <f>E103/8/22+E104/8/22+E105/8/22+E106/8/22</f>
        <v>0.718181818181818</v>
      </c>
      <c r="Z103" s="410" t="s">
        <v>455</v>
      </c>
      <c r="AA103" s="411"/>
    </row>
    <row r="104" ht="240" spans="1:27">
      <c r="A104" s="366"/>
      <c r="B104" s="367"/>
      <c r="C104" s="367"/>
      <c r="D104" s="367" t="s">
        <v>427</v>
      </c>
      <c r="E104" s="376">
        <f t="shared" si="261"/>
        <v>31.6</v>
      </c>
      <c r="F104" s="377">
        <f t="shared" si="262"/>
        <v>8</v>
      </c>
      <c r="G104" s="377">
        <f t="shared" si="263"/>
        <v>12</v>
      </c>
      <c r="H104" s="376">
        <f t="shared" si="264"/>
        <v>3.6</v>
      </c>
      <c r="I104" s="376">
        <f t="shared" si="265"/>
        <v>8</v>
      </c>
      <c r="J104" s="376">
        <f t="shared" si="266"/>
        <v>0.179545454545455</v>
      </c>
      <c r="K104" s="383" t="s">
        <v>168</v>
      </c>
      <c r="L104" s="384" t="str">
        <f>IF(K104="","",VLOOKUP(K104,'Định nghĩa Loại Chức năng'!$B$4:$C$92,2,FALSE))</f>
        <v>Chức năng web bao gồm UI + Service - trung bình</v>
      </c>
      <c r="M104" s="394" t="s">
        <v>287</v>
      </c>
      <c r="N104" s="395">
        <f>IF(K104="","",VLOOKUP(K104&amp;$N$7,CSDL_CN!$D$4:$E$264,2,FALSE))</f>
        <v>10</v>
      </c>
      <c r="O104" s="395">
        <f>IF(K104="","",VLOOKUP(K104&amp;$O$7,CSDL_CN!$D$4:$E$264,2,FALSE))</f>
        <v>15</v>
      </c>
      <c r="P104" s="395">
        <f t="shared" si="267"/>
        <v>4.5</v>
      </c>
      <c r="Q104" s="395">
        <f>IF(K104="","",VLOOKUP(K104&amp;$Q$7,CSDL_CN!$D$4:$E$264,2,FALSE))</f>
        <v>10</v>
      </c>
      <c r="R104" s="395">
        <f t="array" ref="R104">SUM(IFERROR(N104:Q104,0))</f>
        <v>39.5</v>
      </c>
      <c r="S104" s="400">
        <v>0.2</v>
      </c>
      <c r="T104" s="400">
        <v>0.2</v>
      </c>
      <c r="U104" s="400">
        <v>0.2</v>
      </c>
      <c r="V104" s="366"/>
      <c r="W104" s="366">
        <f t="shared" si="268"/>
        <v>31.6</v>
      </c>
      <c r="X104" s="404" t="s">
        <v>288</v>
      </c>
      <c r="Y104" s="409"/>
      <c r="Z104" s="410" t="s">
        <v>452</v>
      </c>
      <c r="AA104" s="411"/>
    </row>
    <row r="105" ht="240" spans="1:27">
      <c r="A105" s="366"/>
      <c r="B105" s="367"/>
      <c r="C105" s="367"/>
      <c r="D105" s="367" t="s">
        <v>429</v>
      </c>
      <c r="E105" s="376">
        <f t="shared" si="261"/>
        <v>31.6</v>
      </c>
      <c r="F105" s="377">
        <f t="shared" si="262"/>
        <v>8</v>
      </c>
      <c r="G105" s="377">
        <f t="shared" si="263"/>
        <v>12</v>
      </c>
      <c r="H105" s="376">
        <f t="shared" si="264"/>
        <v>3.6</v>
      </c>
      <c r="I105" s="376">
        <f t="shared" si="265"/>
        <v>8</v>
      </c>
      <c r="J105" s="376">
        <f t="shared" si="266"/>
        <v>0.179545454545455</v>
      </c>
      <c r="K105" s="383" t="s">
        <v>168</v>
      </c>
      <c r="L105" s="384" t="str">
        <f>IF(K105="","",VLOOKUP(K105,'Định nghĩa Loại Chức năng'!$B$4:$C$92,2,FALSE))</f>
        <v>Chức năng web bao gồm UI + Service - trung bình</v>
      </c>
      <c r="M105" s="394" t="s">
        <v>287</v>
      </c>
      <c r="N105" s="395">
        <f>IF(K105="","",VLOOKUP(K105&amp;$N$7,CSDL_CN!$D$4:$E$264,2,FALSE))</f>
        <v>10</v>
      </c>
      <c r="O105" s="395">
        <f>IF(K105="","",VLOOKUP(K105&amp;$O$7,CSDL_CN!$D$4:$E$264,2,FALSE))</f>
        <v>15</v>
      </c>
      <c r="P105" s="395">
        <f t="shared" si="267"/>
        <v>4.5</v>
      </c>
      <c r="Q105" s="395">
        <f>IF(K105="","",VLOOKUP(K105&amp;$Q$7,CSDL_CN!$D$4:$E$264,2,FALSE))</f>
        <v>10</v>
      </c>
      <c r="R105" s="395">
        <f t="array" ref="R105">SUM(IFERROR(N105:Q105,0))</f>
        <v>39.5</v>
      </c>
      <c r="S105" s="400">
        <v>0.2</v>
      </c>
      <c r="T105" s="400">
        <v>0.2</v>
      </c>
      <c r="U105" s="400">
        <v>0.2</v>
      </c>
      <c r="V105" s="366"/>
      <c r="W105" s="366">
        <f t="shared" si="268"/>
        <v>31.6</v>
      </c>
      <c r="X105" s="404" t="s">
        <v>288</v>
      </c>
      <c r="Y105" s="409"/>
      <c r="Z105" s="410" t="s">
        <v>430</v>
      </c>
      <c r="AA105" s="411"/>
    </row>
    <row r="106" ht="240" spans="1:27">
      <c r="A106" s="366"/>
      <c r="B106" s="367"/>
      <c r="C106" s="367"/>
      <c r="D106" s="367" t="s">
        <v>431</v>
      </c>
      <c r="E106" s="376">
        <f t="shared" si="261"/>
        <v>31.6</v>
      </c>
      <c r="F106" s="377">
        <f t="shared" si="262"/>
        <v>8</v>
      </c>
      <c r="G106" s="377">
        <f t="shared" si="263"/>
        <v>12</v>
      </c>
      <c r="H106" s="376">
        <f t="shared" si="264"/>
        <v>3.6</v>
      </c>
      <c r="I106" s="376">
        <f t="shared" si="265"/>
        <v>8</v>
      </c>
      <c r="J106" s="376">
        <f t="shared" si="266"/>
        <v>0.179545454545455</v>
      </c>
      <c r="K106" s="383" t="s">
        <v>168</v>
      </c>
      <c r="L106" s="384" t="str">
        <f>IF(K106="","",VLOOKUP(K106,'Định nghĩa Loại Chức năng'!$B$4:$C$92,2,FALSE))</f>
        <v>Chức năng web bao gồm UI + Service - trung bình</v>
      </c>
      <c r="M106" s="394" t="s">
        <v>287</v>
      </c>
      <c r="N106" s="395">
        <f>IF(K106="","",VLOOKUP(K106&amp;$N$7,CSDL_CN!$D$4:$E$264,2,FALSE))</f>
        <v>10</v>
      </c>
      <c r="O106" s="395">
        <f>IF(K106="","",VLOOKUP(K106&amp;$O$7,CSDL_CN!$D$4:$E$264,2,FALSE))</f>
        <v>15</v>
      </c>
      <c r="P106" s="395">
        <f t="shared" si="267"/>
        <v>4.5</v>
      </c>
      <c r="Q106" s="395">
        <f>IF(K106="","",VLOOKUP(K106&amp;$Q$7,CSDL_CN!$D$4:$E$264,2,FALSE))</f>
        <v>10</v>
      </c>
      <c r="R106" s="395">
        <f t="array" ref="R106">SUM(IFERROR(N106:Q106,0))</f>
        <v>39.5</v>
      </c>
      <c r="S106" s="400">
        <v>0.2</v>
      </c>
      <c r="T106" s="400">
        <v>0.2</v>
      </c>
      <c r="U106" s="400">
        <v>0.2</v>
      </c>
      <c r="V106" s="366"/>
      <c r="W106" s="366">
        <f t="shared" si="268"/>
        <v>31.6</v>
      </c>
      <c r="X106" s="404" t="s">
        <v>288</v>
      </c>
      <c r="Y106" s="409"/>
      <c r="Z106" s="410" t="s">
        <v>448</v>
      </c>
      <c r="AA106" s="411"/>
    </row>
    <row r="107" ht="240" spans="1:27">
      <c r="A107" s="366">
        <v>34</v>
      </c>
      <c r="B107" s="367" t="s">
        <v>456</v>
      </c>
      <c r="C107" s="367" t="s">
        <v>457</v>
      </c>
      <c r="D107" s="367" t="s">
        <v>457</v>
      </c>
      <c r="E107" s="376">
        <f t="shared" ref="E107:E111" si="269">SUM(F107:I107)</f>
        <v>31.6</v>
      </c>
      <c r="F107" s="377">
        <f t="shared" ref="F107:F110" si="270">N107*(1-$S107)</f>
        <v>8</v>
      </c>
      <c r="G107" s="377">
        <f t="shared" ref="G107:G110" si="271">O107*(1-$T107)</f>
        <v>12</v>
      </c>
      <c r="H107" s="376">
        <f t="shared" ref="H107:H110" si="272">P107*(1-$T107)</f>
        <v>3.6</v>
      </c>
      <c r="I107" s="376">
        <f t="shared" ref="I107:I110" si="273">Q107*(1-$U107)</f>
        <v>8</v>
      </c>
      <c r="J107" s="376">
        <f t="shared" ref="J107:J110" si="274">E107/22/8</f>
        <v>0.179545454545455</v>
      </c>
      <c r="K107" s="383" t="s">
        <v>168</v>
      </c>
      <c r="L107" s="384" t="str">
        <f>IF(K107="","",VLOOKUP(K107,'Định nghĩa Loại Chức năng'!$B$4:$C$92,2,FALSE))</f>
        <v>Chức năng web bao gồm UI + Service - trung bình</v>
      </c>
      <c r="M107" s="394" t="s">
        <v>287</v>
      </c>
      <c r="N107" s="395">
        <f>IF(K107="","",VLOOKUP(K107&amp;$N$7,CSDL_CN!$D$4:$E$264,2,FALSE))</f>
        <v>10</v>
      </c>
      <c r="O107" s="395">
        <f>IF(K107="","",VLOOKUP(K107&amp;$O$7,CSDL_CN!$D$4:$E$264,2,FALSE))</f>
        <v>15</v>
      </c>
      <c r="P107" s="395">
        <f t="shared" ref="P107:P111" si="275">IF(M107="Có",O107*30%,0)</f>
        <v>4.5</v>
      </c>
      <c r="Q107" s="395">
        <f>IF(K107="","",VLOOKUP(K107&amp;$Q$7,CSDL_CN!$D$4:$E$264,2,FALSE))</f>
        <v>10</v>
      </c>
      <c r="R107" s="395">
        <f t="array" ref="R107">SUM(IFERROR(N107:Q107,0))</f>
        <v>39.5</v>
      </c>
      <c r="S107" s="400">
        <v>0.2</v>
      </c>
      <c r="T107" s="400">
        <v>0.2</v>
      </c>
      <c r="U107" s="400">
        <v>0.2</v>
      </c>
      <c r="V107" s="366"/>
      <c r="W107" s="366">
        <f t="shared" ref="W107:W111" si="276">IF(X107="OS",E107,0)</f>
        <v>31.6</v>
      </c>
      <c r="X107" s="404" t="s">
        <v>288</v>
      </c>
      <c r="Y107" s="409">
        <f>E107/8/22+E108/8/22+E109/8/22+E110/8/22</f>
        <v>0.718181818181818</v>
      </c>
      <c r="Z107" s="410" t="s">
        <v>458</v>
      </c>
      <c r="AA107" s="411"/>
    </row>
    <row r="108" ht="240" spans="1:27">
      <c r="A108" s="366"/>
      <c r="B108" s="367"/>
      <c r="C108" s="367"/>
      <c r="D108" s="367" t="s">
        <v>427</v>
      </c>
      <c r="E108" s="376">
        <f t="shared" si="269"/>
        <v>31.6</v>
      </c>
      <c r="F108" s="377">
        <f t="shared" si="270"/>
        <v>8</v>
      </c>
      <c r="G108" s="377">
        <f t="shared" si="271"/>
        <v>12</v>
      </c>
      <c r="H108" s="376">
        <f t="shared" si="272"/>
        <v>3.6</v>
      </c>
      <c r="I108" s="376">
        <f t="shared" si="273"/>
        <v>8</v>
      </c>
      <c r="J108" s="376">
        <f t="shared" si="274"/>
        <v>0.179545454545455</v>
      </c>
      <c r="K108" s="383" t="s">
        <v>168</v>
      </c>
      <c r="L108" s="384" t="str">
        <f>IF(K108="","",VLOOKUP(K108,'Định nghĩa Loại Chức năng'!$B$4:$C$92,2,FALSE))</f>
        <v>Chức năng web bao gồm UI + Service - trung bình</v>
      </c>
      <c r="M108" s="394" t="s">
        <v>287</v>
      </c>
      <c r="N108" s="395">
        <f>IF(K108="","",VLOOKUP(K108&amp;$N$7,CSDL_CN!$D$4:$E$264,2,FALSE))</f>
        <v>10</v>
      </c>
      <c r="O108" s="395">
        <f>IF(K108="","",VLOOKUP(K108&amp;$O$7,CSDL_CN!$D$4:$E$264,2,FALSE))</f>
        <v>15</v>
      </c>
      <c r="P108" s="395">
        <f t="shared" si="275"/>
        <v>4.5</v>
      </c>
      <c r="Q108" s="395">
        <f>IF(K108="","",VLOOKUP(K108&amp;$Q$7,CSDL_CN!$D$4:$E$264,2,FALSE))</f>
        <v>10</v>
      </c>
      <c r="R108" s="395">
        <f t="array" ref="R108">SUM(IFERROR(N108:Q108,0))</f>
        <v>39.5</v>
      </c>
      <c r="S108" s="400">
        <v>0.2</v>
      </c>
      <c r="T108" s="400">
        <v>0.2</v>
      </c>
      <c r="U108" s="400">
        <v>0.2</v>
      </c>
      <c r="V108" s="366"/>
      <c r="W108" s="366">
        <f t="shared" si="276"/>
        <v>31.6</v>
      </c>
      <c r="X108" s="404" t="s">
        <v>288</v>
      </c>
      <c r="Y108" s="409"/>
      <c r="Z108" s="410" t="s">
        <v>452</v>
      </c>
      <c r="AA108" s="411"/>
    </row>
    <row r="109" ht="255" spans="1:27">
      <c r="A109" s="366"/>
      <c r="B109" s="367"/>
      <c r="C109" s="367"/>
      <c r="D109" s="367" t="s">
        <v>429</v>
      </c>
      <c r="E109" s="376">
        <f t="shared" si="269"/>
        <v>31.6</v>
      </c>
      <c r="F109" s="377">
        <f t="shared" si="270"/>
        <v>8</v>
      </c>
      <c r="G109" s="377">
        <f t="shared" si="271"/>
        <v>12</v>
      </c>
      <c r="H109" s="376">
        <f t="shared" si="272"/>
        <v>3.6</v>
      </c>
      <c r="I109" s="376">
        <f t="shared" si="273"/>
        <v>8</v>
      </c>
      <c r="J109" s="376">
        <f t="shared" si="274"/>
        <v>0.179545454545455</v>
      </c>
      <c r="K109" s="383" t="s">
        <v>168</v>
      </c>
      <c r="L109" s="384" t="str">
        <f>IF(K109="","",VLOOKUP(K109,'Định nghĩa Loại Chức năng'!$B$4:$C$92,2,FALSE))</f>
        <v>Chức năng web bao gồm UI + Service - trung bình</v>
      </c>
      <c r="M109" s="394" t="s">
        <v>287</v>
      </c>
      <c r="N109" s="395">
        <f>IF(K109="","",VLOOKUP(K109&amp;$N$7,CSDL_CN!$D$4:$E$264,2,FALSE))</f>
        <v>10</v>
      </c>
      <c r="O109" s="395">
        <f>IF(K109="","",VLOOKUP(K109&amp;$O$7,CSDL_CN!$D$4:$E$264,2,FALSE))</f>
        <v>15</v>
      </c>
      <c r="P109" s="395">
        <f t="shared" si="275"/>
        <v>4.5</v>
      </c>
      <c r="Q109" s="395">
        <f>IF(K109="","",VLOOKUP(K109&amp;$Q$7,CSDL_CN!$D$4:$E$264,2,FALSE))</f>
        <v>10</v>
      </c>
      <c r="R109" s="395">
        <f t="array" ref="R109">SUM(IFERROR(N109:Q109,0))</f>
        <v>39.5</v>
      </c>
      <c r="S109" s="400">
        <v>0.2</v>
      </c>
      <c r="T109" s="400">
        <v>0.2</v>
      </c>
      <c r="U109" s="400">
        <v>0.2</v>
      </c>
      <c r="V109" s="366"/>
      <c r="W109" s="366">
        <f t="shared" si="276"/>
        <v>31.6</v>
      </c>
      <c r="X109" s="404" t="s">
        <v>288</v>
      </c>
      <c r="Y109" s="409"/>
      <c r="Z109" s="410" t="s">
        <v>459</v>
      </c>
      <c r="AA109" s="411"/>
    </row>
    <row r="110" ht="225" spans="1:27">
      <c r="A110" s="366"/>
      <c r="B110" s="367"/>
      <c r="C110" s="367"/>
      <c r="D110" s="367" t="s">
        <v>431</v>
      </c>
      <c r="E110" s="376">
        <f t="shared" si="269"/>
        <v>31.6</v>
      </c>
      <c r="F110" s="377">
        <f t="shared" si="270"/>
        <v>8</v>
      </c>
      <c r="G110" s="377">
        <f t="shared" si="271"/>
        <v>12</v>
      </c>
      <c r="H110" s="376">
        <f t="shared" si="272"/>
        <v>3.6</v>
      </c>
      <c r="I110" s="376">
        <f t="shared" si="273"/>
        <v>8</v>
      </c>
      <c r="J110" s="376">
        <f t="shared" si="274"/>
        <v>0.179545454545455</v>
      </c>
      <c r="K110" s="383" t="s">
        <v>168</v>
      </c>
      <c r="L110" s="384" t="str">
        <f>IF(K110="","",VLOOKUP(K110,'Định nghĩa Loại Chức năng'!$B$4:$C$92,2,FALSE))</f>
        <v>Chức năng web bao gồm UI + Service - trung bình</v>
      </c>
      <c r="M110" s="394" t="s">
        <v>287</v>
      </c>
      <c r="N110" s="395">
        <f>IF(K110="","",VLOOKUP(K110&amp;$N$7,CSDL_CN!$D$4:$E$264,2,FALSE))</f>
        <v>10</v>
      </c>
      <c r="O110" s="395">
        <f>IF(K110="","",VLOOKUP(K110&amp;$O$7,CSDL_CN!$D$4:$E$264,2,FALSE))</f>
        <v>15</v>
      </c>
      <c r="P110" s="395">
        <f t="shared" si="275"/>
        <v>4.5</v>
      </c>
      <c r="Q110" s="395">
        <f>IF(K110="","",VLOOKUP(K110&amp;$Q$7,CSDL_CN!$D$4:$E$264,2,FALSE))</f>
        <v>10</v>
      </c>
      <c r="R110" s="395">
        <f t="array" ref="R110">SUM(IFERROR(N110:Q110,0))</f>
        <v>39.5</v>
      </c>
      <c r="S110" s="400">
        <v>0.2</v>
      </c>
      <c r="T110" s="400">
        <v>0.2</v>
      </c>
      <c r="U110" s="400">
        <v>0.2</v>
      </c>
      <c r="V110" s="366"/>
      <c r="W110" s="366">
        <f t="shared" si="276"/>
        <v>31.6</v>
      </c>
      <c r="X110" s="404" t="s">
        <v>288</v>
      </c>
      <c r="Y110" s="409"/>
      <c r="Z110" s="410" t="s">
        <v>460</v>
      </c>
      <c r="AA110" s="411"/>
    </row>
    <row r="111" ht="60" spans="1:27">
      <c r="A111" s="366">
        <v>35</v>
      </c>
      <c r="B111" s="412" t="s">
        <v>461</v>
      </c>
      <c r="C111" s="412" t="s">
        <v>238</v>
      </c>
      <c r="D111" s="367" t="s">
        <v>462</v>
      </c>
      <c r="E111" s="376">
        <f t="shared" si="269"/>
        <v>24.08</v>
      </c>
      <c r="F111" s="377">
        <f t="shared" ref="F111" si="277">N111*(1-$S111)</f>
        <v>6</v>
      </c>
      <c r="G111" s="377">
        <f t="shared" ref="G111" si="278">O111*(1-$T111)</f>
        <v>9.6</v>
      </c>
      <c r="H111" s="376">
        <f t="shared" ref="H111" si="279">P111*(1-$T111)</f>
        <v>2.88</v>
      </c>
      <c r="I111" s="376">
        <f t="shared" ref="I111" si="280">Q111*(1-$U111)</f>
        <v>5.6</v>
      </c>
      <c r="J111" s="376">
        <f t="shared" si="2"/>
        <v>0.136818181818182</v>
      </c>
      <c r="K111" s="383" t="s">
        <v>165</v>
      </c>
      <c r="L111" s="384" t="str">
        <f>IF(K111="","",VLOOKUP(K111,'Định nghĩa Loại Chức năng'!$B$4:$C$92,2,FALSE))</f>
        <v>Chức năng web bao gồm UI + Service - đơn giản</v>
      </c>
      <c r="M111" s="394" t="s">
        <v>287</v>
      </c>
      <c r="N111" s="395">
        <f>IF(K111="","",VLOOKUP(K111&amp;$N$7,CSDL_CN!$D$4:$E$264,2,FALSE))</f>
        <v>7.5</v>
      </c>
      <c r="O111" s="395">
        <f>IF(K111="","",VLOOKUP(K111&amp;$O$7,CSDL_CN!$D$4:$E$264,2,FALSE))</f>
        <v>12</v>
      </c>
      <c r="P111" s="395">
        <f t="shared" si="275"/>
        <v>3.6</v>
      </c>
      <c r="Q111" s="395">
        <f>IF(K111="","",VLOOKUP(K111&amp;$Q$7,CSDL_CN!$D$4:$E$264,2,FALSE))</f>
        <v>7</v>
      </c>
      <c r="R111" s="395">
        <f t="array" ref="R111">SUM(IFERROR(N111:Q111,0))</f>
        <v>30.1</v>
      </c>
      <c r="S111" s="400">
        <v>0.2</v>
      </c>
      <c r="T111" s="400">
        <v>0.2</v>
      </c>
      <c r="U111" s="400">
        <v>0.2</v>
      </c>
      <c r="V111" s="366"/>
      <c r="W111" s="366">
        <f t="shared" si="276"/>
        <v>24.08</v>
      </c>
      <c r="X111" s="404" t="s">
        <v>288</v>
      </c>
      <c r="Y111" s="409">
        <f>SUM(E111:E113)/8/22</f>
        <v>0.410454545454546</v>
      </c>
      <c r="Z111" s="410" t="s">
        <v>463</v>
      </c>
      <c r="AA111" s="411" t="s">
        <v>464</v>
      </c>
    </row>
    <row r="112" ht="45" spans="1:27">
      <c r="A112" s="366"/>
      <c r="B112" s="412"/>
      <c r="C112" s="412"/>
      <c r="D112" s="367" t="s">
        <v>465</v>
      </c>
      <c r="E112" s="376">
        <f t="shared" ref="E112:E114" si="281">SUM(F112:I112)</f>
        <v>24.08</v>
      </c>
      <c r="F112" s="377">
        <f t="shared" ref="F112:F114" si="282">N112*(1-$S112)</f>
        <v>6</v>
      </c>
      <c r="G112" s="377">
        <f t="shared" ref="G112:G114" si="283">O112*(1-$T112)</f>
        <v>9.6</v>
      </c>
      <c r="H112" s="376">
        <f t="shared" ref="H112:H114" si="284">P112*(1-$T112)</f>
        <v>2.88</v>
      </c>
      <c r="I112" s="376">
        <f t="shared" ref="I112:I114" si="285">Q112*(1-$U112)</f>
        <v>5.6</v>
      </c>
      <c r="J112" s="376">
        <f t="shared" ref="J112:J114" si="286">E112/22/8</f>
        <v>0.136818181818182</v>
      </c>
      <c r="K112" s="383" t="s">
        <v>165</v>
      </c>
      <c r="L112" s="384" t="str">
        <f>IF(K112="","",VLOOKUP(K112,'Định nghĩa Loại Chức năng'!$B$4:$C$92,2,FALSE))</f>
        <v>Chức năng web bao gồm UI + Service - đơn giản</v>
      </c>
      <c r="M112" s="394" t="s">
        <v>287</v>
      </c>
      <c r="N112" s="395">
        <f>IF(K112="","",VLOOKUP(K112&amp;$N$7,CSDL_CN!$D$4:$E$264,2,FALSE))</f>
        <v>7.5</v>
      </c>
      <c r="O112" s="395">
        <f>IF(K112="","",VLOOKUP(K112&amp;$O$7,CSDL_CN!$D$4:$E$264,2,FALSE))</f>
        <v>12</v>
      </c>
      <c r="P112" s="395">
        <f t="shared" ref="P112:P114" si="287">IF(M112="Có",O112*30%,0)</f>
        <v>3.6</v>
      </c>
      <c r="Q112" s="395">
        <f>IF(K112="","",VLOOKUP(K112&amp;$Q$7,CSDL_CN!$D$4:$E$264,2,FALSE))</f>
        <v>7</v>
      </c>
      <c r="R112" s="395">
        <f t="array" ref="R112">SUM(IFERROR(N112:Q112,0))</f>
        <v>30.1</v>
      </c>
      <c r="S112" s="400">
        <v>0.2</v>
      </c>
      <c r="T112" s="400">
        <v>0.2</v>
      </c>
      <c r="U112" s="400">
        <v>0.2</v>
      </c>
      <c r="V112" s="366"/>
      <c r="W112" s="366">
        <f t="shared" ref="W112:W114" si="288">IF(X112="OS",E112,0)</f>
        <v>24.08</v>
      </c>
      <c r="X112" s="404" t="s">
        <v>288</v>
      </c>
      <c r="Y112" s="409"/>
      <c r="Z112" s="410"/>
      <c r="AA112" s="411"/>
    </row>
    <row r="113" ht="45" spans="1:27">
      <c r="A113" s="366"/>
      <c r="B113" s="412"/>
      <c r="C113" s="412"/>
      <c r="D113" s="367" t="s">
        <v>466</v>
      </c>
      <c r="E113" s="376">
        <f t="shared" si="281"/>
        <v>24.08</v>
      </c>
      <c r="F113" s="377">
        <f t="shared" si="282"/>
        <v>6</v>
      </c>
      <c r="G113" s="377">
        <f t="shared" si="283"/>
        <v>9.6</v>
      </c>
      <c r="H113" s="376">
        <f t="shared" si="284"/>
        <v>2.88</v>
      </c>
      <c r="I113" s="376">
        <f t="shared" si="285"/>
        <v>5.6</v>
      </c>
      <c r="J113" s="376">
        <f t="shared" si="286"/>
        <v>0.136818181818182</v>
      </c>
      <c r="K113" s="383" t="s">
        <v>165</v>
      </c>
      <c r="L113" s="384" t="str">
        <f>IF(K113="","",VLOOKUP(K113,'Định nghĩa Loại Chức năng'!$B$4:$C$92,2,FALSE))</f>
        <v>Chức năng web bao gồm UI + Service - đơn giản</v>
      </c>
      <c r="M113" s="394" t="s">
        <v>287</v>
      </c>
      <c r="N113" s="395">
        <f>IF(K113="","",VLOOKUP(K113&amp;$N$7,CSDL_CN!$D$4:$E$264,2,FALSE))</f>
        <v>7.5</v>
      </c>
      <c r="O113" s="395">
        <f>IF(K113="","",VLOOKUP(K113&amp;$O$7,CSDL_CN!$D$4:$E$264,2,FALSE))</f>
        <v>12</v>
      </c>
      <c r="P113" s="395">
        <f t="shared" si="287"/>
        <v>3.6</v>
      </c>
      <c r="Q113" s="395">
        <f>IF(K113="","",VLOOKUP(K113&amp;$Q$7,CSDL_CN!$D$4:$E$264,2,FALSE))</f>
        <v>7</v>
      </c>
      <c r="R113" s="395">
        <f t="array" ref="R113">SUM(IFERROR(N113:Q113,0))</f>
        <v>30.1</v>
      </c>
      <c r="S113" s="400">
        <v>0.2</v>
      </c>
      <c r="T113" s="400">
        <v>0.2</v>
      </c>
      <c r="U113" s="400">
        <v>0.2</v>
      </c>
      <c r="V113" s="366"/>
      <c r="W113" s="366">
        <f t="shared" si="288"/>
        <v>24.08</v>
      </c>
      <c r="X113" s="404" t="s">
        <v>288</v>
      </c>
      <c r="Y113" s="409"/>
      <c r="Z113" s="410"/>
      <c r="AA113" s="411"/>
    </row>
    <row r="114" ht="60" spans="1:27">
      <c r="A114" s="366">
        <v>36</v>
      </c>
      <c r="B114" s="412" t="s">
        <v>467</v>
      </c>
      <c r="C114" s="412" t="s">
        <v>468</v>
      </c>
      <c r="D114" s="367" t="s">
        <v>468</v>
      </c>
      <c r="E114" s="376">
        <f t="shared" si="281"/>
        <v>24.08</v>
      </c>
      <c r="F114" s="377">
        <f t="shared" si="282"/>
        <v>6</v>
      </c>
      <c r="G114" s="377">
        <f t="shared" si="283"/>
        <v>9.6</v>
      </c>
      <c r="H114" s="376">
        <f t="shared" si="284"/>
        <v>2.88</v>
      </c>
      <c r="I114" s="376">
        <f t="shared" si="285"/>
        <v>5.6</v>
      </c>
      <c r="J114" s="376">
        <f t="shared" si="286"/>
        <v>0.136818181818182</v>
      </c>
      <c r="K114" s="383" t="s">
        <v>165</v>
      </c>
      <c r="L114" s="384" t="str">
        <f>IF(K114="","",VLOOKUP(K114,'Định nghĩa Loại Chức năng'!$B$4:$C$92,2,FALSE))</f>
        <v>Chức năng web bao gồm UI + Service - đơn giản</v>
      </c>
      <c r="M114" s="394" t="s">
        <v>287</v>
      </c>
      <c r="N114" s="395">
        <f>IF(K114="","",VLOOKUP(K114&amp;$N$7,CSDL_CN!$D$4:$E$264,2,FALSE))</f>
        <v>7.5</v>
      </c>
      <c r="O114" s="395">
        <f>IF(K114="","",VLOOKUP(K114&amp;$O$7,CSDL_CN!$D$4:$E$264,2,FALSE))</f>
        <v>12</v>
      </c>
      <c r="P114" s="395">
        <f t="shared" si="287"/>
        <v>3.6</v>
      </c>
      <c r="Q114" s="395">
        <f>IF(K114="","",VLOOKUP(K114&amp;$Q$7,CSDL_CN!$D$4:$E$264,2,FALSE))</f>
        <v>7</v>
      </c>
      <c r="R114" s="395">
        <f t="array" ref="R114">SUM(IFERROR(N114:Q114,0))</f>
        <v>30.1</v>
      </c>
      <c r="S114" s="400">
        <v>0.2</v>
      </c>
      <c r="T114" s="400">
        <v>0.2</v>
      </c>
      <c r="U114" s="400">
        <v>0.2</v>
      </c>
      <c r="V114" s="366"/>
      <c r="W114" s="366">
        <f t="shared" si="288"/>
        <v>24.08</v>
      </c>
      <c r="X114" s="404" t="s">
        <v>288</v>
      </c>
      <c r="Y114" s="409">
        <f>SUM(E114:E116)/8/22</f>
        <v>0.410454545454546</v>
      </c>
      <c r="Z114" s="410" t="s">
        <v>463</v>
      </c>
      <c r="AA114" s="411"/>
    </row>
    <row r="115" ht="45" spans="1:27">
      <c r="A115" s="366"/>
      <c r="B115" s="412"/>
      <c r="C115" s="412"/>
      <c r="D115" s="367" t="s">
        <v>469</v>
      </c>
      <c r="E115" s="376">
        <f t="shared" ref="E115:E117" si="289">SUM(F115:I115)</f>
        <v>24.08</v>
      </c>
      <c r="F115" s="377">
        <f t="shared" ref="F115:F117" si="290">N115*(1-$S115)</f>
        <v>6</v>
      </c>
      <c r="G115" s="377">
        <f t="shared" ref="G115:G117" si="291">O115*(1-$T115)</f>
        <v>9.6</v>
      </c>
      <c r="H115" s="376">
        <f t="shared" ref="H115:H117" si="292">P115*(1-$T115)</f>
        <v>2.88</v>
      </c>
      <c r="I115" s="376">
        <f t="shared" ref="I115:I117" si="293">Q115*(1-$U115)</f>
        <v>5.6</v>
      </c>
      <c r="J115" s="376">
        <f t="shared" ref="J115:J117" si="294">E115/22/8</f>
        <v>0.136818181818182</v>
      </c>
      <c r="K115" s="383" t="s">
        <v>165</v>
      </c>
      <c r="L115" s="384" t="str">
        <f>IF(K115="","",VLOOKUP(K115,'Định nghĩa Loại Chức năng'!$B$4:$C$92,2,FALSE))</f>
        <v>Chức năng web bao gồm UI + Service - đơn giản</v>
      </c>
      <c r="M115" s="394" t="s">
        <v>287</v>
      </c>
      <c r="N115" s="395">
        <f>IF(K115="","",VLOOKUP(K115&amp;$N$7,CSDL_CN!$D$4:$E$264,2,FALSE))</f>
        <v>7.5</v>
      </c>
      <c r="O115" s="395">
        <f>IF(K115="","",VLOOKUP(K115&amp;$O$7,CSDL_CN!$D$4:$E$264,2,FALSE))</f>
        <v>12</v>
      </c>
      <c r="P115" s="395">
        <f t="shared" ref="P115:P117" si="295">IF(M115="Có",O115*30%,0)</f>
        <v>3.6</v>
      </c>
      <c r="Q115" s="395">
        <f>IF(K115="","",VLOOKUP(K115&amp;$Q$7,CSDL_CN!$D$4:$E$264,2,FALSE))</f>
        <v>7</v>
      </c>
      <c r="R115" s="395">
        <f t="array" ref="R115">SUM(IFERROR(N115:Q115,0))</f>
        <v>30.1</v>
      </c>
      <c r="S115" s="400">
        <v>0.2</v>
      </c>
      <c r="T115" s="400">
        <v>0.2</v>
      </c>
      <c r="U115" s="400">
        <v>0.2</v>
      </c>
      <c r="V115" s="366"/>
      <c r="W115" s="366">
        <f t="shared" ref="W115:W117" si="296">IF(X115="OS",E115,0)</f>
        <v>24.08</v>
      </c>
      <c r="X115" s="404" t="s">
        <v>288</v>
      </c>
      <c r="Y115" s="409"/>
      <c r="Z115" s="410"/>
      <c r="AA115" s="411"/>
    </row>
    <row r="116" ht="45" spans="1:27">
      <c r="A116" s="366"/>
      <c r="B116" s="412"/>
      <c r="C116" s="412"/>
      <c r="D116" s="367" t="s">
        <v>470</v>
      </c>
      <c r="E116" s="376">
        <f t="shared" si="289"/>
        <v>24.08</v>
      </c>
      <c r="F116" s="377">
        <f t="shared" si="290"/>
        <v>6</v>
      </c>
      <c r="G116" s="377">
        <f t="shared" si="291"/>
        <v>9.6</v>
      </c>
      <c r="H116" s="376">
        <f t="shared" si="292"/>
        <v>2.88</v>
      </c>
      <c r="I116" s="376">
        <f t="shared" si="293"/>
        <v>5.6</v>
      </c>
      <c r="J116" s="376">
        <f t="shared" si="294"/>
        <v>0.136818181818182</v>
      </c>
      <c r="K116" s="383" t="s">
        <v>165</v>
      </c>
      <c r="L116" s="384" t="str">
        <f>IF(K116="","",VLOOKUP(K116,'Định nghĩa Loại Chức năng'!$B$4:$C$92,2,FALSE))</f>
        <v>Chức năng web bao gồm UI + Service - đơn giản</v>
      </c>
      <c r="M116" s="394" t="s">
        <v>287</v>
      </c>
      <c r="N116" s="395">
        <f>IF(K116="","",VLOOKUP(K116&amp;$N$7,CSDL_CN!$D$4:$E$264,2,FALSE))</f>
        <v>7.5</v>
      </c>
      <c r="O116" s="395">
        <f>IF(K116="","",VLOOKUP(K116&amp;$O$7,CSDL_CN!$D$4:$E$264,2,FALSE))</f>
        <v>12</v>
      </c>
      <c r="P116" s="395">
        <f t="shared" si="295"/>
        <v>3.6</v>
      </c>
      <c r="Q116" s="395">
        <f>IF(K116="","",VLOOKUP(K116&amp;$Q$7,CSDL_CN!$D$4:$E$264,2,FALSE))</f>
        <v>7</v>
      </c>
      <c r="R116" s="395">
        <f t="array" ref="R116">SUM(IFERROR(N116:Q116,0))</f>
        <v>30.1</v>
      </c>
      <c r="S116" s="400">
        <v>0.2</v>
      </c>
      <c r="T116" s="400">
        <v>0.2</v>
      </c>
      <c r="U116" s="400">
        <v>0.2</v>
      </c>
      <c r="V116" s="366"/>
      <c r="W116" s="366">
        <f t="shared" si="296"/>
        <v>24.08</v>
      </c>
      <c r="X116" s="404" t="s">
        <v>288</v>
      </c>
      <c r="Y116" s="409"/>
      <c r="Z116" s="410"/>
      <c r="AA116" s="411"/>
    </row>
    <row r="117" ht="75" spans="1:27">
      <c r="A117" s="366">
        <v>37</v>
      </c>
      <c r="B117" s="412" t="s">
        <v>471</v>
      </c>
      <c r="C117" s="412" t="s">
        <v>472</v>
      </c>
      <c r="D117" s="367" t="s">
        <v>472</v>
      </c>
      <c r="E117" s="376">
        <f t="shared" si="289"/>
        <v>24.08</v>
      </c>
      <c r="F117" s="377">
        <f t="shared" si="290"/>
        <v>6</v>
      </c>
      <c r="G117" s="377">
        <f t="shared" si="291"/>
        <v>9.6</v>
      </c>
      <c r="H117" s="376">
        <f t="shared" si="292"/>
        <v>2.88</v>
      </c>
      <c r="I117" s="376">
        <f t="shared" si="293"/>
        <v>5.6</v>
      </c>
      <c r="J117" s="376">
        <f t="shared" si="294"/>
        <v>0.136818181818182</v>
      </c>
      <c r="K117" s="383" t="s">
        <v>165</v>
      </c>
      <c r="L117" s="384" t="str">
        <f>IF(K117="","",VLOOKUP(K117,'Định nghĩa Loại Chức năng'!$B$4:$C$92,2,FALSE))</f>
        <v>Chức năng web bao gồm UI + Service - đơn giản</v>
      </c>
      <c r="M117" s="394" t="s">
        <v>287</v>
      </c>
      <c r="N117" s="395">
        <f>IF(K117="","",VLOOKUP(K117&amp;$N$7,CSDL_CN!$D$4:$E$264,2,FALSE))</f>
        <v>7.5</v>
      </c>
      <c r="O117" s="395">
        <f>IF(K117="","",VLOOKUP(K117&amp;$O$7,CSDL_CN!$D$4:$E$264,2,FALSE))</f>
        <v>12</v>
      </c>
      <c r="P117" s="395">
        <f t="shared" si="295"/>
        <v>3.6</v>
      </c>
      <c r="Q117" s="395">
        <f>IF(K117="","",VLOOKUP(K117&amp;$Q$7,CSDL_CN!$D$4:$E$264,2,FALSE))</f>
        <v>7</v>
      </c>
      <c r="R117" s="395">
        <f t="array" ref="R117">SUM(IFERROR(N117:Q117,0))</f>
        <v>30.1</v>
      </c>
      <c r="S117" s="400">
        <v>0.2</v>
      </c>
      <c r="T117" s="400">
        <v>0.2</v>
      </c>
      <c r="U117" s="400">
        <v>0.2</v>
      </c>
      <c r="V117" s="366"/>
      <c r="W117" s="366">
        <f t="shared" si="296"/>
        <v>24.08</v>
      </c>
      <c r="X117" s="404" t="s">
        <v>288</v>
      </c>
      <c r="Y117" s="409">
        <f>SUM(E117:E119)/8/22</f>
        <v>0.410454545454546</v>
      </c>
      <c r="Z117" s="410" t="s">
        <v>473</v>
      </c>
      <c r="AA117" s="411" t="s">
        <v>240</v>
      </c>
    </row>
    <row r="118" ht="45" spans="1:27">
      <c r="A118" s="366"/>
      <c r="B118" s="412"/>
      <c r="C118" s="412"/>
      <c r="D118" s="367" t="s">
        <v>474</v>
      </c>
      <c r="E118" s="376">
        <f t="shared" ref="E118:E122" si="297">SUM(F118:I118)</f>
        <v>24.08</v>
      </c>
      <c r="F118" s="377">
        <f t="shared" ref="F118:F122" si="298">N118*(1-$S118)</f>
        <v>6</v>
      </c>
      <c r="G118" s="377">
        <f t="shared" ref="G118:G122" si="299">O118*(1-$T118)</f>
        <v>9.6</v>
      </c>
      <c r="H118" s="376">
        <f t="shared" ref="H118:H122" si="300">P118*(1-$T118)</f>
        <v>2.88</v>
      </c>
      <c r="I118" s="376">
        <f t="shared" ref="I118:I122" si="301">Q118*(1-$U118)</f>
        <v>5.6</v>
      </c>
      <c r="J118" s="376">
        <f t="shared" ref="J118:J122" si="302">E118/22/8</f>
        <v>0.136818181818182</v>
      </c>
      <c r="K118" s="383" t="s">
        <v>165</v>
      </c>
      <c r="L118" s="384" t="str">
        <f>IF(K118="","",VLOOKUP(K118,'Định nghĩa Loại Chức năng'!$B$4:$C$92,2,FALSE))</f>
        <v>Chức năng web bao gồm UI + Service - đơn giản</v>
      </c>
      <c r="M118" s="394" t="s">
        <v>287</v>
      </c>
      <c r="N118" s="395">
        <f>IF(K118="","",VLOOKUP(K118&amp;$N$7,CSDL_CN!$D$4:$E$264,2,FALSE))</f>
        <v>7.5</v>
      </c>
      <c r="O118" s="395">
        <f>IF(K118="","",VLOOKUP(K118&amp;$O$7,CSDL_CN!$D$4:$E$264,2,FALSE))</f>
        <v>12</v>
      </c>
      <c r="P118" s="395">
        <f t="shared" ref="P118:P122" si="303">IF(M118="Có",O118*30%,0)</f>
        <v>3.6</v>
      </c>
      <c r="Q118" s="395">
        <f>IF(K118="","",VLOOKUP(K118&amp;$Q$7,CSDL_CN!$D$4:$E$264,2,FALSE))</f>
        <v>7</v>
      </c>
      <c r="R118" s="395">
        <f t="array" ref="R118">SUM(IFERROR(N118:Q118,0))</f>
        <v>30.1</v>
      </c>
      <c r="S118" s="400">
        <v>0.2</v>
      </c>
      <c r="T118" s="400">
        <v>0.2</v>
      </c>
      <c r="U118" s="400">
        <v>0.2</v>
      </c>
      <c r="V118" s="366"/>
      <c r="W118" s="366">
        <f t="shared" ref="W118:W122" si="304">IF(X118="OS",E118,0)</f>
        <v>24.08</v>
      </c>
      <c r="X118" s="404" t="s">
        <v>288</v>
      </c>
      <c r="Y118" s="409"/>
      <c r="Z118" s="410"/>
      <c r="AA118" s="411"/>
    </row>
    <row r="119" ht="45" spans="1:27">
      <c r="A119" s="366"/>
      <c r="B119" s="412"/>
      <c r="C119" s="412"/>
      <c r="D119" s="367" t="s">
        <v>475</v>
      </c>
      <c r="E119" s="376">
        <f t="shared" si="297"/>
        <v>24.08</v>
      </c>
      <c r="F119" s="377">
        <f t="shared" si="298"/>
        <v>6</v>
      </c>
      <c r="G119" s="377">
        <f t="shared" si="299"/>
        <v>9.6</v>
      </c>
      <c r="H119" s="376">
        <f t="shared" si="300"/>
        <v>2.88</v>
      </c>
      <c r="I119" s="376">
        <f t="shared" si="301"/>
        <v>5.6</v>
      </c>
      <c r="J119" s="376">
        <f t="shared" si="302"/>
        <v>0.136818181818182</v>
      </c>
      <c r="K119" s="383" t="s">
        <v>165</v>
      </c>
      <c r="L119" s="384" t="str">
        <f>IF(K119="","",VLOOKUP(K119,'Định nghĩa Loại Chức năng'!$B$4:$C$92,2,FALSE))</f>
        <v>Chức năng web bao gồm UI + Service - đơn giản</v>
      </c>
      <c r="M119" s="394" t="s">
        <v>287</v>
      </c>
      <c r="N119" s="395">
        <f>IF(K119="","",VLOOKUP(K119&amp;$N$7,CSDL_CN!$D$4:$E$264,2,FALSE))</f>
        <v>7.5</v>
      </c>
      <c r="O119" s="395">
        <f>IF(K119="","",VLOOKUP(K119&amp;$O$7,CSDL_CN!$D$4:$E$264,2,FALSE))</f>
        <v>12</v>
      </c>
      <c r="P119" s="395">
        <f t="shared" si="303"/>
        <v>3.6</v>
      </c>
      <c r="Q119" s="395">
        <f>IF(K119="","",VLOOKUP(K119&amp;$Q$7,CSDL_CN!$D$4:$E$264,2,FALSE))</f>
        <v>7</v>
      </c>
      <c r="R119" s="395">
        <f t="array" ref="R119">SUM(IFERROR(N119:Q119,0))</f>
        <v>30.1</v>
      </c>
      <c r="S119" s="400">
        <v>0.2</v>
      </c>
      <c r="T119" s="400">
        <v>0.2</v>
      </c>
      <c r="U119" s="400">
        <v>0.2</v>
      </c>
      <c r="V119" s="366"/>
      <c r="W119" s="366">
        <f t="shared" si="304"/>
        <v>24.08</v>
      </c>
      <c r="X119" s="404" t="s">
        <v>288</v>
      </c>
      <c r="Y119" s="409"/>
      <c r="Z119" s="410"/>
      <c r="AA119" s="411"/>
    </row>
    <row r="120" ht="90" spans="1:27">
      <c r="A120" s="366">
        <v>38</v>
      </c>
      <c r="B120" s="412" t="s">
        <v>476</v>
      </c>
      <c r="C120" s="412" t="s">
        <v>477</v>
      </c>
      <c r="D120" s="367" t="s">
        <v>477</v>
      </c>
      <c r="E120" s="376">
        <f t="shared" si="297"/>
        <v>24.08</v>
      </c>
      <c r="F120" s="377">
        <f t="shared" si="298"/>
        <v>6</v>
      </c>
      <c r="G120" s="377">
        <f t="shared" si="299"/>
        <v>9.6</v>
      </c>
      <c r="H120" s="376">
        <f t="shared" si="300"/>
        <v>2.88</v>
      </c>
      <c r="I120" s="376">
        <f t="shared" si="301"/>
        <v>5.6</v>
      </c>
      <c r="J120" s="376">
        <f t="shared" si="302"/>
        <v>0.136818181818182</v>
      </c>
      <c r="K120" s="383" t="s">
        <v>165</v>
      </c>
      <c r="L120" s="384" t="str">
        <f>IF(K120="","",VLOOKUP(K120,'Định nghĩa Loại Chức năng'!$B$4:$C$92,2,FALSE))</f>
        <v>Chức năng web bao gồm UI + Service - đơn giản</v>
      </c>
      <c r="M120" s="394" t="s">
        <v>287</v>
      </c>
      <c r="N120" s="395">
        <f>IF(K120="","",VLOOKUP(K120&amp;$N$7,CSDL_CN!$D$4:$E$264,2,FALSE))</f>
        <v>7.5</v>
      </c>
      <c r="O120" s="395">
        <f>IF(K120="","",VLOOKUP(K120&amp;$O$7,CSDL_CN!$D$4:$E$264,2,FALSE))</f>
        <v>12</v>
      </c>
      <c r="P120" s="395">
        <f t="shared" si="303"/>
        <v>3.6</v>
      </c>
      <c r="Q120" s="395">
        <f>IF(K120="","",VLOOKUP(K120&amp;$Q$7,CSDL_CN!$D$4:$E$264,2,FALSE))</f>
        <v>7</v>
      </c>
      <c r="R120" s="395">
        <f t="array" ref="R120">SUM(IFERROR(N120:Q120,0))</f>
        <v>30.1</v>
      </c>
      <c r="S120" s="400">
        <v>0.2</v>
      </c>
      <c r="T120" s="400">
        <v>0.2</v>
      </c>
      <c r="U120" s="400">
        <v>0.2</v>
      </c>
      <c r="V120" s="366"/>
      <c r="W120" s="366">
        <f t="shared" si="304"/>
        <v>24.08</v>
      </c>
      <c r="X120" s="404" t="s">
        <v>288</v>
      </c>
      <c r="Y120" s="409">
        <f>SUM(E120:E122)/8/22</f>
        <v>0.410454545454546</v>
      </c>
      <c r="Z120" s="410" t="s">
        <v>478</v>
      </c>
      <c r="AA120" s="411"/>
    </row>
    <row r="121" ht="45" spans="1:27">
      <c r="A121" s="366"/>
      <c r="B121" s="412"/>
      <c r="C121" s="412"/>
      <c r="D121" s="367" t="s">
        <v>474</v>
      </c>
      <c r="E121" s="376">
        <f t="shared" si="297"/>
        <v>24.08</v>
      </c>
      <c r="F121" s="377">
        <f t="shared" si="298"/>
        <v>6</v>
      </c>
      <c r="G121" s="377">
        <f t="shared" si="299"/>
        <v>9.6</v>
      </c>
      <c r="H121" s="376">
        <f t="shared" si="300"/>
        <v>2.88</v>
      </c>
      <c r="I121" s="376">
        <f t="shared" si="301"/>
        <v>5.6</v>
      </c>
      <c r="J121" s="376">
        <f t="shared" si="302"/>
        <v>0.136818181818182</v>
      </c>
      <c r="K121" s="383" t="s">
        <v>165</v>
      </c>
      <c r="L121" s="384" t="str">
        <f>IF(K121="","",VLOOKUP(K121,'Định nghĩa Loại Chức năng'!$B$4:$C$92,2,FALSE))</f>
        <v>Chức năng web bao gồm UI + Service - đơn giản</v>
      </c>
      <c r="M121" s="394" t="s">
        <v>287</v>
      </c>
      <c r="N121" s="395">
        <f>IF(K121="","",VLOOKUP(K121&amp;$N$7,CSDL_CN!$D$4:$E$264,2,FALSE))</f>
        <v>7.5</v>
      </c>
      <c r="O121" s="395">
        <f>IF(K121="","",VLOOKUP(K121&amp;$O$7,CSDL_CN!$D$4:$E$264,2,FALSE))</f>
        <v>12</v>
      </c>
      <c r="P121" s="395">
        <f t="shared" si="303"/>
        <v>3.6</v>
      </c>
      <c r="Q121" s="395">
        <f>IF(K121="","",VLOOKUP(K121&amp;$Q$7,CSDL_CN!$D$4:$E$264,2,FALSE))</f>
        <v>7</v>
      </c>
      <c r="R121" s="395">
        <f t="array" ref="R121">SUM(IFERROR(N121:Q121,0))</f>
        <v>30.1</v>
      </c>
      <c r="S121" s="400">
        <v>0.2</v>
      </c>
      <c r="T121" s="400">
        <v>0.2</v>
      </c>
      <c r="U121" s="400">
        <v>0.2</v>
      </c>
      <c r="V121" s="366"/>
      <c r="W121" s="366">
        <f t="shared" si="304"/>
        <v>24.08</v>
      </c>
      <c r="X121" s="404" t="s">
        <v>288</v>
      </c>
      <c r="Y121" s="409"/>
      <c r="Z121" s="410"/>
      <c r="AA121" s="411"/>
    </row>
    <row r="122" ht="45" spans="1:27">
      <c r="A122" s="366"/>
      <c r="B122" s="412"/>
      <c r="C122" s="412"/>
      <c r="D122" s="367" t="s">
        <v>475</v>
      </c>
      <c r="E122" s="376">
        <f t="shared" si="297"/>
        <v>24.08</v>
      </c>
      <c r="F122" s="377">
        <f t="shared" si="298"/>
        <v>6</v>
      </c>
      <c r="G122" s="377">
        <f t="shared" si="299"/>
        <v>9.6</v>
      </c>
      <c r="H122" s="376">
        <f t="shared" si="300"/>
        <v>2.88</v>
      </c>
      <c r="I122" s="376">
        <f t="shared" si="301"/>
        <v>5.6</v>
      </c>
      <c r="J122" s="376">
        <f t="shared" si="302"/>
        <v>0.136818181818182</v>
      </c>
      <c r="K122" s="383" t="s">
        <v>165</v>
      </c>
      <c r="L122" s="384" t="str">
        <f>IF(K122="","",VLOOKUP(K122,'Định nghĩa Loại Chức năng'!$B$4:$C$92,2,FALSE))</f>
        <v>Chức năng web bao gồm UI + Service - đơn giản</v>
      </c>
      <c r="M122" s="394" t="s">
        <v>287</v>
      </c>
      <c r="N122" s="395">
        <f>IF(K122="","",VLOOKUP(K122&amp;$N$7,CSDL_CN!$D$4:$E$264,2,FALSE))</f>
        <v>7.5</v>
      </c>
      <c r="O122" s="395">
        <f>IF(K122="","",VLOOKUP(K122&amp;$O$7,CSDL_CN!$D$4:$E$264,2,FALSE))</f>
        <v>12</v>
      </c>
      <c r="P122" s="395">
        <f t="shared" si="303"/>
        <v>3.6</v>
      </c>
      <c r="Q122" s="395">
        <f>IF(K122="","",VLOOKUP(K122&amp;$Q$7,CSDL_CN!$D$4:$E$264,2,FALSE))</f>
        <v>7</v>
      </c>
      <c r="R122" s="395">
        <f t="array" ref="R122">SUM(IFERROR(N122:Q122,0))</f>
        <v>30.1</v>
      </c>
      <c r="S122" s="400">
        <v>0.2</v>
      </c>
      <c r="T122" s="400">
        <v>0.2</v>
      </c>
      <c r="U122" s="400">
        <v>0.2</v>
      </c>
      <c r="V122" s="366"/>
      <c r="W122" s="366">
        <f t="shared" si="304"/>
        <v>24.08</v>
      </c>
      <c r="X122" s="404" t="s">
        <v>288</v>
      </c>
      <c r="Y122" s="409"/>
      <c r="Z122" s="410"/>
      <c r="AA122" s="411"/>
    </row>
    <row r="123" ht="60" spans="1:27">
      <c r="A123" s="366">
        <v>39</v>
      </c>
      <c r="B123" s="412" t="s">
        <v>479</v>
      </c>
      <c r="C123" s="412" t="s">
        <v>242</v>
      </c>
      <c r="D123" s="367" t="s">
        <v>242</v>
      </c>
      <c r="E123" s="376">
        <f t="shared" ref="E123:E126" si="305">SUM(F123:I123)</f>
        <v>24.08</v>
      </c>
      <c r="F123" s="377">
        <f t="shared" ref="F123:F126" si="306">N123*(1-$S123)</f>
        <v>6</v>
      </c>
      <c r="G123" s="377">
        <f t="shared" ref="G123:G126" si="307">O123*(1-$T123)</f>
        <v>9.6</v>
      </c>
      <c r="H123" s="376">
        <f t="shared" ref="H123:H126" si="308">P123*(1-$T123)</f>
        <v>2.88</v>
      </c>
      <c r="I123" s="376">
        <f t="shared" ref="I123:I126" si="309">Q123*(1-$U123)</f>
        <v>5.6</v>
      </c>
      <c r="J123" s="376">
        <f t="shared" ref="J123:J125" si="310">E123/22/8</f>
        <v>0.136818181818182</v>
      </c>
      <c r="K123" s="383" t="s">
        <v>165</v>
      </c>
      <c r="L123" s="384" t="str">
        <f>IF(K123="","",VLOOKUP(K123,'Định nghĩa Loại Chức năng'!$B$4:$C$92,2,FALSE))</f>
        <v>Chức năng web bao gồm UI + Service - đơn giản</v>
      </c>
      <c r="M123" s="394" t="s">
        <v>287</v>
      </c>
      <c r="N123" s="395">
        <f>IF(K123="","",VLOOKUP(K123&amp;$N$7,CSDL_CN!$D$4:$E$264,2,FALSE))</f>
        <v>7.5</v>
      </c>
      <c r="O123" s="395">
        <f>IF(K123="","",VLOOKUP(K123&amp;$O$7,CSDL_CN!$D$4:$E$264,2,FALSE))</f>
        <v>12</v>
      </c>
      <c r="P123" s="395">
        <f t="shared" ref="P123:P126" si="311">IF(M123="Có",O123*30%,0)</f>
        <v>3.6</v>
      </c>
      <c r="Q123" s="395">
        <f>IF(K123="","",VLOOKUP(K123&amp;$Q$7,CSDL_CN!$D$4:$E$264,2,FALSE))</f>
        <v>7</v>
      </c>
      <c r="R123" s="395">
        <f t="array" ref="R123">SUM(IFERROR(N123:Q123,0))</f>
        <v>30.1</v>
      </c>
      <c r="S123" s="400">
        <v>0.2</v>
      </c>
      <c r="T123" s="400">
        <v>0.2</v>
      </c>
      <c r="U123" s="400">
        <v>0.2</v>
      </c>
      <c r="V123" s="366"/>
      <c r="W123" s="366">
        <f t="shared" ref="W123:W126" si="312">IF(X123="OS",E123,0)</f>
        <v>24.08</v>
      </c>
      <c r="X123" s="404" t="s">
        <v>288</v>
      </c>
      <c r="Y123" s="409">
        <f>SUM(E123:E125)/8/22</f>
        <v>0.410454545454546</v>
      </c>
      <c r="Z123" s="410" t="s">
        <v>480</v>
      </c>
      <c r="AA123" s="411" t="s">
        <v>244</v>
      </c>
    </row>
    <row r="124" ht="45" spans="1:27">
      <c r="A124" s="366"/>
      <c r="B124" s="412"/>
      <c r="C124" s="412"/>
      <c r="D124" s="367" t="s">
        <v>481</v>
      </c>
      <c r="E124" s="376">
        <f t="shared" si="305"/>
        <v>24.08</v>
      </c>
      <c r="F124" s="377">
        <f t="shared" si="306"/>
        <v>6</v>
      </c>
      <c r="G124" s="377">
        <f t="shared" si="307"/>
        <v>9.6</v>
      </c>
      <c r="H124" s="376">
        <f t="shared" si="308"/>
        <v>2.88</v>
      </c>
      <c r="I124" s="376">
        <f t="shared" si="309"/>
        <v>5.6</v>
      </c>
      <c r="J124" s="376">
        <f t="shared" si="310"/>
        <v>0.136818181818182</v>
      </c>
      <c r="K124" s="383" t="s">
        <v>165</v>
      </c>
      <c r="L124" s="384" t="str">
        <f>IF(K124="","",VLOOKUP(K124,'Định nghĩa Loại Chức năng'!$B$4:$C$92,2,FALSE))</f>
        <v>Chức năng web bao gồm UI + Service - đơn giản</v>
      </c>
      <c r="M124" s="394" t="s">
        <v>287</v>
      </c>
      <c r="N124" s="395">
        <f>IF(K124="","",VLOOKUP(K124&amp;$N$7,CSDL_CN!$D$4:$E$264,2,FALSE))</f>
        <v>7.5</v>
      </c>
      <c r="O124" s="395">
        <f>IF(K124="","",VLOOKUP(K124&amp;$O$7,CSDL_CN!$D$4:$E$264,2,FALSE))</f>
        <v>12</v>
      </c>
      <c r="P124" s="395">
        <f t="shared" si="311"/>
        <v>3.6</v>
      </c>
      <c r="Q124" s="395">
        <f>IF(K124="","",VLOOKUP(K124&amp;$Q$7,CSDL_CN!$D$4:$E$264,2,FALSE))</f>
        <v>7</v>
      </c>
      <c r="R124" s="395">
        <f t="array" ref="R124">SUM(IFERROR(N124:Q124,0))</f>
        <v>30.1</v>
      </c>
      <c r="S124" s="400">
        <v>0.2</v>
      </c>
      <c r="T124" s="400">
        <v>0.2</v>
      </c>
      <c r="U124" s="400">
        <v>0.2</v>
      </c>
      <c r="V124" s="366"/>
      <c r="W124" s="366">
        <f t="shared" si="312"/>
        <v>24.08</v>
      </c>
      <c r="X124" s="404" t="s">
        <v>288</v>
      </c>
      <c r="Y124" s="409"/>
      <c r="Z124" s="410"/>
      <c r="AA124" s="411"/>
    </row>
    <row r="125" ht="45" spans="1:27">
      <c r="A125" s="366"/>
      <c r="B125" s="412"/>
      <c r="C125" s="412"/>
      <c r="D125" s="367" t="s">
        <v>482</v>
      </c>
      <c r="E125" s="376">
        <f t="shared" si="305"/>
        <v>24.08</v>
      </c>
      <c r="F125" s="377">
        <f t="shared" si="306"/>
        <v>6</v>
      </c>
      <c r="G125" s="377">
        <f t="shared" si="307"/>
        <v>9.6</v>
      </c>
      <c r="H125" s="376">
        <f t="shared" si="308"/>
        <v>2.88</v>
      </c>
      <c r="I125" s="376">
        <f t="shared" si="309"/>
        <v>5.6</v>
      </c>
      <c r="J125" s="376">
        <f t="shared" si="310"/>
        <v>0.136818181818182</v>
      </c>
      <c r="K125" s="383" t="s">
        <v>165</v>
      </c>
      <c r="L125" s="384" t="str">
        <f>IF(K125="","",VLOOKUP(K125,'Định nghĩa Loại Chức năng'!$B$4:$C$92,2,FALSE))</f>
        <v>Chức năng web bao gồm UI + Service - đơn giản</v>
      </c>
      <c r="M125" s="394" t="s">
        <v>287</v>
      </c>
      <c r="N125" s="395">
        <f>IF(K125="","",VLOOKUP(K125&amp;$N$7,CSDL_CN!$D$4:$E$264,2,FALSE))</f>
        <v>7.5</v>
      </c>
      <c r="O125" s="395">
        <f>IF(K125="","",VLOOKUP(K125&amp;$O$7,CSDL_CN!$D$4:$E$264,2,FALSE))</f>
        <v>12</v>
      </c>
      <c r="P125" s="395">
        <f t="shared" si="311"/>
        <v>3.6</v>
      </c>
      <c r="Q125" s="395">
        <f>IF(K125="","",VLOOKUP(K125&amp;$Q$7,CSDL_CN!$D$4:$E$264,2,FALSE))</f>
        <v>7</v>
      </c>
      <c r="R125" s="395">
        <f t="array" ref="R125">SUM(IFERROR(N125:Q125,0))</f>
        <v>30.1</v>
      </c>
      <c r="S125" s="400">
        <v>0.2</v>
      </c>
      <c r="T125" s="400">
        <v>0.2</v>
      </c>
      <c r="U125" s="400">
        <v>0.2</v>
      </c>
      <c r="V125" s="366"/>
      <c r="W125" s="366">
        <f t="shared" si="312"/>
        <v>24.08</v>
      </c>
      <c r="X125" s="404" t="s">
        <v>288</v>
      </c>
      <c r="Y125" s="409"/>
      <c r="Z125" s="410"/>
      <c r="AA125" s="411"/>
    </row>
    <row r="126" ht="105" spans="1:27">
      <c r="A126" s="366">
        <v>40</v>
      </c>
      <c r="B126" s="367" t="s">
        <v>483</v>
      </c>
      <c r="C126" s="367" t="s">
        <v>244</v>
      </c>
      <c r="D126" s="367" t="s">
        <v>244</v>
      </c>
      <c r="E126" s="376">
        <f t="shared" si="305"/>
        <v>24.08</v>
      </c>
      <c r="F126" s="377">
        <f t="shared" si="306"/>
        <v>6</v>
      </c>
      <c r="G126" s="377">
        <f t="shared" si="307"/>
        <v>9.6</v>
      </c>
      <c r="H126" s="376">
        <f t="shared" si="308"/>
        <v>2.88</v>
      </c>
      <c r="I126" s="376">
        <f t="shared" si="309"/>
        <v>5.6</v>
      </c>
      <c r="J126" s="376">
        <f t="shared" si="2"/>
        <v>0.136818181818182</v>
      </c>
      <c r="K126" s="383" t="s">
        <v>165</v>
      </c>
      <c r="L126" s="384" t="str">
        <f>IF(K126="","",VLOOKUP(K126,'Định nghĩa Loại Chức năng'!$B$4:$C$92,2,FALSE))</f>
        <v>Chức năng web bao gồm UI + Service - đơn giản</v>
      </c>
      <c r="M126" s="394" t="s">
        <v>287</v>
      </c>
      <c r="N126" s="395">
        <f>IF(K126="","",VLOOKUP(K126&amp;$N$7,CSDL_CN!$D$4:$E$264,2,FALSE))</f>
        <v>7.5</v>
      </c>
      <c r="O126" s="395">
        <f>IF(K126="","",VLOOKUP(K126&amp;$O$7,CSDL_CN!$D$4:$E$264,2,FALSE))</f>
        <v>12</v>
      </c>
      <c r="P126" s="395">
        <f t="shared" si="311"/>
        <v>3.6</v>
      </c>
      <c r="Q126" s="395">
        <f>IF(K126="","",VLOOKUP(K126&amp;$Q$7,CSDL_CN!$D$4:$E$264,2,FALSE))</f>
        <v>7</v>
      </c>
      <c r="R126" s="395">
        <f t="array" ref="R126">SUM(IFERROR(N126:Q126,0))</f>
        <v>30.1</v>
      </c>
      <c r="S126" s="400">
        <v>0.2</v>
      </c>
      <c r="T126" s="400">
        <v>0.2</v>
      </c>
      <c r="U126" s="400">
        <v>0.2</v>
      </c>
      <c r="V126" s="366"/>
      <c r="W126" s="366">
        <f t="shared" si="312"/>
        <v>0</v>
      </c>
      <c r="X126" s="404" t="s">
        <v>484</v>
      </c>
      <c r="Y126" s="409">
        <f t="shared" ref="Y126:Y188" si="313">E126/8/22</f>
        <v>0.136818181818182</v>
      </c>
      <c r="Z126" s="410" t="s">
        <v>485</v>
      </c>
      <c r="AA126" s="411"/>
    </row>
    <row r="127" spans="1:27">
      <c r="A127" s="413"/>
      <c r="B127" s="414" t="s">
        <v>486</v>
      </c>
      <c r="C127" s="414"/>
      <c r="D127" s="414"/>
      <c r="E127" s="415"/>
      <c r="F127" s="416"/>
      <c r="G127" s="416"/>
      <c r="H127" s="415"/>
      <c r="I127" s="415"/>
      <c r="J127" s="376"/>
      <c r="K127" s="417"/>
      <c r="L127" s="418"/>
      <c r="M127" s="419"/>
      <c r="N127" s="420"/>
      <c r="O127" s="420"/>
      <c r="P127" s="420"/>
      <c r="Q127" s="420"/>
      <c r="R127" s="420"/>
      <c r="S127" s="400">
        <v>0.2</v>
      </c>
      <c r="T127" s="400">
        <v>0.2</v>
      </c>
      <c r="U127" s="400">
        <v>0.2</v>
      </c>
      <c r="V127" s="413"/>
      <c r="W127" s="413"/>
      <c r="X127" s="421"/>
      <c r="Y127" s="409">
        <f t="shared" si="313"/>
        <v>0</v>
      </c>
      <c r="Z127" s="422"/>
      <c r="AA127" s="423"/>
    </row>
    <row r="128" ht="195" spans="1:27">
      <c r="A128" s="366">
        <v>42</v>
      </c>
      <c r="B128" s="367" t="s">
        <v>487</v>
      </c>
      <c r="C128" s="367" t="s">
        <v>488</v>
      </c>
      <c r="D128" s="367" t="s">
        <v>489</v>
      </c>
      <c r="E128" s="376">
        <f t="shared" ref="E128:E199" si="314">SUM(F128:I128)</f>
        <v>58.24</v>
      </c>
      <c r="F128" s="377">
        <f t="shared" ref="F128:F188" si="315">N128*(1-$S128)</f>
        <v>12.8</v>
      </c>
      <c r="G128" s="377">
        <f t="shared" ref="G128:G188" si="316">O128*(1-$T128)</f>
        <v>20.8</v>
      </c>
      <c r="H128" s="376">
        <f t="shared" ref="H128:H188" si="317">P128*(1-$T128)</f>
        <v>6.24</v>
      </c>
      <c r="I128" s="376">
        <f t="shared" ref="I128:I188" si="318">Q128*(1-$U128)</f>
        <v>18.4</v>
      </c>
      <c r="J128" s="376">
        <f t="shared" si="2"/>
        <v>0.330909090909091</v>
      </c>
      <c r="K128" s="24" t="s">
        <v>87</v>
      </c>
      <c r="L128" s="384" t="str">
        <f>IF(K128="","",VLOOKUP(K128,'Định nghĩa Loại Chức năng'!$B$4:$C$92,2,FALSE))</f>
        <v>Xử lý nghiệp vụ phức tạp</v>
      </c>
      <c r="M128" s="394" t="s">
        <v>287</v>
      </c>
      <c r="N128" s="395">
        <f>IF(K128="","",VLOOKUP(K128&amp;$N$7,CSDL_CN!$D$4:$E$264,2,FALSE))</f>
        <v>16</v>
      </c>
      <c r="O128" s="395">
        <f>IF(K128="","",VLOOKUP(K128&amp;$O$7,CSDL_CN!$D$4:$E$264,2,FALSE))</f>
        <v>26</v>
      </c>
      <c r="P128" s="395">
        <f t="shared" ref="P128" si="319">IF(M128="Có",O128*30%,0)</f>
        <v>7.8</v>
      </c>
      <c r="Q128" s="395">
        <f>IF(K128="","",VLOOKUP(K128&amp;$Q$7,CSDL_CN!$D$4:$E$264,2,FALSE))</f>
        <v>23</v>
      </c>
      <c r="R128" s="395">
        <f t="array" ref="R128">SUM(IFERROR(N128:Q128,0))</f>
        <v>72.8</v>
      </c>
      <c r="S128" s="400">
        <v>0.2</v>
      </c>
      <c r="T128" s="400">
        <v>0.2</v>
      </c>
      <c r="U128" s="400">
        <v>0.2</v>
      </c>
      <c r="V128" s="366"/>
      <c r="W128" s="366">
        <f t="shared" ref="W128:W199" si="320">IF(X128="OS",E128,0)</f>
        <v>58.24</v>
      </c>
      <c r="X128" s="404" t="s">
        <v>288</v>
      </c>
      <c r="Y128" s="409">
        <f t="shared" si="313"/>
        <v>0.330909090909091</v>
      </c>
      <c r="Z128" s="410" t="s">
        <v>490</v>
      </c>
      <c r="AA128" s="411" t="s">
        <v>491</v>
      </c>
    </row>
    <row r="129" ht="195" spans="1:27">
      <c r="A129" s="366">
        <v>43</v>
      </c>
      <c r="B129" s="367" t="s">
        <v>492</v>
      </c>
      <c r="C129" s="367" t="s">
        <v>493</v>
      </c>
      <c r="D129" s="367" t="s">
        <v>494</v>
      </c>
      <c r="E129" s="376">
        <f t="shared" si="314"/>
        <v>58.24</v>
      </c>
      <c r="F129" s="377">
        <f t="shared" si="315"/>
        <v>12.8</v>
      </c>
      <c r="G129" s="377">
        <f t="shared" si="316"/>
        <v>20.8</v>
      </c>
      <c r="H129" s="376">
        <f t="shared" si="317"/>
        <v>6.24</v>
      </c>
      <c r="I129" s="376">
        <f t="shared" si="318"/>
        <v>18.4</v>
      </c>
      <c r="J129" s="376">
        <f t="shared" si="2"/>
        <v>0.330909090909091</v>
      </c>
      <c r="K129" s="24" t="s">
        <v>87</v>
      </c>
      <c r="L129" s="384" t="str">
        <f>IF(K129="","",VLOOKUP(K129,'Định nghĩa Loại Chức năng'!$B$4:$C$92,2,FALSE))</f>
        <v>Xử lý nghiệp vụ phức tạp</v>
      </c>
      <c r="M129" s="394" t="s">
        <v>287</v>
      </c>
      <c r="N129" s="395">
        <f>IF(K129="","",VLOOKUP(K129&amp;$N$7,CSDL_CN!$D$4:$E$264,2,FALSE))</f>
        <v>16</v>
      </c>
      <c r="O129" s="395">
        <f>IF(K129="","",VLOOKUP(K129&amp;$O$7,CSDL_CN!$D$4:$E$264,2,FALSE))</f>
        <v>26</v>
      </c>
      <c r="P129" s="395">
        <f t="shared" ref="P129:P188" si="321">IF(M129="Có",O129*30%,0)</f>
        <v>7.8</v>
      </c>
      <c r="Q129" s="395">
        <f>IF(K129="","",VLOOKUP(K129&amp;$Q$7,CSDL_CN!$D$4:$E$264,2,FALSE))</f>
        <v>23</v>
      </c>
      <c r="R129" s="395">
        <f t="array" ref="R129">SUM(IFERROR(N129:Q129,0))</f>
        <v>72.8</v>
      </c>
      <c r="S129" s="400">
        <v>0.2</v>
      </c>
      <c r="T129" s="400">
        <v>0.2</v>
      </c>
      <c r="U129" s="400">
        <v>0.2</v>
      </c>
      <c r="V129" s="366"/>
      <c r="W129" s="366">
        <f t="shared" si="320"/>
        <v>58.24</v>
      </c>
      <c r="X129" s="404" t="s">
        <v>288</v>
      </c>
      <c r="Y129" s="409">
        <f>E129/8/22+E130/8/22</f>
        <v>0.661818181818182</v>
      </c>
      <c r="Z129" s="410" t="s">
        <v>495</v>
      </c>
      <c r="AA129" s="411"/>
    </row>
    <row r="130" ht="195" spans="1:27">
      <c r="A130" s="366"/>
      <c r="B130" s="367"/>
      <c r="C130" s="367"/>
      <c r="D130" s="367" t="s">
        <v>496</v>
      </c>
      <c r="E130" s="376">
        <f t="shared" ref="E130" si="322">SUM(F130:I130)</f>
        <v>58.24</v>
      </c>
      <c r="F130" s="377">
        <f t="shared" ref="F130" si="323">N130*(1-$S130)</f>
        <v>12.8</v>
      </c>
      <c r="G130" s="377">
        <f t="shared" ref="G130" si="324">O130*(1-$T130)</f>
        <v>20.8</v>
      </c>
      <c r="H130" s="376">
        <f t="shared" ref="H130" si="325">P130*(1-$T130)</f>
        <v>6.24</v>
      </c>
      <c r="I130" s="376">
        <f t="shared" ref="I130" si="326">Q130*(1-$U130)</f>
        <v>18.4</v>
      </c>
      <c r="J130" s="376">
        <f t="shared" ref="J130" si="327">E130/22/8</f>
        <v>0.330909090909091</v>
      </c>
      <c r="K130" s="24" t="s">
        <v>87</v>
      </c>
      <c r="L130" s="384" t="str">
        <f>IF(K130="","",VLOOKUP(K130,'Định nghĩa Loại Chức năng'!$B$4:$C$92,2,FALSE))</f>
        <v>Xử lý nghiệp vụ phức tạp</v>
      </c>
      <c r="M130" s="394" t="s">
        <v>287</v>
      </c>
      <c r="N130" s="395">
        <f>IF(K130="","",VLOOKUP(K130&amp;$N$7,CSDL_CN!$D$4:$E$264,2,FALSE))</f>
        <v>16</v>
      </c>
      <c r="O130" s="395">
        <f>IF(K130="","",VLOOKUP(K130&amp;$O$7,CSDL_CN!$D$4:$E$264,2,FALSE))</f>
        <v>26</v>
      </c>
      <c r="P130" s="395">
        <f t="shared" ref="P130" si="328">IF(M130="Có",O130*30%,0)</f>
        <v>7.8</v>
      </c>
      <c r="Q130" s="395">
        <f>IF(K130="","",VLOOKUP(K130&amp;$Q$7,CSDL_CN!$D$4:$E$264,2,FALSE))</f>
        <v>23</v>
      </c>
      <c r="R130" s="395">
        <f t="array" ref="R130">SUM(IFERROR(N130:Q130,0))</f>
        <v>72.8</v>
      </c>
      <c r="S130" s="400">
        <v>0.2</v>
      </c>
      <c r="T130" s="400">
        <v>0.2</v>
      </c>
      <c r="U130" s="400">
        <v>0.2</v>
      </c>
      <c r="V130" s="366"/>
      <c r="W130" s="366">
        <f t="shared" ref="W130" si="329">IF(X130="OS",E130,0)</f>
        <v>58.24</v>
      </c>
      <c r="X130" s="404" t="s">
        <v>288</v>
      </c>
      <c r="Y130" s="409"/>
      <c r="Z130" s="410" t="s">
        <v>497</v>
      </c>
      <c r="AA130" s="411"/>
    </row>
    <row r="131" ht="195" spans="1:27">
      <c r="A131" s="366">
        <v>44</v>
      </c>
      <c r="B131" s="367" t="s">
        <v>498</v>
      </c>
      <c r="C131" s="367" t="s">
        <v>499</v>
      </c>
      <c r="D131" s="367" t="s">
        <v>500</v>
      </c>
      <c r="E131" s="376">
        <f t="shared" si="314"/>
        <v>58.24</v>
      </c>
      <c r="F131" s="377">
        <f t="shared" si="315"/>
        <v>12.8</v>
      </c>
      <c r="G131" s="377">
        <f t="shared" si="316"/>
        <v>20.8</v>
      </c>
      <c r="H131" s="376">
        <f t="shared" si="317"/>
        <v>6.24</v>
      </c>
      <c r="I131" s="376">
        <f t="shared" si="318"/>
        <v>18.4</v>
      </c>
      <c r="J131" s="376">
        <f t="shared" si="2"/>
        <v>0.330909090909091</v>
      </c>
      <c r="K131" s="24" t="s">
        <v>87</v>
      </c>
      <c r="L131" s="384" t="str">
        <f>IF(K131="","",VLOOKUP(K131,'Định nghĩa Loại Chức năng'!$B$4:$C$92,2,FALSE))</f>
        <v>Xử lý nghiệp vụ phức tạp</v>
      </c>
      <c r="M131" s="394" t="s">
        <v>287</v>
      </c>
      <c r="N131" s="395">
        <f>IF(K131="","",VLOOKUP(K131&amp;$N$7,CSDL_CN!$D$4:$E$264,2,FALSE))</f>
        <v>16</v>
      </c>
      <c r="O131" s="395">
        <f>IF(K131="","",VLOOKUP(K131&amp;$O$7,CSDL_CN!$D$4:$E$264,2,FALSE))</f>
        <v>26</v>
      </c>
      <c r="P131" s="395">
        <f t="shared" si="321"/>
        <v>7.8</v>
      </c>
      <c r="Q131" s="395">
        <f>IF(K131="","",VLOOKUP(K131&amp;$Q$7,CSDL_CN!$D$4:$E$264,2,FALSE))</f>
        <v>23</v>
      </c>
      <c r="R131" s="395">
        <f t="array" ref="R131">SUM(IFERROR(N131:Q131,0))</f>
        <v>72.8</v>
      </c>
      <c r="S131" s="400">
        <v>0.2</v>
      </c>
      <c r="T131" s="400">
        <v>0.2</v>
      </c>
      <c r="U131" s="400">
        <v>0.2</v>
      </c>
      <c r="V131" s="366"/>
      <c r="W131" s="366">
        <f t="shared" si="320"/>
        <v>58.24</v>
      </c>
      <c r="X131" s="404" t="s">
        <v>288</v>
      </c>
      <c r="Y131" s="409">
        <f t="shared" si="313"/>
        <v>0.330909090909091</v>
      </c>
      <c r="Z131" s="410" t="s">
        <v>501</v>
      </c>
      <c r="AA131" s="411"/>
    </row>
    <row r="132" ht="180" spans="1:27">
      <c r="A132" s="366">
        <v>45</v>
      </c>
      <c r="B132" s="367" t="s">
        <v>502</v>
      </c>
      <c r="C132" s="367" t="s">
        <v>503</v>
      </c>
      <c r="D132" s="367" t="s">
        <v>504</v>
      </c>
      <c r="E132" s="376">
        <f t="shared" si="314"/>
        <v>58.24</v>
      </c>
      <c r="F132" s="377">
        <f t="shared" si="315"/>
        <v>12.8</v>
      </c>
      <c r="G132" s="377">
        <f t="shared" si="316"/>
        <v>20.8</v>
      </c>
      <c r="H132" s="376">
        <f t="shared" si="317"/>
        <v>6.24</v>
      </c>
      <c r="I132" s="376">
        <f t="shared" si="318"/>
        <v>18.4</v>
      </c>
      <c r="J132" s="376">
        <f t="shared" si="2"/>
        <v>0.330909090909091</v>
      </c>
      <c r="K132" s="24" t="s">
        <v>87</v>
      </c>
      <c r="L132" s="384" t="str">
        <f>IF(K132="","",VLOOKUP(K132,'Định nghĩa Loại Chức năng'!$B$4:$C$92,2,FALSE))</f>
        <v>Xử lý nghiệp vụ phức tạp</v>
      </c>
      <c r="M132" s="394" t="s">
        <v>287</v>
      </c>
      <c r="N132" s="395">
        <f>IF(K132="","",VLOOKUP(K132&amp;$N$7,CSDL_CN!$D$4:$E$264,2,FALSE))</f>
        <v>16</v>
      </c>
      <c r="O132" s="395">
        <f>IF(K132="","",VLOOKUP(K132&amp;$O$7,CSDL_CN!$D$4:$E$264,2,FALSE))</f>
        <v>26</v>
      </c>
      <c r="P132" s="395">
        <f t="shared" si="321"/>
        <v>7.8</v>
      </c>
      <c r="Q132" s="395">
        <f>IF(K132="","",VLOOKUP(K132&amp;$Q$7,CSDL_CN!$D$4:$E$264,2,FALSE))</f>
        <v>23</v>
      </c>
      <c r="R132" s="395">
        <f t="array" ref="R132">SUM(IFERROR(N132:Q132,0))</f>
        <v>72.8</v>
      </c>
      <c r="S132" s="400">
        <v>0.2</v>
      </c>
      <c r="T132" s="400">
        <v>0.2</v>
      </c>
      <c r="U132" s="400">
        <v>0.2</v>
      </c>
      <c r="V132" s="366"/>
      <c r="W132" s="366">
        <f t="shared" si="320"/>
        <v>58.24</v>
      </c>
      <c r="X132" s="404" t="s">
        <v>288</v>
      </c>
      <c r="Y132" s="409">
        <f t="shared" si="313"/>
        <v>0.330909090909091</v>
      </c>
      <c r="Z132" s="410" t="s">
        <v>505</v>
      </c>
      <c r="AA132" s="411"/>
    </row>
    <row r="133" ht="120" spans="1:27">
      <c r="A133" s="366">
        <v>46</v>
      </c>
      <c r="B133" s="367" t="s">
        <v>506</v>
      </c>
      <c r="C133" s="367" t="s">
        <v>507</v>
      </c>
      <c r="D133" s="367" t="s">
        <v>508</v>
      </c>
      <c r="E133" s="376">
        <f t="shared" si="314"/>
        <v>40</v>
      </c>
      <c r="F133" s="377">
        <f t="shared" si="315"/>
        <v>8</v>
      </c>
      <c r="G133" s="377">
        <f t="shared" si="316"/>
        <v>16</v>
      </c>
      <c r="H133" s="376">
        <f t="shared" si="317"/>
        <v>4.8</v>
      </c>
      <c r="I133" s="376">
        <f t="shared" si="318"/>
        <v>11.2</v>
      </c>
      <c r="J133" s="376">
        <f t="shared" si="2"/>
        <v>0.227272727272727</v>
      </c>
      <c r="K133" s="24" t="s">
        <v>83</v>
      </c>
      <c r="L133" s="384" t="str">
        <f>IF(K133="","",VLOOKUP(K133,'Định nghĩa Loại Chức năng'!$B$4:$C$92,2,FALSE))</f>
        <v>Xử lý nghiệp vụ trung bình</v>
      </c>
      <c r="M133" s="394" t="s">
        <v>287</v>
      </c>
      <c r="N133" s="395">
        <f>IF(K133="","",VLOOKUP(K133&amp;$N$7,CSDL_CN!$D$4:$E$264,2,FALSE))</f>
        <v>10</v>
      </c>
      <c r="O133" s="395">
        <f>IF(K133="","",VLOOKUP(K133&amp;$O$7,CSDL_CN!$D$4:$E$264,2,FALSE))</f>
        <v>20</v>
      </c>
      <c r="P133" s="395">
        <f t="shared" si="321"/>
        <v>6</v>
      </c>
      <c r="Q133" s="395">
        <f>IF(K133="","",VLOOKUP(K133&amp;$Q$7,CSDL_CN!$D$4:$E$264,2,FALSE))</f>
        <v>14</v>
      </c>
      <c r="R133" s="395">
        <f t="array" ref="R133">SUM(IFERROR(N133:Q133,0))</f>
        <v>50</v>
      </c>
      <c r="S133" s="400">
        <v>0.2</v>
      </c>
      <c r="T133" s="400">
        <v>0.2</v>
      </c>
      <c r="U133" s="400">
        <v>0.2</v>
      </c>
      <c r="V133" s="366"/>
      <c r="W133" s="366">
        <f t="shared" si="320"/>
        <v>40</v>
      </c>
      <c r="X133" s="404" t="s">
        <v>288</v>
      </c>
      <c r="Y133" s="409">
        <f>E133/8/22+E134/8/22+E135/8/22</f>
        <v>0.681818181818182</v>
      </c>
      <c r="Z133" s="410" t="s">
        <v>509</v>
      </c>
      <c r="AA133" s="411" t="s">
        <v>510</v>
      </c>
    </row>
    <row r="134" ht="135" spans="1:27">
      <c r="A134" s="366"/>
      <c r="B134" s="367"/>
      <c r="C134" s="367"/>
      <c r="D134" s="367" t="s">
        <v>511</v>
      </c>
      <c r="E134" s="376">
        <f t="shared" ref="E134" si="330">SUM(F134:I134)</f>
        <v>40</v>
      </c>
      <c r="F134" s="377">
        <f t="shared" ref="F134" si="331">N134*(1-$S134)</f>
        <v>8</v>
      </c>
      <c r="G134" s="377">
        <f t="shared" ref="G134" si="332">O134*(1-$T134)</f>
        <v>16</v>
      </c>
      <c r="H134" s="376">
        <f t="shared" ref="H134" si="333">P134*(1-$T134)</f>
        <v>4.8</v>
      </c>
      <c r="I134" s="376">
        <f t="shared" ref="I134" si="334">Q134*(1-$U134)</f>
        <v>11.2</v>
      </c>
      <c r="J134" s="376">
        <f t="shared" ref="J134" si="335">E134/22/8</f>
        <v>0.227272727272727</v>
      </c>
      <c r="K134" s="24" t="s">
        <v>83</v>
      </c>
      <c r="L134" s="384" t="str">
        <f>IF(K134="","",VLOOKUP(K134,'Định nghĩa Loại Chức năng'!$B$4:$C$92,2,FALSE))</f>
        <v>Xử lý nghiệp vụ trung bình</v>
      </c>
      <c r="M134" s="394" t="s">
        <v>287</v>
      </c>
      <c r="N134" s="395">
        <f>IF(K134="","",VLOOKUP(K134&amp;$N$7,CSDL_CN!$D$4:$E$264,2,FALSE))</f>
        <v>10</v>
      </c>
      <c r="O134" s="395">
        <f>IF(K134="","",VLOOKUP(K134&amp;$O$7,CSDL_CN!$D$4:$E$264,2,FALSE))</f>
        <v>20</v>
      </c>
      <c r="P134" s="395">
        <f t="shared" ref="P134" si="336">IF(M134="Có",O134*30%,0)</f>
        <v>6</v>
      </c>
      <c r="Q134" s="395">
        <f>IF(K134="","",VLOOKUP(K134&amp;$Q$7,CSDL_CN!$D$4:$E$264,2,FALSE))</f>
        <v>14</v>
      </c>
      <c r="R134" s="395">
        <f t="array" ref="R134">SUM(IFERROR(N134:Q134,0))</f>
        <v>50</v>
      </c>
      <c r="S134" s="400">
        <v>0.2</v>
      </c>
      <c r="T134" s="400">
        <v>0.2</v>
      </c>
      <c r="U134" s="400">
        <v>0.2</v>
      </c>
      <c r="V134" s="366"/>
      <c r="W134" s="366">
        <f t="shared" ref="W134" si="337">IF(X134="OS",E134,0)</f>
        <v>40</v>
      </c>
      <c r="X134" s="404" t="s">
        <v>288</v>
      </c>
      <c r="Y134" s="409"/>
      <c r="Z134" s="410" t="s">
        <v>512</v>
      </c>
      <c r="AA134" s="411"/>
    </row>
    <row r="135" ht="135" spans="1:27">
      <c r="A135" s="366"/>
      <c r="B135" s="367"/>
      <c r="C135" s="367"/>
      <c r="D135" s="367" t="s">
        <v>513</v>
      </c>
      <c r="E135" s="376">
        <f t="shared" ref="E135" si="338">SUM(F135:I135)</f>
        <v>40</v>
      </c>
      <c r="F135" s="377">
        <f t="shared" ref="F135" si="339">N135*(1-$S135)</f>
        <v>8</v>
      </c>
      <c r="G135" s="377">
        <f t="shared" ref="G135" si="340">O135*(1-$T135)</f>
        <v>16</v>
      </c>
      <c r="H135" s="376">
        <f t="shared" ref="H135" si="341">P135*(1-$T135)</f>
        <v>4.8</v>
      </c>
      <c r="I135" s="376">
        <f t="shared" ref="I135" si="342">Q135*(1-$U135)</f>
        <v>11.2</v>
      </c>
      <c r="J135" s="376">
        <f t="shared" ref="J135" si="343">E135/22/8</f>
        <v>0.227272727272727</v>
      </c>
      <c r="K135" s="24" t="s">
        <v>83</v>
      </c>
      <c r="L135" s="384" t="str">
        <f>IF(K135="","",VLOOKUP(K135,'Định nghĩa Loại Chức năng'!$B$4:$C$92,2,FALSE))</f>
        <v>Xử lý nghiệp vụ trung bình</v>
      </c>
      <c r="M135" s="394" t="s">
        <v>287</v>
      </c>
      <c r="N135" s="395">
        <f>IF(K135="","",VLOOKUP(K135&amp;$N$7,CSDL_CN!$D$4:$E$264,2,FALSE))</f>
        <v>10</v>
      </c>
      <c r="O135" s="395">
        <f>IF(K135="","",VLOOKUP(K135&amp;$O$7,CSDL_CN!$D$4:$E$264,2,FALSE))</f>
        <v>20</v>
      </c>
      <c r="P135" s="395">
        <f t="shared" ref="P135" si="344">IF(M135="Có",O135*30%,0)</f>
        <v>6</v>
      </c>
      <c r="Q135" s="395">
        <f>IF(K135="","",VLOOKUP(K135&amp;$Q$7,CSDL_CN!$D$4:$E$264,2,FALSE))</f>
        <v>14</v>
      </c>
      <c r="R135" s="395">
        <f t="array" ref="R135">SUM(IFERROR(N135:Q135,0))</f>
        <v>50</v>
      </c>
      <c r="S135" s="400">
        <v>0.2</v>
      </c>
      <c r="T135" s="400">
        <v>0.2</v>
      </c>
      <c r="U135" s="400">
        <v>0.2</v>
      </c>
      <c r="V135" s="366"/>
      <c r="W135" s="366">
        <f t="shared" ref="W135" si="345">IF(X135="OS",E135,0)</f>
        <v>40</v>
      </c>
      <c r="X135" s="404" t="s">
        <v>288</v>
      </c>
      <c r="Y135" s="409"/>
      <c r="Z135" s="410" t="s">
        <v>514</v>
      </c>
      <c r="AA135" s="411"/>
    </row>
    <row r="136" ht="120" spans="1:27">
      <c r="A136" s="366">
        <v>47</v>
      </c>
      <c r="B136" s="367" t="s">
        <v>515</v>
      </c>
      <c r="C136" s="367" t="s">
        <v>516</v>
      </c>
      <c r="D136" s="367" t="s">
        <v>517</v>
      </c>
      <c r="E136" s="376">
        <f t="shared" si="314"/>
        <v>40</v>
      </c>
      <c r="F136" s="377">
        <f t="shared" si="315"/>
        <v>8</v>
      </c>
      <c r="G136" s="377">
        <f t="shared" si="316"/>
        <v>16</v>
      </c>
      <c r="H136" s="376">
        <f t="shared" si="317"/>
        <v>4.8</v>
      </c>
      <c r="I136" s="376">
        <f t="shared" si="318"/>
        <v>11.2</v>
      </c>
      <c r="J136" s="376">
        <f t="shared" si="2"/>
        <v>0.227272727272727</v>
      </c>
      <c r="K136" s="24" t="s">
        <v>83</v>
      </c>
      <c r="L136" s="384" t="str">
        <f>IF(K136="","",VLOOKUP(K136,'Định nghĩa Loại Chức năng'!$B$4:$C$92,2,FALSE))</f>
        <v>Xử lý nghiệp vụ trung bình</v>
      </c>
      <c r="M136" s="394" t="s">
        <v>287</v>
      </c>
      <c r="N136" s="395">
        <f>IF(K136="","",VLOOKUP(K136&amp;$N$7,CSDL_CN!$D$4:$E$264,2,FALSE))</f>
        <v>10</v>
      </c>
      <c r="O136" s="395">
        <f>IF(K136="","",VLOOKUP(K136&amp;$O$7,CSDL_CN!$D$4:$E$264,2,FALSE))</f>
        <v>20</v>
      </c>
      <c r="P136" s="395">
        <f t="shared" si="321"/>
        <v>6</v>
      </c>
      <c r="Q136" s="395">
        <f>IF(K136="","",VLOOKUP(K136&amp;$Q$7,CSDL_CN!$D$4:$E$264,2,FALSE))</f>
        <v>14</v>
      </c>
      <c r="R136" s="395">
        <f t="array" ref="R136">SUM(IFERROR(N136:Q136,0))</f>
        <v>50</v>
      </c>
      <c r="S136" s="400">
        <v>0.2</v>
      </c>
      <c r="T136" s="400">
        <v>0.2</v>
      </c>
      <c r="U136" s="400">
        <v>0.2</v>
      </c>
      <c r="V136" s="366"/>
      <c r="W136" s="366">
        <f t="shared" si="320"/>
        <v>40</v>
      </c>
      <c r="X136" s="404" t="s">
        <v>288</v>
      </c>
      <c r="Y136" s="409">
        <f>E136/8/22+E137/8/22+E138/8/22</f>
        <v>0.681818181818182</v>
      </c>
      <c r="Z136" s="410" t="s">
        <v>509</v>
      </c>
      <c r="AA136" s="411"/>
    </row>
    <row r="137" ht="135" spans="1:27">
      <c r="A137" s="366"/>
      <c r="B137" s="367"/>
      <c r="C137" s="367"/>
      <c r="D137" s="367" t="s">
        <v>511</v>
      </c>
      <c r="E137" s="376">
        <f t="shared" si="314"/>
        <v>40</v>
      </c>
      <c r="F137" s="377">
        <f t="shared" si="315"/>
        <v>8</v>
      </c>
      <c r="G137" s="377">
        <f t="shared" si="316"/>
        <v>16</v>
      </c>
      <c r="H137" s="376">
        <f t="shared" si="317"/>
        <v>4.8</v>
      </c>
      <c r="I137" s="376">
        <f t="shared" si="318"/>
        <v>11.2</v>
      </c>
      <c r="J137" s="376">
        <f t="shared" si="2"/>
        <v>0.227272727272727</v>
      </c>
      <c r="K137" s="24" t="s">
        <v>83</v>
      </c>
      <c r="L137" s="384" t="str">
        <f>IF(K137="","",VLOOKUP(K137,'Định nghĩa Loại Chức năng'!$B$4:$C$92,2,FALSE))</f>
        <v>Xử lý nghiệp vụ trung bình</v>
      </c>
      <c r="M137" s="394" t="s">
        <v>287</v>
      </c>
      <c r="N137" s="395">
        <f>IF(K137="","",VLOOKUP(K137&amp;$N$7,CSDL_CN!$D$4:$E$264,2,FALSE))</f>
        <v>10</v>
      </c>
      <c r="O137" s="395">
        <f>IF(K137="","",VLOOKUP(K137&amp;$O$7,CSDL_CN!$D$4:$E$264,2,FALSE))</f>
        <v>20</v>
      </c>
      <c r="P137" s="395">
        <f t="shared" si="321"/>
        <v>6</v>
      </c>
      <c r="Q137" s="395">
        <f>IF(K137="","",VLOOKUP(K137&amp;$Q$7,CSDL_CN!$D$4:$E$264,2,FALSE))</f>
        <v>14</v>
      </c>
      <c r="R137" s="395">
        <f t="array" ref="R137">SUM(IFERROR(N137:Q137,0))</f>
        <v>50</v>
      </c>
      <c r="S137" s="400">
        <v>0.2</v>
      </c>
      <c r="T137" s="400">
        <v>0.2</v>
      </c>
      <c r="U137" s="400">
        <v>0.2</v>
      </c>
      <c r="V137" s="366"/>
      <c r="W137" s="366">
        <f t="shared" si="320"/>
        <v>40</v>
      </c>
      <c r="X137" s="404" t="s">
        <v>288</v>
      </c>
      <c r="Y137" s="409"/>
      <c r="Z137" s="410" t="s">
        <v>512</v>
      </c>
      <c r="AA137" s="411"/>
    </row>
    <row r="138" ht="135" spans="1:27">
      <c r="A138" s="366"/>
      <c r="B138" s="367"/>
      <c r="C138" s="367"/>
      <c r="D138" s="367" t="s">
        <v>513</v>
      </c>
      <c r="E138" s="376">
        <f t="shared" si="314"/>
        <v>40</v>
      </c>
      <c r="F138" s="377">
        <f t="shared" si="315"/>
        <v>8</v>
      </c>
      <c r="G138" s="377">
        <f t="shared" si="316"/>
        <v>16</v>
      </c>
      <c r="H138" s="376">
        <f t="shared" si="317"/>
        <v>4.8</v>
      </c>
      <c r="I138" s="376">
        <f t="shared" si="318"/>
        <v>11.2</v>
      </c>
      <c r="J138" s="376">
        <f t="shared" si="2"/>
        <v>0.227272727272727</v>
      </c>
      <c r="K138" s="24" t="s">
        <v>83</v>
      </c>
      <c r="L138" s="384" t="str">
        <f>IF(K138="","",VLOOKUP(K138,'Định nghĩa Loại Chức năng'!$B$4:$C$92,2,FALSE))</f>
        <v>Xử lý nghiệp vụ trung bình</v>
      </c>
      <c r="M138" s="394" t="s">
        <v>287</v>
      </c>
      <c r="N138" s="395">
        <f>IF(K138="","",VLOOKUP(K138&amp;$N$7,CSDL_CN!$D$4:$E$264,2,FALSE))</f>
        <v>10</v>
      </c>
      <c r="O138" s="395">
        <f>IF(K138="","",VLOOKUP(K138&amp;$O$7,CSDL_CN!$D$4:$E$264,2,FALSE))</f>
        <v>20</v>
      </c>
      <c r="P138" s="395">
        <f t="shared" si="321"/>
        <v>6</v>
      </c>
      <c r="Q138" s="395">
        <f>IF(K138="","",VLOOKUP(K138&amp;$Q$7,CSDL_CN!$D$4:$E$264,2,FALSE))</f>
        <v>14</v>
      </c>
      <c r="R138" s="395">
        <f t="array" ref="R138">SUM(IFERROR(N138:Q138,0))</f>
        <v>50</v>
      </c>
      <c r="S138" s="400">
        <v>0.2</v>
      </c>
      <c r="T138" s="400">
        <v>0.2</v>
      </c>
      <c r="U138" s="400">
        <v>0.2</v>
      </c>
      <c r="V138" s="366"/>
      <c r="W138" s="366">
        <f t="shared" si="320"/>
        <v>40</v>
      </c>
      <c r="X138" s="404" t="s">
        <v>288</v>
      </c>
      <c r="Y138" s="409"/>
      <c r="Z138" s="410" t="s">
        <v>514</v>
      </c>
      <c r="AA138" s="411"/>
    </row>
    <row r="139" ht="120" spans="1:27">
      <c r="A139" s="366">
        <v>48</v>
      </c>
      <c r="B139" s="367" t="s">
        <v>518</v>
      </c>
      <c r="C139" s="367" t="s">
        <v>519</v>
      </c>
      <c r="D139" s="367" t="s">
        <v>520</v>
      </c>
      <c r="E139" s="376">
        <f t="shared" si="314"/>
        <v>40</v>
      </c>
      <c r="F139" s="377">
        <f t="shared" si="315"/>
        <v>8</v>
      </c>
      <c r="G139" s="377">
        <f t="shared" si="316"/>
        <v>16</v>
      </c>
      <c r="H139" s="376">
        <f t="shared" si="317"/>
        <v>4.8</v>
      </c>
      <c r="I139" s="376">
        <f t="shared" si="318"/>
        <v>11.2</v>
      </c>
      <c r="J139" s="376">
        <f t="shared" si="2"/>
        <v>0.227272727272727</v>
      </c>
      <c r="K139" s="24" t="s">
        <v>83</v>
      </c>
      <c r="L139" s="384" t="str">
        <f>IF(K139="","",VLOOKUP(K139,'Định nghĩa Loại Chức năng'!$B$4:$C$92,2,FALSE))</f>
        <v>Xử lý nghiệp vụ trung bình</v>
      </c>
      <c r="M139" s="394" t="s">
        <v>287</v>
      </c>
      <c r="N139" s="395">
        <f>IF(K139="","",VLOOKUP(K139&amp;$N$7,CSDL_CN!$D$4:$E$264,2,FALSE))</f>
        <v>10</v>
      </c>
      <c r="O139" s="395">
        <f>IF(K139="","",VLOOKUP(K139&amp;$O$7,CSDL_CN!$D$4:$E$264,2,FALSE))</f>
        <v>20</v>
      </c>
      <c r="P139" s="395">
        <f t="shared" si="321"/>
        <v>6</v>
      </c>
      <c r="Q139" s="395">
        <f>IF(K139="","",VLOOKUP(K139&amp;$Q$7,CSDL_CN!$D$4:$E$264,2,FALSE))</f>
        <v>14</v>
      </c>
      <c r="R139" s="395">
        <f t="array" ref="R139">SUM(IFERROR(N139:Q139,0))</f>
        <v>50</v>
      </c>
      <c r="S139" s="400">
        <v>0.2</v>
      </c>
      <c r="T139" s="400">
        <v>0.2</v>
      </c>
      <c r="U139" s="400">
        <v>0.2</v>
      </c>
      <c r="V139" s="366"/>
      <c r="W139" s="366">
        <f t="shared" si="320"/>
        <v>40</v>
      </c>
      <c r="X139" s="404" t="s">
        <v>288</v>
      </c>
      <c r="Y139" s="409">
        <f>E139/8/22+E140/8/22+E141/8/22</f>
        <v>0.681818181818182</v>
      </c>
      <c r="Z139" s="410" t="s">
        <v>509</v>
      </c>
      <c r="AA139" s="411"/>
    </row>
    <row r="140" ht="135" spans="1:27">
      <c r="A140" s="366"/>
      <c r="B140" s="367"/>
      <c r="C140" s="367"/>
      <c r="D140" s="367" t="s">
        <v>511</v>
      </c>
      <c r="E140" s="376">
        <f t="shared" ref="E140:E141" si="346">SUM(F140:I140)</f>
        <v>40</v>
      </c>
      <c r="F140" s="377">
        <f t="shared" ref="F140:F141" si="347">N140*(1-$S140)</f>
        <v>8</v>
      </c>
      <c r="G140" s="377">
        <f t="shared" ref="G140:G141" si="348">O140*(1-$T140)</f>
        <v>16</v>
      </c>
      <c r="H140" s="376">
        <f t="shared" ref="H140:H141" si="349">P140*(1-$T140)</f>
        <v>4.8</v>
      </c>
      <c r="I140" s="376">
        <f t="shared" ref="I140:I141" si="350">Q140*(1-$U140)</f>
        <v>11.2</v>
      </c>
      <c r="J140" s="376">
        <f t="shared" ref="J140:J141" si="351">E140/22/8</f>
        <v>0.227272727272727</v>
      </c>
      <c r="K140" s="24" t="s">
        <v>83</v>
      </c>
      <c r="L140" s="384" t="str">
        <f>IF(K140="","",VLOOKUP(K140,'Định nghĩa Loại Chức năng'!$B$4:$C$92,2,FALSE))</f>
        <v>Xử lý nghiệp vụ trung bình</v>
      </c>
      <c r="M140" s="394" t="s">
        <v>287</v>
      </c>
      <c r="N140" s="395">
        <f>IF(K140="","",VLOOKUP(K140&amp;$N$7,CSDL_CN!$D$4:$E$264,2,FALSE))</f>
        <v>10</v>
      </c>
      <c r="O140" s="395">
        <f>IF(K140="","",VLOOKUP(K140&amp;$O$7,CSDL_CN!$D$4:$E$264,2,FALSE))</f>
        <v>20</v>
      </c>
      <c r="P140" s="395">
        <f t="shared" ref="P140:P141" si="352">IF(M140="Có",O140*30%,0)</f>
        <v>6</v>
      </c>
      <c r="Q140" s="395">
        <f>IF(K140="","",VLOOKUP(K140&amp;$Q$7,CSDL_CN!$D$4:$E$264,2,FALSE))</f>
        <v>14</v>
      </c>
      <c r="R140" s="395">
        <f t="array" ref="R140">SUM(IFERROR(N140:Q140,0))</f>
        <v>50</v>
      </c>
      <c r="S140" s="400">
        <v>0.2</v>
      </c>
      <c r="T140" s="400">
        <v>0.2</v>
      </c>
      <c r="U140" s="400">
        <v>0.2</v>
      </c>
      <c r="V140" s="366"/>
      <c r="W140" s="366">
        <f t="shared" ref="W140:W141" si="353">IF(X140="OS",E140,0)</f>
        <v>40</v>
      </c>
      <c r="X140" s="404" t="s">
        <v>288</v>
      </c>
      <c r="Y140" s="409"/>
      <c r="Z140" s="410" t="s">
        <v>512</v>
      </c>
      <c r="AA140" s="411"/>
    </row>
    <row r="141" ht="135" spans="1:27">
      <c r="A141" s="366"/>
      <c r="B141" s="367"/>
      <c r="C141" s="367"/>
      <c r="D141" s="367" t="s">
        <v>513</v>
      </c>
      <c r="E141" s="376">
        <f t="shared" si="346"/>
        <v>40</v>
      </c>
      <c r="F141" s="377">
        <f t="shared" si="347"/>
        <v>8</v>
      </c>
      <c r="G141" s="377">
        <f t="shared" si="348"/>
        <v>16</v>
      </c>
      <c r="H141" s="376">
        <f t="shared" si="349"/>
        <v>4.8</v>
      </c>
      <c r="I141" s="376">
        <f t="shared" si="350"/>
        <v>11.2</v>
      </c>
      <c r="J141" s="376">
        <f t="shared" si="351"/>
        <v>0.227272727272727</v>
      </c>
      <c r="K141" s="24" t="s">
        <v>83</v>
      </c>
      <c r="L141" s="384" t="str">
        <f>IF(K141="","",VLOOKUP(K141,'Định nghĩa Loại Chức năng'!$B$4:$C$92,2,FALSE))</f>
        <v>Xử lý nghiệp vụ trung bình</v>
      </c>
      <c r="M141" s="394" t="s">
        <v>287</v>
      </c>
      <c r="N141" s="395">
        <f>IF(K141="","",VLOOKUP(K141&amp;$N$7,CSDL_CN!$D$4:$E$264,2,FALSE))</f>
        <v>10</v>
      </c>
      <c r="O141" s="395">
        <f>IF(K141="","",VLOOKUP(K141&amp;$O$7,CSDL_CN!$D$4:$E$264,2,FALSE))</f>
        <v>20</v>
      </c>
      <c r="P141" s="395">
        <f t="shared" si="352"/>
        <v>6</v>
      </c>
      <c r="Q141" s="395">
        <f>IF(K141="","",VLOOKUP(K141&amp;$Q$7,CSDL_CN!$D$4:$E$264,2,FALSE))</f>
        <v>14</v>
      </c>
      <c r="R141" s="395">
        <f t="array" ref="R141">SUM(IFERROR(N141:Q141,0))</f>
        <v>50</v>
      </c>
      <c r="S141" s="400">
        <v>0.2</v>
      </c>
      <c r="T141" s="400">
        <v>0.2</v>
      </c>
      <c r="U141" s="400">
        <v>0.2</v>
      </c>
      <c r="V141" s="366"/>
      <c r="W141" s="366">
        <f t="shared" si="353"/>
        <v>40</v>
      </c>
      <c r="X141" s="404" t="s">
        <v>288</v>
      </c>
      <c r="Y141" s="409"/>
      <c r="Z141" s="410" t="s">
        <v>514</v>
      </c>
      <c r="AA141" s="411"/>
    </row>
    <row r="142" ht="120" spans="1:27">
      <c r="A142" s="366">
        <v>49</v>
      </c>
      <c r="B142" s="367" t="s">
        <v>521</v>
      </c>
      <c r="C142" s="367" t="s">
        <v>522</v>
      </c>
      <c r="D142" s="367" t="s">
        <v>508</v>
      </c>
      <c r="E142" s="376">
        <f t="shared" si="314"/>
        <v>40</v>
      </c>
      <c r="F142" s="377">
        <f t="shared" si="315"/>
        <v>8</v>
      </c>
      <c r="G142" s="377">
        <f t="shared" si="316"/>
        <v>16</v>
      </c>
      <c r="H142" s="376">
        <f t="shared" si="317"/>
        <v>4.8</v>
      </c>
      <c r="I142" s="376">
        <f t="shared" si="318"/>
        <v>11.2</v>
      </c>
      <c r="J142" s="376">
        <f t="shared" si="2"/>
        <v>0.227272727272727</v>
      </c>
      <c r="K142" s="24" t="s">
        <v>83</v>
      </c>
      <c r="L142" s="384" t="str">
        <f>IF(K142="","",VLOOKUP(K142,'Định nghĩa Loại Chức năng'!$B$4:$C$92,2,FALSE))</f>
        <v>Xử lý nghiệp vụ trung bình</v>
      </c>
      <c r="M142" s="394" t="s">
        <v>287</v>
      </c>
      <c r="N142" s="395">
        <f>IF(K142="","",VLOOKUP(K142&amp;$N$7,CSDL_CN!$D$4:$E$264,2,FALSE))</f>
        <v>10</v>
      </c>
      <c r="O142" s="395">
        <f>IF(K142="","",VLOOKUP(K142&amp;$O$7,CSDL_CN!$D$4:$E$264,2,FALSE))</f>
        <v>20</v>
      </c>
      <c r="P142" s="395">
        <f t="shared" si="321"/>
        <v>6</v>
      </c>
      <c r="Q142" s="395">
        <f>IF(K142="","",VLOOKUP(K142&amp;$Q$7,CSDL_CN!$D$4:$E$264,2,FALSE))</f>
        <v>14</v>
      </c>
      <c r="R142" s="395">
        <f t="array" ref="R142">SUM(IFERROR(N142:Q142,0))</f>
        <v>50</v>
      </c>
      <c r="S142" s="400">
        <v>0.2</v>
      </c>
      <c r="T142" s="400">
        <v>0.2</v>
      </c>
      <c r="U142" s="400">
        <v>0.2</v>
      </c>
      <c r="V142" s="366"/>
      <c r="W142" s="366">
        <f t="shared" si="320"/>
        <v>40</v>
      </c>
      <c r="X142" s="404" t="s">
        <v>288</v>
      </c>
      <c r="Y142" s="409">
        <f>E142/8/22+E143/8/22+E144/8/22</f>
        <v>0.681818181818182</v>
      </c>
      <c r="Z142" s="410" t="s">
        <v>509</v>
      </c>
      <c r="AA142" s="411" t="s">
        <v>523</v>
      </c>
    </row>
    <row r="143" ht="135" spans="1:27">
      <c r="A143" s="366"/>
      <c r="B143" s="367"/>
      <c r="C143" s="367"/>
      <c r="D143" s="367" t="s">
        <v>511</v>
      </c>
      <c r="E143" s="376">
        <f t="shared" ref="E143:E144" si="354">SUM(F143:I143)</f>
        <v>40</v>
      </c>
      <c r="F143" s="377">
        <f t="shared" ref="F143:F144" si="355">N143*(1-$S143)</f>
        <v>8</v>
      </c>
      <c r="G143" s="377">
        <f t="shared" ref="G143:G144" si="356">O143*(1-$T143)</f>
        <v>16</v>
      </c>
      <c r="H143" s="376">
        <f t="shared" ref="H143:H144" si="357">P143*(1-$T143)</f>
        <v>4.8</v>
      </c>
      <c r="I143" s="376">
        <f t="shared" ref="I143:I144" si="358">Q143*(1-$U143)</f>
        <v>11.2</v>
      </c>
      <c r="J143" s="376">
        <f t="shared" ref="J143:J144" si="359">E143/22/8</f>
        <v>0.227272727272727</v>
      </c>
      <c r="K143" s="24" t="s">
        <v>83</v>
      </c>
      <c r="L143" s="384" t="str">
        <f>IF(K143="","",VLOOKUP(K143,'Định nghĩa Loại Chức năng'!$B$4:$C$92,2,FALSE))</f>
        <v>Xử lý nghiệp vụ trung bình</v>
      </c>
      <c r="M143" s="394" t="s">
        <v>287</v>
      </c>
      <c r="N143" s="395">
        <f>IF(K143="","",VLOOKUP(K143&amp;$N$7,CSDL_CN!$D$4:$E$264,2,FALSE))</f>
        <v>10</v>
      </c>
      <c r="O143" s="395">
        <f>IF(K143="","",VLOOKUP(K143&amp;$O$7,CSDL_CN!$D$4:$E$264,2,FALSE))</f>
        <v>20</v>
      </c>
      <c r="P143" s="395">
        <f t="shared" ref="P143:P144" si="360">IF(M143="Có",O143*30%,0)</f>
        <v>6</v>
      </c>
      <c r="Q143" s="395">
        <f>IF(K143="","",VLOOKUP(K143&amp;$Q$7,CSDL_CN!$D$4:$E$264,2,FALSE))</f>
        <v>14</v>
      </c>
      <c r="R143" s="395">
        <f t="array" ref="R143">SUM(IFERROR(N143:Q143,0))</f>
        <v>50</v>
      </c>
      <c r="S143" s="400">
        <v>0.2</v>
      </c>
      <c r="T143" s="400">
        <v>0.2</v>
      </c>
      <c r="U143" s="400">
        <v>0.2</v>
      </c>
      <c r="V143" s="366"/>
      <c r="W143" s="366">
        <f t="shared" ref="W143:W144" si="361">IF(X143="OS",E143,0)</f>
        <v>40</v>
      </c>
      <c r="X143" s="404" t="s">
        <v>288</v>
      </c>
      <c r="Y143" s="409"/>
      <c r="Z143" s="410" t="s">
        <v>512</v>
      </c>
      <c r="AA143" s="411"/>
    </row>
    <row r="144" ht="135" spans="1:27">
      <c r="A144" s="366"/>
      <c r="B144" s="367"/>
      <c r="C144" s="367"/>
      <c r="D144" s="367" t="s">
        <v>513</v>
      </c>
      <c r="E144" s="376">
        <f t="shared" si="354"/>
        <v>40</v>
      </c>
      <c r="F144" s="377">
        <f t="shared" si="355"/>
        <v>8</v>
      </c>
      <c r="G144" s="377">
        <f t="shared" si="356"/>
        <v>16</v>
      </c>
      <c r="H144" s="376">
        <f t="shared" si="357"/>
        <v>4.8</v>
      </c>
      <c r="I144" s="376">
        <f t="shared" si="358"/>
        <v>11.2</v>
      </c>
      <c r="J144" s="376">
        <f t="shared" si="359"/>
        <v>0.227272727272727</v>
      </c>
      <c r="K144" s="24" t="s">
        <v>83</v>
      </c>
      <c r="L144" s="384" t="str">
        <f>IF(K144="","",VLOOKUP(K144,'Định nghĩa Loại Chức năng'!$B$4:$C$92,2,FALSE))</f>
        <v>Xử lý nghiệp vụ trung bình</v>
      </c>
      <c r="M144" s="394" t="s">
        <v>287</v>
      </c>
      <c r="N144" s="395">
        <f>IF(K144="","",VLOOKUP(K144&amp;$N$7,CSDL_CN!$D$4:$E$264,2,FALSE))</f>
        <v>10</v>
      </c>
      <c r="O144" s="395">
        <f>IF(K144="","",VLOOKUP(K144&amp;$O$7,CSDL_CN!$D$4:$E$264,2,FALSE))</f>
        <v>20</v>
      </c>
      <c r="P144" s="395">
        <f t="shared" si="360"/>
        <v>6</v>
      </c>
      <c r="Q144" s="395">
        <f>IF(K144="","",VLOOKUP(K144&amp;$Q$7,CSDL_CN!$D$4:$E$264,2,FALSE))</f>
        <v>14</v>
      </c>
      <c r="R144" s="395">
        <f t="array" ref="R144">SUM(IFERROR(N144:Q144,0))</f>
        <v>50</v>
      </c>
      <c r="S144" s="400">
        <v>0.2</v>
      </c>
      <c r="T144" s="400">
        <v>0.2</v>
      </c>
      <c r="U144" s="400">
        <v>0.2</v>
      </c>
      <c r="V144" s="366"/>
      <c r="W144" s="366">
        <f t="shared" si="361"/>
        <v>40</v>
      </c>
      <c r="X144" s="404" t="s">
        <v>288</v>
      </c>
      <c r="Y144" s="409"/>
      <c r="Z144" s="410" t="s">
        <v>514</v>
      </c>
      <c r="AA144" s="411"/>
    </row>
    <row r="145" ht="120" spans="1:27">
      <c r="A145" s="366">
        <v>50</v>
      </c>
      <c r="B145" s="367" t="s">
        <v>524</v>
      </c>
      <c r="C145" s="367" t="s">
        <v>525</v>
      </c>
      <c r="D145" s="367" t="s">
        <v>517</v>
      </c>
      <c r="E145" s="376">
        <f t="shared" si="314"/>
        <v>40</v>
      </c>
      <c r="F145" s="377">
        <f t="shared" si="315"/>
        <v>8</v>
      </c>
      <c r="G145" s="377">
        <f t="shared" si="316"/>
        <v>16</v>
      </c>
      <c r="H145" s="376">
        <f t="shared" si="317"/>
        <v>4.8</v>
      </c>
      <c r="I145" s="376">
        <f t="shared" si="318"/>
        <v>11.2</v>
      </c>
      <c r="J145" s="376">
        <f t="shared" si="2"/>
        <v>0.227272727272727</v>
      </c>
      <c r="K145" s="24" t="s">
        <v>83</v>
      </c>
      <c r="L145" s="384" t="str">
        <f>IF(K145="","",VLOOKUP(K145,'Định nghĩa Loại Chức năng'!$B$4:$C$92,2,FALSE))</f>
        <v>Xử lý nghiệp vụ trung bình</v>
      </c>
      <c r="M145" s="394" t="s">
        <v>287</v>
      </c>
      <c r="N145" s="395">
        <f>IF(K145="","",VLOOKUP(K145&amp;$N$7,CSDL_CN!$D$4:$E$264,2,FALSE))</f>
        <v>10</v>
      </c>
      <c r="O145" s="395">
        <f>IF(K145="","",VLOOKUP(K145&amp;$O$7,CSDL_CN!$D$4:$E$264,2,FALSE))</f>
        <v>20</v>
      </c>
      <c r="P145" s="395">
        <f t="shared" si="321"/>
        <v>6</v>
      </c>
      <c r="Q145" s="395">
        <f>IF(K145="","",VLOOKUP(K145&amp;$Q$7,CSDL_CN!$D$4:$E$264,2,FALSE))</f>
        <v>14</v>
      </c>
      <c r="R145" s="395">
        <f t="array" ref="R145">SUM(IFERROR(N145:Q145,0))</f>
        <v>50</v>
      </c>
      <c r="S145" s="400">
        <v>0.2</v>
      </c>
      <c r="T145" s="400">
        <v>0.2</v>
      </c>
      <c r="U145" s="400">
        <v>0.2</v>
      </c>
      <c r="V145" s="366"/>
      <c r="W145" s="366">
        <f t="shared" si="320"/>
        <v>40</v>
      </c>
      <c r="X145" s="404" t="s">
        <v>288</v>
      </c>
      <c r="Y145" s="409">
        <f>E145/8/22+E146/8/22+E147/8/22</f>
        <v>0.681818181818182</v>
      </c>
      <c r="Z145" s="410" t="s">
        <v>509</v>
      </c>
      <c r="AA145" s="411"/>
    </row>
    <row r="146" ht="135" spans="1:27">
      <c r="A146" s="366"/>
      <c r="B146" s="367"/>
      <c r="C146" s="367"/>
      <c r="D146" s="367" t="s">
        <v>511</v>
      </c>
      <c r="E146" s="376">
        <f t="shared" ref="E146" si="362">SUM(F146:I146)</f>
        <v>40</v>
      </c>
      <c r="F146" s="377">
        <f t="shared" ref="F146" si="363">N146*(1-$S146)</f>
        <v>8</v>
      </c>
      <c r="G146" s="377">
        <f t="shared" ref="G146" si="364">O146*(1-$T146)</f>
        <v>16</v>
      </c>
      <c r="H146" s="376">
        <f t="shared" ref="H146" si="365">P146*(1-$T146)</f>
        <v>4.8</v>
      </c>
      <c r="I146" s="376">
        <f t="shared" ref="I146" si="366">Q146*(1-$U146)</f>
        <v>11.2</v>
      </c>
      <c r="J146" s="376">
        <f t="shared" ref="J146" si="367">E146/22/8</f>
        <v>0.227272727272727</v>
      </c>
      <c r="K146" s="24" t="s">
        <v>83</v>
      </c>
      <c r="L146" s="384" t="str">
        <f>IF(K146="","",VLOOKUP(K146,'Định nghĩa Loại Chức năng'!$B$4:$C$92,2,FALSE))</f>
        <v>Xử lý nghiệp vụ trung bình</v>
      </c>
      <c r="M146" s="394" t="s">
        <v>287</v>
      </c>
      <c r="N146" s="395">
        <f>IF(K146="","",VLOOKUP(K146&amp;$N$7,CSDL_CN!$D$4:$E$264,2,FALSE))</f>
        <v>10</v>
      </c>
      <c r="O146" s="395">
        <f>IF(K146="","",VLOOKUP(K146&amp;$O$7,CSDL_CN!$D$4:$E$264,2,FALSE))</f>
        <v>20</v>
      </c>
      <c r="P146" s="395">
        <f t="shared" ref="P146" si="368">IF(M146="Có",O146*30%,0)</f>
        <v>6</v>
      </c>
      <c r="Q146" s="395">
        <f>IF(K146="","",VLOOKUP(K146&amp;$Q$7,CSDL_CN!$D$4:$E$264,2,FALSE))</f>
        <v>14</v>
      </c>
      <c r="R146" s="395">
        <f t="array" ref="R146">SUM(IFERROR(N146:Q146,0))</f>
        <v>50</v>
      </c>
      <c r="S146" s="400">
        <v>0.2</v>
      </c>
      <c r="T146" s="400">
        <v>0.2</v>
      </c>
      <c r="U146" s="400">
        <v>0.2</v>
      </c>
      <c r="V146" s="366"/>
      <c r="W146" s="366">
        <f t="shared" ref="W146" si="369">IF(X146="OS",E146,0)</f>
        <v>40</v>
      </c>
      <c r="X146" s="404" t="s">
        <v>288</v>
      </c>
      <c r="Y146" s="409"/>
      <c r="Z146" s="410" t="s">
        <v>512</v>
      </c>
      <c r="AA146" s="411"/>
    </row>
    <row r="147" ht="135" spans="1:27">
      <c r="A147" s="366"/>
      <c r="B147" s="367"/>
      <c r="C147" s="367"/>
      <c r="D147" s="367" t="s">
        <v>513</v>
      </c>
      <c r="E147" s="376">
        <f t="shared" ref="E147" si="370">SUM(F147:I147)</f>
        <v>40</v>
      </c>
      <c r="F147" s="377">
        <f t="shared" ref="F147" si="371">N147*(1-$S147)</f>
        <v>8</v>
      </c>
      <c r="G147" s="377">
        <f t="shared" ref="G147" si="372">O147*(1-$T147)</f>
        <v>16</v>
      </c>
      <c r="H147" s="376">
        <f t="shared" ref="H147" si="373">P147*(1-$T147)</f>
        <v>4.8</v>
      </c>
      <c r="I147" s="376">
        <f t="shared" ref="I147" si="374">Q147*(1-$U147)</f>
        <v>11.2</v>
      </c>
      <c r="J147" s="376">
        <f t="shared" ref="J147" si="375">E147/22/8</f>
        <v>0.227272727272727</v>
      </c>
      <c r="K147" s="24" t="s">
        <v>83</v>
      </c>
      <c r="L147" s="384" t="str">
        <f>IF(K147="","",VLOOKUP(K147,'Định nghĩa Loại Chức năng'!$B$4:$C$92,2,FALSE))</f>
        <v>Xử lý nghiệp vụ trung bình</v>
      </c>
      <c r="M147" s="394" t="s">
        <v>287</v>
      </c>
      <c r="N147" s="395">
        <f>IF(K147="","",VLOOKUP(K147&amp;$N$7,CSDL_CN!$D$4:$E$264,2,FALSE))</f>
        <v>10</v>
      </c>
      <c r="O147" s="395">
        <f>IF(K147="","",VLOOKUP(K147&amp;$O$7,CSDL_CN!$D$4:$E$264,2,FALSE))</f>
        <v>20</v>
      </c>
      <c r="P147" s="395">
        <f t="shared" ref="P147" si="376">IF(M147="Có",O147*30%,0)</f>
        <v>6</v>
      </c>
      <c r="Q147" s="395">
        <f>IF(K147="","",VLOOKUP(K147&amp;$Q$7,CSDL_CN!$D$4:$E$264,2,FALSE))</f>
        <v>14</v>
      </c>
      <c r="R147" s="395">
        <f t="array" ref="R147">SUM(IFERROR(N147:Q147,0))</f>
        <v>50</v>
      </c>
      <c r="S147" s="400">
        <v>0.2</v>
      </c>
      <c r="T147" s="400">
        <v>0.2</v>
      </c>
      <c r="U147" s="400">
        <v>0.2</v>
      </c>
      <c r="V147" s="366"/>
      <c r="W147" s="366">
        <f t="shared" ref="W147" si="377">IF(X147="OS",E147,0)</f>
        <v>40</v>
      </c>
      <c r="X147" s="404" t="s">
        <v>288</v>
      </c>
      <c r="Y147" s="409"/>
      <c r="Z147" s="410" t="s">
        <v>514</v>
      </c>
      <c r="AA147" s="411"/>
    </row>
    <row r="148" ht="195" spans="1:27">
      <c r="A148" s="366">
        <v>51</v>
      </c>
      <c r="B148" s="367" t="s">
        <v>526</v>
      </c>
      <c r="C148" s="367" t="s">
        <v>527</v>
      </c>
      <c r="D148" s="367" t="s">
        <v>528</v>
      </c>
      <c r="E148" s="376">
        <f t="shared" si="314"/>
        <v>58.24</v>
      </c>
      <c r="F148" s="377">
        <f t="shared" si="315"/>
        <v>12.8</v>
      </c>
      <c r="G148" s="377">
        <f t="shared" si="316"/>
        <v>20.8</v>
      </c>
      <c r="H148" s="376">
        <f t="shared" si="317"/>
        <v>6.24</v>
      </c>
      <c r="I148" s="376">
        <f t="shared" si="318"/>
        <v>18.4</v>
      </c>
      <c r="J148" s="376">
        <f t="shared" si="2"/>
        <v>0.330909090909091</v>
      </c>
      <c r="K148" s="24" t="s">
        <v>87</v>
      </c>
      <c r="L148" s="384" t="str">
        <f>IF(K148="","",VLOOKUP(K148,'Định nghĩa Loại Chức năng'!$B$4:$C$92,2,FALSE))</f>
        <v>Xử lý nghiệp vụ phức tạp</v>
      </c>
      <c r="M148" s="394" t="s">
        <v>287</v>
      </c>
      <c r="N148" s="395">
        <f>IF(K148="","",VLOOKUP(K148&amp;$N$7,CSDL_CN!$D$4:$E$264,2,FALSE))</f>
        <v>16</v>
      </c>
      <c r="O148" s="395">
        <f>IF(K148="","",VLOOKUP(K148&amp;$O$7,CSDL_CN!$D$4:$E$264,2,FALSE))</f>
        <v>26</v>
      </c>
      <c r="P148" s="395">
        <f t="shared" si="321"/>
        <v>7.8</v>
      </c>
      <c r="Q148" s="395">
        <f>IF(K148="","",VLOOKUP(K148&amp;$Q$7,CSDL_CN!$D$4:$E$264,2,FALSE))</f>
        <v>23</v>
      </c>
      <c r="R148" s="395">
        <f t="array" ref="R148">SUM(IFERROR(N148:Q148,0))</f>
        <v>72.8</v>
      </c>
      <c r="S148" s="400">
        <v>0.2</v>
      </c>
      <c r="T148" s="400">
        <v>0.2</v>
      </c>
      <c r="U148" s="400">
        <v>0.2</v>
      </c>
      <c r="V148" s="366"/>
      <c r="W148" s="366">
        <f t="shared" si="320"/>
        <v>58.24</v>
      </c>
      <c r="X148" s="404" t="s">
        <v>288</v>
      </c>
      <c r="Y148" s="409">
        <f>E148/8/22+E149/8/22</f>
        <v>0.661818181818182</v>
      </c>
      <c r="Z148" s="410" t="s">
        <v>529</v>
      </c>
      <c r="AA148" s="411"/>
    </row>
    <row r="149" ht="210" spans="1:27">
      <c r="A149" s="366"/>
      <c r="B149" s="367"/>
      <c r="C149" s="367"/>
      <c r="D149" s="367" t="s">
        <v>530</v>
      </c>
      <c r="E149" s="376">
        <f t="shared" si="314"/>
        <v>58.24</v>
      </c>
      <c r="F149" s="377">
        <f t="shared" si="315"/>
        <v>12.8</v>
      </c>
      <c r="G149" s="377">
        <f t="shared" si="316"/>
        <v>20.8</v>
      </c>
      <c r="H149" s="376">
        <f t="shared" si="317"/>
        <v>6.24</v>
      </c>
      <c r="I149" s="376">
        <f t="shared" si="318"/>
        <v>18.4</v>
      </c>
      <c r="J149" s="376">
        <f t="shared" si="2"/>
        <v>0.330909090909091</v>
      </c>
      <c r="K149" s="24" t="s">
        <v>87</v>
      </c>
      <c r="L149" s="384" t="str">
        <f>IF(K149="","",VLOOKUP(K149,'Định nghĩa Loại Chức năng'!$B$4:$C$92,2,FALSE))</f>
        <v>Xử lý nghiệp vụ phức tạp</v>
      </c>
      <c r="M149" s="394" t="s">
        <v>287</v>
      </c>
      <c r="N149" s="395">
        <f>IF(K149="","",VLOOKUP(K149&amp;$N$7,CSDL_CN!$D$4:$E$264,2,FALSE))</f>
        <v>16</v>
      </c>
      <c r="O149" s="395">
        <f>IF(K149="","",VLOOKUP(K149&amp;$O$7,CSDL_CN!$D$4:$E$264,2,FALSE))</f>
        <v>26</v>
      </c>
      <c r="P149" s="395">
        <f t="shared" si="321"/>
        <v>7.8</v>
      </c>
      <c r="Q149" s="395">
        <f>IF(K149="","",VLOOKUP(K149&amp;$Q$7,CSDL_CN!$D$4:$E$264,2,FALSE))</f>
        <v>23</v>
      </c>
      <c r="R149" s="395">
        <f t="array" ref="R149">SUM(IFERROR(N149:Q149,0))</f>
        <v>72.8</v>
      </c>
      <c r="S149" s="400">
        <v>0.2</v>
      </c>
      <c r="T149" s="400">
        <v>0.2</v>
      </c>
      <c r="U149" s="400">
        <v>0.2</v>
      </c>
      <c r="V149" s="366"/>
      <c r="W149" s="366">
        <f t="shared" si="320"/>
        <v>58.24</v>
      </c>
      <c r="X149" s="404" t="s">
        <v>288</v>
      </c>
      <c r="Y149" s="409"/>
      <c r="Z149" s="410" t="s">
        <v>531</v>
      </c>
      <c r="AA149" s="411"/>
    </row>
    <row r="150" ht="195" spans="1:27">
      <c r="A150" s="366">
        <v>52</v>
      </c>
      <c r="B150" s="367" t="s">
        <v>532</v>
      </c>
      <c r="C150" s="367" t="s">
        <v>533</v>
      </c>
      <c r="D150" s="367" t="s">
        <v>534</v>
      </c>
      <c r="E150" s="376">
        <f t="shared" si="314"/>
        <v>58.24</v>
      </c>
      <c r="F150" s="377">
        <f t="shared" si="315"/>
        <v>12.8</v>
      </c>
      <c r="G150" s="377">
        <f t="shared" si="316"/>
        <v>20.8</v>
      </c>
      <c r="H150" s="376">
        <f t="shared" si="317"/>
        <v>6.24</v>
      </c>
      <c r="I150" s="376">
        <f t="shared" si="318"/>
        <v>18.4</v>
      </c>
      <c r="J150" s="376">
        <f t="shared" si="2"/>
        <v>0.330909090909091</v>
      </c>
      <c r="K150" s="24" t="s">
        <v>87</v>
      </c>
      <c r="L150" s="384" t="str">
        <f>IF(K150="","",VLOOKUP(K150,'Định nghĩa Loại Chức năng'!$B$4:$C$92,2,FALSE))</f>
        <v>Xử lý nghiệp vụ phức tạp</v>
      </c>
      <c r="M150" s="394" t="s">
        <v>287</v>
      </c>
      <c r="N150" s="395">
        <f>IF(K150="","",VLOOKUP(K150&amp;$N$7,CSDL_CN!$D$4:$E$264,2,FALSE))</f>
        <v>16</v>
      </c>
      <c r="O150" s="395">
        <f>IF(K150="","",VLOOKUP(K150&amp;$O$7,CSDL_CN!$D$4:$E$264,2,FALSE))</f>
        <v>26</v>
      </c>
      <c r="P150" s="395">
        <f t="shared" si="321"/>
        <v>7.8</v>
      </c>
      <c r="Q150" s="395">
        <f>IF(K150="","",VLOOKUP(K150&amp;$Q$7,CSDL_CN!$D$4:$E$264,2,FALSE))</f>
        <v>23</v>
      </c>
      <c r="R150" s="395">
        <f t="array" ref="R150">SUM(IFERROR(N150:Q150,0))</f>
        <v>72.8</v>
      </c>
      <c r="S150" s="400">
        <v>0.2</v>
      </c>
      <c r="T150" s="400">
        <v>0.2</v>
      </c>
      <c r="U150" s="400">
        <v>0.2</v>
      </c>
      <c r="V150" s="366"/>
      <c r="W150" s="366">
        <f t="shared" si="320"/>
        <v>58.24</v>
      </c>
      <c r="X150" s="404" t="s">
        <v>288</v>
      </c>
      <c r="Y150" s="409">
        <f>E150/8/22+E151/8/22</f>
        <v>0.661818181818182</v>
      </c>
      <c r="Z150" s="410" t="s">
        <v>529</v>
      </c>
      <c r="AA150" s="411" t="s">
        <v>535</v>
      </c>
    </row>
    <row r="151" ht="210" spans="1:27">
      <c r="A151" s="366"/>
      <c r="B151" s="367"/>
      <c r="C151" s="367"/>
      <c r="D151" s="367" t="s">
        <v>530</v>
      </c>
      <c r="E151" s="376">
        <f t="shared" ref="E151" si="378">SUM(F151:I151)</f>
        <v>58.24</v>
      </c>
      <c r="F151" s="377">
        <f t="shared" ref="F151" si="379">N151*(1-$S151)</f>
        <v>12.8</v>
      </c>
      <c r="G151" s="377">
        <f t="shared" ref="G151" si="380">O151*(1-$T151)</f>
        <v>20.8</v>
      </c>
      <c r="H151" s="376">
        <f t="shared" ref="H151" si="381">P151*(1-$T151)</f>
        <v>6.24</v>
      </c>
      <c r="I151" s="376">
        <f t="shared" ref="I151" si="382">Q151*(1-$U151)</f>
        <v>18.4</v>
      </c>
      <c r="J151" s="376">
        <f t="shared" ref="J151" si="383">E151/22/8</f>
        <v>0.330909090909091</v>
      </c>
      <c r="K151" s="24" t="s">
        <v>87</v>
      </c>
      <c r="L151" s="384" t="str">
        <f>IF(K151="","",VLOOKUP(K151,'Định nghĩa Loại Chức năng'!$B$4:$C$92,2,FALSE))</f>
        <v>Xử lý nghiệp vụ phức tạp</v>
      </c>
      <c r="M151" s="394" t="s">
        <v>287</v>
      </c>
      <c r="N151" s="395">
        <f>IF(K151="","",VLOOKUP(K151&amp;$N$7,CSDL_CN!$D$4:$E$264,2,FALSE))</f>
        <v>16</v>
      </c>
      <c r="O151" s="395">
        <f>IF(K151="","",VLOOKUP(K151&amp;$O$7,CSDL_CN!$D$4:$E$264,2,FALSE))</f>
        <v>26</v>
      </c>
      <c r="P151" s="395">
        <f t="shared" ref="P151" si="384">IF(M151="Có",O151*30%,0)</f>
        <v>7.8</v>
      </c>
      <c r="Q151" s="395">
        <f>IF(K151="","",VLOOKUP(K151&amp;$Q$7,CSDL_CN!$D$4:$E$264,2,FALSE))</f>
        <v>23</v>
      </c>
      <c r="R151" s="395">
        <f t="array" ref="R151">SUM(IFERROR(N151:Q151,0))</f>
        <v>72.8</v>
      </c>
      <c r="S151" s="400">
        <v>0.2</v>
      </c>
      <c r="T151" s="400">
        <v>0.2</v>
      </c>
      <c r="U151" s="400">
        <v>0.2</v>
      </c>
      <c r="V151" s="366"/>
      <c r="W151" s="366">
        <f t="shared" ref="W151" si="385">IF(X151="OS",E151,0)</f>
        <v>58.24</v>
      </c>
      <c r="X151" s="404" t="s">
        <v>288</v>
      </c>
      <c r="Y151" s="409"/>
      <c r="Z151" s="410" t="s">
        <v>531</v>
      </c>
      <c r="AA151" s="411"/>
    </row>
    <row r="152" ht="195" spans="1:27">
      <c r="A152" s="366">
        <v>53</v>
      </c>
      <c r="B152" s="367" t="s">
        <v>536</v>
      </c>
      <c r="C152" s="367" t="s">
        <v>537</v>
      </c>
      <c r="D152" s="367" t="s">
        <v>538</v>
      </c>
      <c r="E152" s="376">
        <f t="shared" si="314"/>
        <v>58.24</v>
      </c>
      <c r="F152" s="377">
        <f t="shared" si="315"/>
        <v>12.8</v>
      </c>
      <c r="G152" s="377">
        <f t="shared" si="316"/>
        <v>20.8</v>
      </c>
      <c r="H152" s="376">
        <f t="shared" si="317"/>
        <v>6.24</v>
      </c>
      <c r="I152" s="376">
        <f t="shared" si="318"/>
        <v>18.4</v>
      </c>
      <c r="J152" s="376">
        <f t="shared" si="2"/>
        <v>0.330909090909091</v>
      </c>
      <c r="K152" s="24" t="s">
        <v>87</v>
      </c>
      <c r="L152" s="384" t="str">
        <f>IF(K152="","",VLOOKUP(K152,'Định nghĩa Loại Chức năng'!$B$4:$C$92,2,FALSE))</f>
        <v>Xử lý nghiệp vụ phức tạp</v>
      </c>
      <c r="M152" s="394" t="s">
        <v>287</v>
      </c>
      <c r="N152" s="395">
        <f>IF(K152="","",VLOOKUP(K152&amp;$N$7,CSDL_CN!$D$4:$E$264,2,FALSE))</f>
        <v>16</v>
      </c>
      <c r="O152" s="395">
        <f>IF(K152="","",VLOOKUP(K152&amp;$O$7,CSDL_CN!$D$4:$E$264,2,FALSE))</f>
        <v>26</v>
      </c>
      <c r="P152" s="395">
        <f t="shared" si="321"/>
        <v>7.8</v>
      </c>
      <c r="Q152" s="395">
        <f>IF(K152="","",VLOOKUP(K152&amp;$Q$7,CSDL_CN!$D$4:$E$264,2,FALSE))</f>
        <v>23</v>
      </c>
      <c r="R152" s="395">
        <f t="array" ref="R152">SUM(IFERROR(N152:Q152,0))</f>
        <v>72.8</v>
      </c>
      <c r="S152" s="400">
        <v>0.2</v>
      </c>
      <c r="T152" s="400">
        <v>0.2</v>
      </c>
      <c r="U152" s="400">
        <v>0.2</v>
      </c>
      <c r="V152" s="366"/>
      <c r="W152" s="366">
        <f t="shared" si="320"/>
        <v>58.24</v>
      </c>
      <c r="X152" s="404" t="s">
        <v>288</v>
      </c>
      <c r="Y152" s="409">
        <f>E152/8/22+E153/8/22</f>
        <v>0.661818181818182</v>
      </c>
      <c r="Z152" s="410" t="s">
        <v>529</v>
      </c>
      <c r="AA152" s="411"/>
    </row>
    <row r="153" ht="210" spans="1:27">
      <c r="A153" s="366"/>
      <c r="B153" s="367"/>
      <c r="C153" s="367"/>
      <c r="D153" s="367" t="s">
        <v>530</v>
      </c>
      <c r="E153" s="376">
        <f t="shared" ref="E153" si="386">SUM(F153:I153)</f>
        <v>58.24</v>
      </c>
      <c r="F153" s="377">
        <f t="shared" ref="F153" si="387">N153*(1-$S153)</f>
        <v>12.8</v>
      </c>
      <c r="G153" s="377">
        <f t="shared" ref="G153" si="388">O153*(1-$T153)</f>
        <v>20.8</v>
      </c>
      <c r="H153" s="376">
        <f t="shared" ref="H153" si="389">P153*(1-$T153)</f>
        <v>6.24</v>
      </c>
      <c r="I153" s="376">
        <f t="shared" ref="I153" si="390">Q153*(1-$U153)</f>
        <v>18.4</v>
      </c>
      <c r="J153" s="376">
        <f t="shared" ref="J153" si="391">E153/22/8</f>
        <v>0.330909090909091</v>
      </c>
      <c r="K153" s="24" t="s">
        <v>87</v>
      </c>
      <c r="L153" s="384" t="str">
        <f>IF(K153="","",VLOOKUP(K153,'Định nghĩa Loại Chức năng'!$B$4:$C$92,2,FALSE))</f>
        <v>Xử lý nghiệp vụ phức tạp</v>
      </c>
      <c r="M153" s="394" t="s">
        <v>287</v>
      </c>
      <c r="N153" s="395">
        <f>IF(K153="","",VLOOKUP(K153&amp;$N$7,CSDL_CN!$D$4:$E$264,2,FALSE))</f>
        <v>16</v>
      </c>
      <c r="O153" s="395">
        <f>IF(K153="","",VLOOKUP(K153&amp;$O$7,CSDL_CN!$D$4:$E$264,2,FALSE))</f>
        <v>26</v>
      </c>
      <c r="P153" s="395">
        <f t="shared" ref="P153" si="392">IF(M153="Có",O153*30%,0)</f>
        <v>7.8</v>
      </c>
      <c r="Q153" s="395">
        <f>IF(K153="","",VLOOKUP(K153&amp;$Q$7,CSDL_CN!$D$4:$E$264,2,FALSE))</f>
        <v>23</v>
      </c>
      <c r="R153" s="395">
        <f t="array" ref="R153">SUM(IFERROR(N153:Q153,0))</f>
        <v>72.8</v>
      </c>
      <c r="S153" s="400">
        <v>0.2</v>
      </c>
      <c r="T153" s="400">
        <v>0.2</v>
      </c>
      <c r="U153" s="400">
        <v>0.2</v>
      </c>
      <c r="V153" s="366"/>
      <c r="W153" s="366">
        <f t="shared" ref="W153" si="393">IF(X153="OS",E153,0)</f>
        <v>58.24</v>
      </c>
      <c r="X153" s="404" t="s">
        <v>288</v>
      </c>
      <c r="Y153" s="409"/>
      <c r="Z153" s="410" t="s">
        <v>531</v>
      </c>
      <c r="AA153" s="411"/>
    </row>
    <row r="154" ht="195" spans="1:27">
      <c r="A154" s="366">
        <v>54</v>
      </c>
      <c r="B154" s="367" t="s">
        <v>539</v>
      </c>
      <c r="C154" s="367" t="s">
        <v>540</v>
      </c>
      <c r="D154" s="367" t="s">
        <v>528</v>
      </c>
      <c r="E154" s="376">
        <f t="shared" si="314"/>
        <v>58.24</v>
      </c>
      <c r="F154" s="377">
        <f t="shared" si="315"/>
        <v>12.8</v>
      </c>
      <c r="G154" s="377">
        <f t="shared" si="316"/>
        <v>20.8</v>
      </c>
      <c r="H154" s="376">
        <f t="shared" si="317"/>
        <v>6.24</v>
      </c>
      <c r="I154" s="376">
        <f t="shared" si="318"/>
        <v>18.4</v>
      </c>
      <c r="J154" s="376">
        <f t="shared" si="2"/>
        <v>0.330909090909091</v>
      </c>
      <c r="K154" s="24" t="s">
        <v>87</v>
      </c>
      <c r="L154" s="384" t="str">
        <f>IF(K154="","",VLOOKUP(K154,'Định nghĩa Loại Chức năng'!$B$4:$C$92,2,FALSE))</f>
        <v>Xử lý nghiệp vụ phức tạp</v>
      </c>
      <c r="M154" s="394" t="s">
        <v>287</v>
      </c>
      <c r="N154" s="395">
        <f>IF(K154="","",VLOOKUP(K154&amp;$N$7,CSDL_CN!$D$4:$E$264,2,FALSE))</f>
        <v>16</v>
      </c>
      <c r="O154" s="395">
        <f>IF(K154="","",VLOOKUP(K154&amp;$O$7,CSDL_CN!$D$4:$E$264,2,FALSE))</f>
        <v>26</v>
      </c>
      <c r="P154" s="395">
        <f t="shared" si="321"/>
        <v>7.8</v>
      </c>
      <c r="Q154" s="395">
        <f>IF(K154="","",VLOOKUP(K154&amp;$Q$7,CSDL_CN!$D$4:$E$264,2,FALSE))</f>
        <v>23</v>
      </c>
      <c r="R154" s="395">
        <f t="array" ref="R154">SUM(IFERROR(N154:Q154,0))</f>
        <v>72.8</v>
      </c>
      <c r="S154" s="400">
        <v>0.2</v>
      </c>
      <c r="T154" s="400">
        <v>0.2</v>
      </c>
      <c r="U154" s="400">
        <v>0.2</v>
      </c>
      <c r="V154" s="366"/>
      <c r="W154" s="366">
        <f t="shared" si="320"/>
        <v>58.24</v>
      </c>
      <c r="X154" s="404" t="s">
        <v>288</v>
      </c>
      <c r="Y154" s="409">
        <f>E154/8/22+E155/8/22</f>
        <v>0.661818181818182</v>
      </c>
      <c r="Z154" s="410" t="s">
        <v>529</v>
      </c>
      <c r="AA154" s="411"/>
    </row>
    <row r="155" ht="210" spans="1:27">
      <c r="A155" s="366"/>
      <c r="B155" s="367"/>
      <c r="C155" s="367"/>
      <c r="D155" s="367" t="s">
        <v>530</v>
      </c>
      <c r="E155" s="376">
        <f t="shared" si="314"/>
        <v>58.24</v>
      </c>
      <c r="F155" s="377">
        <f t="shared" si="315"/>
        <v>12.8</v>
      </c>
      <c r="G155" s="377">
        <f t="shared" si="316"/>
        <v>20.8</v>
      </c>
      <c r="H155" s="376">
        <f t="shared" si="317"/>
        <v>6.24</v>
      </c>
      <c r="I155" s="376">
        <f t="shared" si="318"/>
        <v>18.4</v>
      </c>
      <c r="J155" s="376">
        <f t="shared" si="2"/>
        <v>0.330909090909091</v>
      </c>
      <c r="K155" s="24" t="s">
        <v>87</v>
      </c>
      <c r="L155" s="384" t="str">
        <f>IF(K155="","",VLOOKUP(K155,'Định nghĩa Loại Chức năng'!$B$4:$C$92,2,FALSE))</f>
        <v>Xử lý nghiệp vụ phức tạp</v>
      </c>
      <c r="M155" s="394" t="s">
        <v>287</v>
      </c>
      <c r="N155" s="395">
        <f>IF(K155="","",VLOOKUP(K155&amp;$N$7,CSDL_CN!$D$4:$E$264,2,FALSE))</f>
        <v>16</v>
      </c>
      <c r="O155" s="395">
        <f>IF(K155="","",VLOOKUP(K155&amp;$O$7,CSDL_CN!$D$4:$E$264,2,FALSE))</f>
        <v>26</v>
      </c>
      <c r="P155" s="395">
        <f t="shared" si="321"/>
        <v>7.8</v>
      </c>
      <c r="Q155" s="395">
        <f>IF(K155="","",VLOOKUP(K155&amp;$Q$7,CSDL_CN!$D$4:$E$264,2,FALSE))</f>
        <v>23</v>
      </c>
      <c r="R155" s="395">
        <f t="array" ref="R155">SUM(IFERROR(N155:Q155,0))</f>
        <v>72.8</v>
      </c>
      <c r="S155" s="400">
        <v>0.2</v>
      </c>
      <c r="T155" s="400">
        <v>0.2</v>
      </c>
      <c r="U155" s="400">
        <v>0.2</v>
      </c>
      <c r="V155" s="366"/>
      <c r="W155" s="366">
        <f t="shared" si="320"/>
        <v>58.24</v>
      </c>
      <c r="X155" s="404" t="s">
        <v>288</v>
      </c>
      <c r="Y155" s="409"/>
      <c r="Z155" s="410" t="s">
        <v>541</v>
      </c>
      <c r="AA155" s="411"/>
    </row>
    <row r="156" ht="195" spans="1:27">
      <c r="A156" s="366">
        <v>55</v>
      </c>
      <c r="B156" s="367" t="s">
        <v>542</v>
      </c>
      <c r="C156" s="367" t="s">
        <v>543</v>
      </c>
      <c r="D156" s="367" t="s">
        <v>534</v>
      </c>
      <c r="E156" s="376">
        <f t="shared" si="314"/>
        <v>58.24</v>
      </c>
      <c r="F156" s="377">
        <f t="shared" si="315"/>
        <v>12.8</v>
      </c>
      <c r="G156" s="377">
        <f t="shared" si="316"/>
        <v>20.8</v>
      </c>
      <c r="H156" s="376">
        <f t="shared" si="317"/>
        <v>6.24</v>
      </c>
      <c r="I156" s="376">
        <f t="shared" si="318"/>
        <v>18.4</v>
      </c>
      <c r="J156" s="376">
        <f t="shared" si="2"/>
        <v>0.330909090909091</v>
      </c>
      <c r="K156" s="24" t="s">
        <v>87</v>
      </c>
      <c r="L156" s="384" t="str">
        <f>IF(K156="","",VLOOKUP(K156,'Định nghĩa Loại Chức năng'!$B$4:$C$92,2,FALSE))</f>
        <v>Xử lý nghiệp vụ phức tạp</v>
      </c>
      <c r="M156" s="394" t="s">
        <v>287</v>
      </c>
      <c r="N156" s="395">
        <f>IF(K156="","",VLOOKUP(K156&amp;$N$7,CSDL_CN!$D$4:$E$264,2,FALSE))</f>
        <v>16</v>
      </c>
      <c r="O156" s="395">
        <f>IF(K156="","",VLOOKUP(K156&amp;$O$7,CSDL_CN!$D$4:$E$264,2,FALSE))</f>
        <v>26</v>
      </c>
      <c r="P156" s="395">
        <f t="shared" si="321"/>
        <v>7.8</v>
      </c>
      <c r="Q156" s="395">
        <f>IF(K156="","",VLOOKUP(K156&amp;$Q$7,CSDL_CN!$D$4:$E$264,2,FALSE))</f>
        <v>23</v>
      </c>
      <c r="R156" s="395">
        <f t="array" ref="R156">SUM(IFERROR(N156:Q156,0))</f>
        <v>72.8</v>
      </c>
      <c r="S156" s="400">
        <v>0.2</v>
      </c>
      <c r="T156" s="400">
        <v>0.2</v>
      </c>
      <c r="U156" s="400">
        <v>0.2</v>
      </c>
      <c r="V156" s="366"/>
      <c r="W156" s="366">
        <f t="shared" si="320"/>
        <v>58.24</v>
      </c>
      <c r="X156" s="404" t="s">
        <v>288</v>
      </c>
      <c r="Y156" s="409">
        <f>E156/8/22+E157/8/22</f>
        <v>0.661818181818182</v>
      </c>
      <c r="Z156" s="410" t="s">
        <v>529</v>
      </c>
      <c r="AA156" s="411" t="s">
        <v>544</v>
      </c>
    </row>
    <row r="157" ht="195" spans="1:27">
      <c r="A157" s="366"/>
      <c r="B157" s="367"/>
      <c r="C157" s="367"/>
      <c r="D157" s="367" t="s">
        <v>545</v>
      </c>
      <c r="E157" s="376">
        <f t="shared" ref="E157" si="394">SUM(F157:I157)</f>
        <v>58.24</v>
      </c>
      <c r="F157" s="377">
        <f t="shared" ref="F157" si="395">N157*(1-$S157)</f>
        <v>12.8</v>
      </c>
      <c r="G157" s="377">
        <f t="shared" ref="G157" si="396">O157*(1-$T157)</f>
        <v>20.8</v>
      </c>
      <c r="H157" s="376">
        <f t="shared" ref="H157" si="397">P157*(1-$T157)</f>
        <v>6.24</v>
      </c>
      <c r="I157" s="376">
        <f t="shared" ref="I157" si="398">Q157*(1-$U157)</f>
        <v>18.4</v>
      </c>
      <c r="J157" s="376">
        <f t="shared" ref="J157" si="399">E157/22/8</f>
        <v>0.330909090909091</v>
      </c>
      <c r="K157" s="24" t="s">
        <v>87</v>
      </c>
      <c r="L157" s="384" t="str">
        <f>IF(K157="","",VLOOKUP(K157,'Định nghĩa Loại Chức năng'!$B$4:$C$92,2,FALSE))</f>
        <v>Xử lý nghiệp vụ phức tạp</v>
      </c>
      <c r="M157" s="394" t="s">
        <v>287</v>
      </c>
      <c r="N157" s="395">
        <f>IF(K157="","",VLOOKUP(K157&amp;$N$7,CSDL_CN!$D$4:$E$264,2,FALSE))</f>
        <v>16</v>
      </c>
      <c r="O157" s="395">
        <f>IF(K157="","",VLOOKUP(K157&amp;$O$7,CSDL_CN!$D$4:$E$264,2,FALSE))</f>
        <v>26</v>
      </c>
      <c r="P157" s="395">
        <f t="shared" ref="P157" si="400">IF(M157="Có",O157*30%,0)</f>
        <v>7.8</v>
      </c>
      <c r="Q157" s="395">
        <f>IF(K157="","",VLOOKUP(K157&amp;$Q$7,CSDL_CN!$D$4:$E$264,2,FALSE))</f>
        <v>23</v>
      </c>
      <c r="R157" s="395">
        <f t="array" ref="R157">SUM(IFERROR(N157:Q157,0))</f>
        <v>72.8</v>
      </c>
      <c r="S157" s="400">
        <v>0.2</v>
      </c>
      <c r="T157" s="400">
        <v>0.2</v>
      </c>
      <c r="U157" s="400">
        <v>0.2</v>
      </c>
      <c r="V157" s="366"/>
      <c r="W157" s="366">
        <f t="shared" ref="W157" si="401">IF(X157="OS",E157,0)</f>
        <v>58.24</v>
      </c>
      <c r="X157" s="404" t="s">
        <v>288</v>
      </c>
      <c r="Y157" s="409"/>
      <c r="Z157" s="410" t="s">
        <v>531</v>
      </c>
      <c r="AA157" s="411"/>
    </row>
    <row r="158" ht="195" spans="1:27">
      <c r="A158" s="366">
        <v>56</v>
      </c>
      <c r="B158" s="367" t="s">
        <v>546</v>
      </c>
      <c r="C158" s="367" t="s">
        <v>547</v>
      </c>
      <c r="D158" s="367" t="s">
        <v>538</v>
      </c>
      <c r="E158" s="376">
        <f t="shared" si="314"/>
        <v>58.24</v>
      </c>
      <c r="F158" s="377">
        <f t="shared" si="315"/>
        <v>12.8</v>
      </c>
      <c r="G158" s="377">
        <f t="shared" si="316"/>
        <v>20.8</v>
      </c>
      <c r="H158" s="376">
        <f t="shared" si="317"/>
        <v>6.24</v>
      </c>
      <c r="I158" s="376">
        <f t="shared" si="318"/>
        <v>18.4</v>
      </c>
      <c r="J158" s="376">
        <f t="shared" si="2"/>
        <v>0.330909090909091</v>
      </c>
      <c r="K158" s="24" t="s">
        <v>87</v>
      </c>
      <c r="L158" s="384" t="str">
        <f>IF(K158="","",VLOOKUP(K158,'Định nghĩa Loại Chức năng'!$B$4:$C$92,2,FALSE))</f>
        <v>Xử lý nghiệp vụ phức tạp</v>
      </c>
      <c r="M158" s="394" t="s">
        <v>287</v>
      </c>
      <c r="N158" s="395">
        <f>IF(K158="","",VLOOKUP(K158&amp;$N$7,CSDL_CN!$D$4:$E$264,2,FALSE))</f>
        <v>16</v>
      </c>
      <c r="O158" s="395">
        <f>IF(K158="","",VLOOKUP(K158&amp;$O$7,CSDL_CN!$D$4:$E$264,2,FALSE))</f>
        <v>26</v>
      </c>
      <c r="P158" s="395">
        <f t="shared" si="321"/>
        <v>7.8</v>
      </c>
      <c r="Q158" s="395">
        <f>IF(K158="","",VLOOKUP(K158&amp;$Q$7,CSDL_CN!$D$4:$E$264,2,FALSE))</f>
        <v>23</v>
      </c>
      <c r="R158" s="395">
        <f t="array" ref="R158">SUM(IFERROR(N158:Q158,0))</f>
        <v>72.8</v>
      </c>
      <c r="S158" s="400">
        <v>0.2</v>
      </c>
      <c r="T158" s="400">
        <v>0.2</v>
      </c>
      <c r="U158" s="400">
        <v>0.2</v>
      </c>
      <c r="V158" s="366"/>
      <c r="W158" s="366">
        <f t="shared" si="320"/>
        <v>58.24</v>
      </c>
      <c r="X158" s="404" t="s">
        <v>288</v>
      </c>
      <c r="Y158" s="409">
        <f>E158/8/22+E159/8/22</f>
        <v>0.661818181818182</v>
      </c>
      <c r="Z158" s="410" t="s">
        <v>529</v>
      </c>
      <c r="AA158" s="411"/>
    </row>
    <row r="159" ht="210" spans="1:27">
      <c r="A159" s="366"/>
      <c r="B159" s="367"/>
      <c r="C159" s="367"/>
      <c r="D159" s="367" t="s">
        <v>530</v>
      </c>
      <c r="E159" s="376">
        <f t="shared" si="314"/>
        <v>58.24</v>
      </c>
      <c r="F159" s="377">
        <f t="shared" si="315"/>
        <v>12.8</v>
      </c>
      <c r="G159" s="377">
        <f t="shared" si="316"/>
        <v>20.8</v>
      </c>
      <c r="H159" s="376">
        <f t="shared" si="317"/>
        <v>6.24</v>
      </c>
      <c r="I159" s="376">
        <f t="shared" si="318"/>
        <v>18.4</v>
      </c>
      <c r="J159" s="376">
        <f t="shared" si="2"/>
        <v>0.330909090909091</v>
      </c>
      <c r="K159" s="24" t="s">
        <v>87</v>
      </c>
      <c r="L159" s="384" t="str">
        <f>IF(K159="","",VLOOKUP(K159,'Định nghĩa Loại Chức năng'!$B$4:$C$92,2,FALSE))</f>
        <v>Xử lý nghiệp vụ phức tạp</v>
      </c>
      <c r="M159" s="394" t="s">
        <v>287</v>
      </c>
      <c r="N159" s="395">
        <f>IF(K159="","",VLOOKUP(K159&amp;$N$7,CSDL_CN!$D$4:$E$264,2,FALSE))</f>
        <v>16</v>
      </c>
      <c r="O159" s="395">
        <f>IF(K159="","",VLOOKUP(K159&amp;$O$7,CSDL_CN!$D$4:$E$264,2,FALSE))</f>
        <v>26</v>
      </c>
      <c r="P159" s="395">
        <f t="shared" si="321"/>
        <v>7.8</v>
      </c>
      <c r="Q159" s="395">
        <f>IF(K159="","",VLOOKUP(K159&amp;$Q$7,CSDL_CN!$D$4:$E$264,2,FALSE))</f>
        <v>23</v>
      </c>
      <c r="R159" s="395">
        <f t="array" ref="R159">SUM(IFERROR(N159:Q159,0))</f>
        <v>72.8</v>
      </c>
      <c r="S159" s="400">
        <v>0.2</v>
      </c>
      <c r="T159" s="400">
        <v>0.2</v>
      </c>
      <c r="U159" s="400">
        <v>0.2</v>
      </c>
      <c r="V159" s="366"/>
      <c r="W159" s="366">
        <f t="shared" si="320"/>
        <v>58.24</v>
      </c>
      <c r="X159" s="404" t="s">
        <v>288</v>
      </c>
      <c r="Y159" s="409"/>
      <c r="Z159" s="410" t="s">
        <v>531</v>
      </c>
      <c r="AA159" s="411"/>
    </row>
    <row r="160" ht="180" spans="1:27">
      <c r="A160" s="366">
        <v>57</v>
      </c>
      <c r="B160" s="367" t="s">
        <v>548</v>
      </c>
      <c r="C160" s="367" t="s">
        <v>549</v>
      </c>
      <c r="D160" s="367" t="s">
        <v>550</v>
      </c>
      <c r="E160" s="376">
        <f t="shared" si="314"/>
        <v>58.24</v>
      </c>
      <c r="F160" s="377">
        <f t="shared" si="315"/>
        <v>12.8</v>
      </c>
      <c r="G160" s="377">
        <f t="shared" si="316"/>
        <v>20.8</v>
      </c>
      <c r="H160" s="376">
        <f t="shared" si="317"/>
        <v>6.24</v>
      </c>
      <c r="I160" s="376">
        <f t="shared" si="318"/>
        <v>18.4</v>
      </c>
      <c r="J160" s="376">
        <f t="shared" si="2"/>
        <v>0.330909090909091</v>
      </c>
      <c r="K160" s="24" t="s">
        <v>87</v>
      </c>
      <c r="L160" s="384" t="str">
        <f>IF(K160="","",VLOOKUP(K160,'Định nghĩa Loại Chức năng'!$B$4:$C$92,2,FALSE))</f>
        <v>Xử lý nghiệp vụ phức tạp</v>
      </c>
      <c r="M160" s="394" t="s">
        <v>287</v>
      </c>
      <c r="N160" s="395">
        <f>IF(K160="","",VLOOKUP(K160&amp;$N$7,CSDL_CN!$D$4:$E$264,2,FALSE))</f>
        <v>16</v>
      </c>
      <c r="O160" s="395">
        <f>IF(K160="","",VLOOKUP(K160&amp;$O$7,CSDL_CN!$D$4:$E$264,2,FALSE))</f>
        <v>26</v>
      </c>
      <c r="P160" s="395">
        <f t="shared" si="321"/>
        <v>7.8</v>
      </c>
      <c r="Q160" s="395">
        <f>IF(K160="","",VLOOKUP(K160&amp;$Q$7,CSDL_CN!$D$4:$E$264,2,FALSE))</f>
        <v>23</v>
      </c>
      <c r="R160" s="395">
        <f t="array" ref="R160">SUM(IFERROR(N160:Q160,0))</f>
        <v>72.8</v>
      </c>
      <c r="S160" s="400">
        <v>0.2</v>
      </c>
      <c r="T160" s="400">
        <v>0.2</v>
      </c>
      <c r="U160" s="400">
        <v>0.2</v>
      </c>
      <c r="V160" s="366"/>
      <c r="W160" s="366">
        <f t="shared" si="320"/>
        <v>58.24</v>
      </c>
      <c r="X160" s="404" t="s">
        <v>288</v>
      </c>
      <c r="Y160" s="409">
        <f>E160/8/22+E161/8/22</f>
        <v>0.661818181818182</v>
      </c>
      <c r="Z160" s="410" t="s">
        <v>529</v>
      </c>
      <c r="AA160" s="411"/>
    </row>
    <row r="161" ht="210" spans="1:27">
      <c r="A161" s="366"/>
      <c r="B161" s="367"/>
      <c r="C161" s="367"/>
      <c r="D161" s="367" t="s">
        <v>530</v>
      </c>
      <c r="E161" s="376">
        <f t="shared" si="314"/>
        <v>58.24</v>
      </c>
      <c r="F161" s="377">
        <f t="shared" si="315"/>
        <v>12.8</v>
      </c>
      <c r="G161" s="377">
        <f t="shared" si="316"/>
        <v>20.8</v>
      </c>
      <c r="H161" s="376">
        <f t="shared" si="317"/>
        <v>6.24</v>
      </c>
      <c r="I161" s="376">
        <f t="shared" si="318"/>
        <v>18.4</v>
      </c>
      <c r="J161" s="376">
        <f t="shared" si="2"/>
        <v>0.330909090909091</v>
      </c>
      <c r="K161" s="24" t="s">
        <v>87</v>
      </c>
      <c r="L161" s="384" t="str">
        <f>IF(K161="","",VLOOKUP(K161,'Định nghĩa Loại Chức năng'!$B$4:$C$92,2,FALSE))</f>
        <v>Xử lý nghiệp vụ phức tạp</v>
      </c>
      <c r="M161" s="394" t="s">
        <v>287</v>
      </c>
      <c r="N161" s="395">
        <f>IF(K161="","",VLOOKUP(K161&amp;$N$7,CSDL_CN!$D$4:$E$264,2,FALSE))</f>
        <v>16</v>
      </c>
      <c r="O161" s="395">
        <f>IF(K161="","",VLOOKUP(K161&amp;$O$7,CSDL_CN!$D$4:$E$264,2,FALSE))</f>
        <v>26</v>
      </c>
      <c r="P161" s="395">
        <f t="shared" si="321"/>
        <v>7.8</v>
      </c>
      <c r="Q161" s="395">
        <f>IF(K161="","",VLOOKUP(K161&amp;$Q$7,CSDL_CN!$D$4:$E$264,2,FALSE))</f>
        <v>23</v>
      </c>
      <c r="R161" s="395">
        <f t="array" ref="R161">SUM(IFERROR(N161:Q161,0))</f>
        <v>72.8</v>
      </c>
      <c r="S161" s="400">
        <v>0.2</v>
      </c>
      <c r="T161" s="400">
        <v>0.2</v>
      </c>
      <c r="U161" s="400">
        <v>0.2</v>
      </c>
      <c r="V161" s="366"/>
      <c r="W161" s="366">
        <f t="shared" si="320"/>
        <v>58.24</v>
      </c>
      <c r="X161" s="404" t="s">
        <v>288</v>
      </c>
      <c r="Y161" s="409"/>
      <c r="Z161" s="410" t="s">
        <v>531</v>
      </c>
      <c r="AA161" s="411"/>
    </row>
    <row r="162" ht="195" spans="1:27">
      <c r="A162" s="366">
        <v>58</v>
      </c>
      <c r="B162" s="367" t="s">
        <v>551</v>
      </c>
      <c r="C162" s="367" t="s">
        <v>552</v>
      </c>
      <c r="D162" s="367" t="s">
        <v>534</v>
      </c>
      <c r="E162" s="376">
        <f t="shared" si="314"/>
        <v>58.24</v>
      </c>
      <c r="F162" s="377">
        <f t="shared" si="315"/>
        <v>12.8</v>
      </c>
      <c r="G162" s="377">
        <f t="shared" si="316"/>
        <v>20.8</v>
      </c>
      <c r="H162" s="376">
        <f t="shared" si="317"/>
        <v>6.24</v>
      </c>
      <c r="I162" s="376">
        <f t="shared" si="318"/>
        <v>18.4</v>
      </c>
      <c r="J162" s="376">
        <f t="shared" si="2"/>
        <v>0.330909090909091</v>
      </c>
      <c r="K162" s="24" t="s">
        <v>87</v>
      </c>
      <c r="L162" s="384" t="str">
        <f>IF(K162="","",VLOOKUP(K162,'Định nghĩa Loại Chức năng'!$B$4:$C$92,2,FALSE))</f>
        <v>Xử lý nghiệp vụ phức tạp</v>
      </c>
      <c r="M162" s="394" t="s">
        <v>287</v>
      </c>
      <c r="N162" s="395">
        <f>IF(K162="","",VLOOKUP(K162&amp;$N$7,CSDL_CN!$D$4:$E$264,2,FALSE))</f>
        <v>16</v>
      </c>
      <c r="O162" s="395">
        <f>IF(K162="","",VLOOKUP(K162&amp;$O$7,CSDL_CN!$D$4:$E$264,2,FALSE))</f>
        <v>26</v>
      </c>
      <c r="P162" s="395">
        <f t="shared" si="321"/>
        <v>7.8</v>
      </c>
      <c r="Q162" s="395">
        <f>IF(K162="","",VLOOKUP(K162&amp;$Q$7,CSDL_CN!$D$4:$E$264,2,FALSE))</f>
        <v>23</v>
      </c>
      <c r="R162" s="395">
        <f t="array" ref="R162">SUM(IFERROR(N162:Q162,0))</f>
        <v>72.8</v>
      </c>
      <c r="S162" s="400">
        <v>0.2</v>
      </c>
      <c r="T162" s="400">
        <v>0.2</v>
      </c>
      <c r="U162" s="400">
        <v>0.2</v>
      </c>
      <c r="V162" s="366"/>
      <c r="W162" s="366">
        <f t="shared" si="320"/>
        <v>58.24</v>
      </c>
      <c r="X162" s="404" t="s">
        <v>288</v>
      </c>
      <c r="Y162" s="409">
        <f>E162/8/22+E163/8/22+E164/8/22+E165/8/22</f>
        <v>1.01272727272727</v>
      </c>
      <c r="Z162" s="410" t="s">
        <v>529</v>
      </c>
      <c r="AA162" s="411" t="s">
        <v>553</v>
      </c>
    </row>
    <row r="163" ht="120" spans="1:27">
      <c r="A163" s="366"/>
      <c r="B163" s="367"/>
      <c r="C163" s="367"/>
      <c r="D163" s="367" t="s">
        <v>554</v>
      </c>
      <c r="E163" s="376">
        <f t="shared" ref="E163:E164" si="402">SUM(F163:I163)</f>
        <v>40</v>
      </c>
      <c r="F163" s="377">
        <f t="shared" ref="F163:F164" si="403">N163*(1-$S163)</f>
        <v>8</v>
      </c>
      <c r="G163" s="377">
        <f t="shared" ref="G163:G164" si="404">O163*(1-$T163)</f>
        <v>16</v>
      </c>
      <c r="H163" s="376">
        <f t="shared" ref="H163:H164" si="405">P163*(1-$T163)</f>
        <v>4.8</v>
      </c>
      <c r="I163" s="376">
        <f t="shared" ref="I163:I164" si="406">Q163*(1-$U163)</f>
        <v>11.2</v>
      </c>
      <c r="J163" s="376">
        <f t="shared" ref="J163:J164" si="407">E163/22/8</f>
        <v>0.227272727272727</v>
      </c>
      <c r="K163" s="24" t="s">
        <v>83</v>
      </c>
      <c r="L163" s="384" t="str">
        <f>IF(K163="","",VLOOKUP(K163,'Định nghĩa Loại Chức năng'!$B$4:$C$92,2,FALSE))</f>
        <v>Xử lý nghiệp vụ trung bình</v>
      </c>
      <c r="M163" s="394" t="s">
        <v>287</v>
      </c>
      <c r="N163" s="395">
        <f>IF(K163="","",VLOOKUP(K163&amp;$N$7,CSDL_CN!$D$4:$E$264,2,FALSE))</f>
        <v>10</v>
      </c>
      <c r="O163" s="395">
        <f>IF(K163="","",VLOOKUP(K163&amp;$O$7,CSDL_CN!$D$4:$E$264,2,FALSE))</f>
        <v>20</v>
      </c>
      <c r="P163" s="395">
        <f t="shared" ref="P163:P164" si="408">IF(M163="Có",O163*30%,0)</f>
        <v>6</v>
      </c>
      <c r="Q163" s="395">
        <f>IF(K163="","",VLOOKUP(K163&amp;$Q$7,CSDL_CN!$D$4:$E$264,2,FALSE))</f>
        <v>14</v>
      </c>
      <c r="R163" s="395">
        <f t="array" ref="R163">SUM(IFERROR(N163:Q163,0))</f>
        <v>50</v>
      </c>
      <c r="S163" s="400">
        <v>0.2</v>
      </c>
      <c r="T163" s="400">
        <v>0.2</v>
      </c>
      <c r="U163" s="400">
        <v>0.2</v>
      </c>
      <c r="V163" s="366"/>
      <c r="W163" s="366">
        <f t="shared" ref="W163:W164" si="409">IF(X163="OS",E163,0)</f>
        <v>40</v>
      </c>
      <c r="X163" s="404" t="s">
        <v>288</v>
      </c>
      <c r="Y163" s="409"/>
      <c r="Z163" s="410" t="s">
        <v>509</v>
      </c>
      <c r="AA163" s="411"/>
    </row>
    <row r="164" ht="120" spans="1:27">
      <c r="A164" s="366"/>
      <c r="B164" s="367"/>
      <c r="C164" s="367"/>
      <c r="D164" s="367" t="s">
        <v>555</v>
      </c>
      <c r="E164" s="376">
        <f t="shared" si="402"/>
        <v>40</v>
      </c>
      <c r="F164" s="377">
        <f t="shared" si="403"/>
        <v>8</v>
      </c>
      <c r="G164" s="377">
        <f t="shared" si="404"/>
        <v>16</v>
      </c>
      <c r="H164" s="376">
        <f t="shared" si="405"/>
        <v>4.8</v>
      </c>
      <c r="I164" s="376">
        <f t="shared" si="406"/>
        <v>11.2</v>
      </c>
      <c r="J164" s="376">
        <f t="shared" si="407"/>
        <v>0.227272727272727</v>
      </c>
      <c r="K164" s="24" t="s">
        <v>83</v>
      </c>
      <c r="L164" s="384" t="str">
        <f>IF(K164="","",VLOOKUP(K164,'Định nghĩa Loại Chức năng'!$B$4:$C$92,2,FALSE))</f>
        <v>Xử lý nghiệp vụ trung bình</v>
      </c>
      <c r="M164" s="394" t="s">
        <v>287</v>
      </c>
      <c r="N164" s="395">
        <f>IF(K164="","",VLOOKUP(K164&amp;$N$7,CSDL_CN!$D$4:$E$264,2,FALSE))</f>
        <v>10</v>
      </c>
      <c r="O164" s="395">
        <f>IF(K164="","",VLOOKUP(K164&amp;$O$7,CSDL_CN!$D$4:$E$264,2,FALSE))</f>
        <v>20</v>
      </c>
      <c r="P164" s="395">
        <f t="shared" si="408"/>
        <v>6</v>
      </c>
      <c r="Q164" s="395">
        <f>IF(K164="","",VLOOKUP(K164&amp;$Q$7,CSDL_CN!$D$4:$E$264,2,FALSE))</f>
        <v>14</v>
      </c>
      <c r="R164" s="395">
        <f t="array" ref="R164">SUM(IFERROR(N164:Q164,0))</f>
        <v>50</v>
      </c>
      <c r="S164" s="400">
        <v>0.2</v>
      </c>
      <c r="T164" s="400">
        <v>0.2</v>
      </c>
      <c r="U164" s="400">
        <v>0.2</v>
      </c>
      <c r="V164" s="366"/>
      <c r="W164" s="366">
        <f t="shared" si="409"/>
        <v>40</v>
      </c>
      <c r="X164" s="404" t="s">
        <v>288</v>
      </c>
      <c r="Y164" s="409"/>
      <c r="Z164" s="410" t="s">
        <v>556</v>
      </c>
      <c r="AA164" s="411"/>
    </row>
    <row r="165" ht="135" spans="1:27">
      <c r="A165" s="366"/>
      <c r="B165" s="367"/>
      <c r="C165" s="367"/>
      <c r="D165" s="367" t="s">
        <v>513</v>
      </c>
      <c r="E165" s="376">
        <f t="shared" ref="E165:E168" si="410">SUM(F165:I165)</f>
        <v>40</v>
      </c>
      <c r="F165" s="377">
        <f t="shared" ref="F165:F168" si="411">N165*(1-$S165)</f>
        <v>8</v>
      </c>
      <c r="G165" s="377">
        <f t="shared" ref="G165:G168" si="412">O165*(1-$T165)</f>
        <v>16</v>
      </c>
      <c r="H165" s="376">
        <f t="shared" ref="H165:H168" si="413">P165*(1-$T165)</f>
        <v>4.8</v>
      </c>
      <c r="I165" s="376">
        <f t="shared" ref="I165:I168" si="414">Q165*(1-$U165)</f>
        <v>11.2</v>
      </c>
      <c r="J165" s="376">
        <f t="shared" ref="J165:J168" si="415">E165/22/8</f>
        <v>0.227272727272727</v>
      </c>
      <c r="K165" s="24" t="s">
        <v>83</v>
      </c>
      <c r="L165" s="384" t="str">
        <f>IF(K165="","",VLOOKUP(K165,'Định nghĩa Loại Chức năng'!$B$4:$C$92,2,FALSE))</f>
        <v>Xử lý nghiệp vụ trung bình</v>
      </c>
      <c r="M165" s="394" t="s">
        <v>287</v>
      </c>
      <c r="N165" s="395">
        <f>IF(K165="","",VLOOKUP(K165&amp;$N$7,CSDL_CN!$D$4:$E$264,2,FALSE))</f>
        <v>10</v>
      </c>
      <c r="O165" s="395">
        <f>IF(K165="","",VLOOKUP(K165&amp;$O$7,CSDL_CN!$D$4:$E$264,2,FALSE))</f>
        <v>20</v>
      </c>
      <c r="P165" s="395">
        <f t="shared" ref="P165:P168" si="416">IF(M165="Có",O165*30%,0)</f>
        <v>6</v>
      </c>
      <c r="Q165" s="395">
        <f>IF(K165="","",VLOOKUP(K165&amp;$Q$7,CSDL_CN!$D$4:$E$264,2,FALSE))</f>
        <v>14</v>
      </c>
      <c r="R165" s="395">
        <f t="array" ref="R165">SUM(IFERROR(N165:Q165,0))</f>
        <v>50</v>
      </c>
      <c r="S165" s="400">
        <v>0.2</v>
      </c>
      <c r="T165" s="400">
        <v>0.2</v>
      </c>
      <c r="U165" s="400">
        <v>0.2</v>
      </c>
      <c r="V165" s="366"/>
      <c r="W165" s="366">
        <f t="shared" ref="W165:W168" si="417">IF(X165="OS",E165,0)</f>
        <v>40</v>
      </c>
      <c r="X165" s="404" t="s">
        <v>288</v>
      </c>
      <c r="Y165" s="409"/>
      <c r="Z165" s="410" t="s">
        <v>514</v>
      </c>
      <c r="AA165" s="411"/>
    </row>
    <row r="166" ht="195" spans="1:27">
      <c r="A166" s="366">
        <v>59</v>
      </c>
      <c r="B166" s="367" t="s">
        <v>557</v>
      </c>
      <c r="C166" s="367" t="s">
        <v>558</v>
      </c>
      <c r="D166" s="367" t="s">
        <v>538</v>
      </c>
      <c r="E166" s="376">
        <f t="shared" si="410"/>
        <v>58.24</v>
      </c>
      <c r="F166" s="377">
        <f t="shared" si="411"/>
        <v>12.8</v>
      </c>
      <c r="G166" s="377">
        <f t="shared" si="412"/>
        <v>20.8</v>
      </c>
      <c r="H166" s="376">
        <f t="shared" si="413"/>
        <v>6.24</v>
      </c>
      <c r="I166" s="376">
        <f t="shared" si="414"/>
        <v>18.4</v>
      </c>
      <c r="J166" s="376">
        <f t="shared" si="415"/>
        <v>0.330909090909091</v>
      </c>
      <c r="K166" s="24" t="s">
        <v>87</v>
      </c>
      <c r="L166" s="384" t="str">
        <f>IF(K166="","",VLOOKUP(K166,'Định nghĩa Loại Chức năng'!$B$4:$C$92,2,FALSE))</f>
        <v>Xử lý nghiệp vụ phức tạp</v>
      </c>
      <c r="M166" s="394" t="s">
        <v>287</v>
      </c>
      <c r="N166" s="395">
        <f>IF(K166="","",VLOOKUP(K166&amp;$N$7,CSDL_CN!$D$4:$E$264,2,FALSE))</f>
        <v>16</v>
      </c>
      <c r="O166" s="395">
        <f>IF(K166="","",VLOOKUP(K166&amp;$O$7,CSDL_CN!$D$4:$E$264,2,FALSE))</f>
        <v>26</v>
      </c>
      <c r="P166" s="395">
        <f t="shared" si="416"/>
        <v>7.8</v>
      </c>
      <c r="Q166" s="395">
        <f>IF(K166="","",VLOOKUP(K166&amp;$Q$7,CSDL_CN!$D$4:$E$264,2,FALSE))</f>
        <v>23</v>
      </c>
      <c r="R166" s="395">
        <f t="array" ref="R166">SUM(IFERROR(N166:Q166,0))</f>
        <v>72.8</v>
      </c>
      <c r="S166" s="400">
        <v>0.2</v>
      </c>
      <c r="T166" s="400">
        <v>0.2</v>
      </c>
      <c r="U166" s="400">
        <v>0.2</v>
      </c>
      <c r="V166" s="366"/>
      <c r="W166" s="366">
        <f t="shared" si="417"/>
        <v>58.24</v>
      </c>
      <c r="X166" s="404" t="s">
        <v>288</v>
      </c>
      <c r="Y166" s="409">
        <f>E166/8/22+E167/8/22+E168/8/22+E169/8/22</f>
        <v>1.01272727272727</v>
      </c>
      <c r="Z166" s="410" t="s">
        <v>529</v>
      </c>
      <c r="AA166" s="411"/>
    </row>
    <row r="167" ht="120" spans="1:27">
      <c r="A167" s="366"/>
      <c r="B167" s="367"/>
      <c r="C167" s="367"/>
      <c r="D167" s="367" t="s">
        <v>554</v>
      </c>
      <c r="E167" s="376">
        <f t="shared" si="410"/>
        <v>40</v>
      </c>
      <c r="F167" s="377">
        <f t="shared" si="411"/>
        <v>8</v>
      </c>
      <c r="G167" s="377">
        <f t="shared" si="412"/>
        <v>16</v>
      </c>
      <c r="H167" s="376">
        <f t="shared" si="413"/>
        <v>4.8</v>
      </c>
      <c r="I167" s="376">
        <f t="shared" si="414"/>
        <v>11.2</v>
      </c>
      <c r="J167" s="376">
        <f t="shared" si="415"/>
        <v>0.227272727272727</v>
      </c>
      <c r="K167" s="24" t="s">
        <v>83</v>
      </c>
      <c r="L167" s="384" t="str">
        <f>IF(K167="","",VLOOKUP(K167,'Định nghĩa Loại Chức năng'!$B$4:$C$92,2,FALSE))</f>
        <v>Xử lý nghiệp vụ trung bình</v>
      </c>
      <c r="M167" s="394" t="s">
        <v>287</v>
      </c>
      <c r="N167" s="395">
        <f>IF(K167="","",VLOOKUP(K167&amp;$N$7,CSDL_CN!$D$4:$E$264,2,FALSE))</f>
        <v>10</v>
      </c>
      <c r="O167" s="395">
        <f>IF(K167="","",VLOOKUP(K167&amp;$O$7,CSDL_CN!$D$4:$E$264,2,FALSE))</f>
        <v>20</v>
      </c>
      <c r="P167" s="395">
        <f t="shared" si="416"/>
        <v>6</v>
      </c>
      <c r="Q167" s="395">
        <f>IF(K167="","",VLOOKUP(K167&amp;$Q$7,CSDL_CN!$D$4:$E$264,2,FALSE))</f>
        <v>14</v>
      </c>
      <c r="R167" s="395">
        <f t="array" ref="R167">SUM(IFERROR(N167:Q167,0))</f>
        <v>50</v>
      </c>
      <c r="S167" s="400">
        <v>0.2</v>
      </c>
      <c r="T167" s="400">
        <v>0.2</v>
      </c>
      <c r="U167" s="400">
        <v>0.2</v>
      </c>
      <c r="V167" s="366"/>
      <c r="W167" s="366">
        <f t="shared" si="417"/>
        <v>40</v>
      </c>
      <c r="X167" s="404" t="s">
        <v>288</v>
      </c>
      <c r="Y167" s="409"/>
      <c r="Z167" s="410" t="s">
        <v>509</v>
      </c>
      <c r="AA167" s="411"/>
    </row>
    <row r="168" ht="120" spans="1:27">
      <c r="A168" s="366"/>
      <c r="B168" s="367"/>
      <c r="C168" s="367"/>
      <c r="D168" s="367" t="s">
        <v>555</v>
      </c>
      <c r="E168" s="376">
        <f t="shared" si="410"/>
        <v>40</v>
      </c>
      <c r="F168" s="377">
        <f t="shared" si="411"/>
        <v>8</v>
      </c>
      <c r="G168" s="377">
        <f t="shared" si="412"/>
        <v>16</v>
      </c>
      <c r="H168" s="376">
        <f t="shared" si="413"/>
        <v>4.8</v>
      </c>
      <c r="I168" s="376">
        <f t="shared" si="414"/>
        <v>11.2</v>
      </c>
      <c r="J168" s="376">
        <f t="shared" si="415"/>
        <v>0.227272727272727</v>
      </c>
      <c r="K168" s="24" t="s">
        <v>83</v>
      </c>
      <c r="L168" s="384" t="str">
        <f>IF(K168="","",VLOOKUP(K168,'Định nghĩa Loại Chức năng'!$B$4:$C$92,2,FALSE))</f>
        <v>Xử lý nghiệp vụ trung bình</v>
      </c>
      <c r="M168" s="394" t="s">
        <v>287</v>
      </c>
      <c r="N168" s="395">
        <f>IF(K168="","",VLOOKUP(K168&amp;$N$7,CSDL_CN!$D$4:$E$264,2,FALSE))</f>
        <v>10</v>
      </c>
      <c r="O168" s="395">
        <f>IF(K168="","",VLOOKUP(K168&amp;$O$7,CSDL_CN!$D$4:$E$264,2,FALSE))</f>
        <v>20</v>
      </c>
      <c r="P168" s="395">
        <f t="shared" si="416"/>
        <v>6</v>
      </c>
      <c r="Q168" s="395">
        <f>IF(K168="","",VLOOKUP(K168&amp;$Q$7,CSDL_CN!$D$4:$E$264,2,FALSE))</f>
        <v>14</v>
      </c>
      <c r="R168" s="395">
        <f t="array" ref="R168">SUM(IFERROR(N168:Q168,0))</f>
        <v>50</v>
      </c>
      <c r="S168" s="400">
        <v>0.2</v>
      </c>
      <c r="T168" s="400">
        <v>0.2</v>
      </c>
      <c r="U168" s="400">
        <v>0.2</v>
      </c>
      <c r="V168" s="366"/>
      <c r="W168" s="366">
        <f t="shared" si="417"/>
        <v>40</v>
      </c>
      <c r="X168" s="404" t="s">
        <v>288</v>
      </c>
      <c r="Y168" s="409"/>
      <c r="Z168" s="410" t="s">
        <v>556</v>
      </c>
      <c r="AA168" s="411"/>
    </row>
    <row r="169" ht="135" spans="1:27">
      <c r="A169" s="366"/>
      <c r="B169" s="367"/>
      <c r="C169" s="367"/>
      <c r="D169" s="367" t="s">
        <v>513</v>
      </c>
      <c r="E169" s="376">
        <f t="shared" ref="E169" si="418">SUM(F169:I169)</f>
        <v>40</v>
      </c>
      <c r="F169" s="377">
        <f t="shared" ref="F169" si="419">N169*(1-$S169)</f>
        <v>8</v>
      </c>
      <c r="G169" s="377">
        <f t="shared" ref="G169" si="420">O169*(1-$T169)</f>
        <v>16</v>
      </c>
      <c r="H169" s="376">
        <f t="shared" ref="H169" si="421">P169*(1-$T169)</f>
        <v>4.8</v>
      </c>
      <c r="I169" s="376">
        <f t="shared" ref="I169" si="422">Q169*(1-$U169)</f>
        <v>11.2</v>
      </c>
      <c r="J169" s="376">
        <f t="shared" ref="J169" si="423">E169/22/8</f>
        <v>0.227272727272727</v>
      </c>
      <c r="K169" s="24" t="s">
        <v>83</v>
      </c>
      <c r="L169" s="384" t="str">
        <f>IF(K169="","",VLOOKUP(K169,'Định nghĩa Loại Chức năng'!$B$4:$C$92,2,FALSE))</f>
        <v>Xử lý nghiệp vụ trung bình</v>
      </c>
      <c r="M169" s="394" t="s">
        <v>287</v>
      </c>
      <c r="N169" s="395">
        <f>IF(K169="","",VLOOKUP(K169&amp;$N$7,CSDL_CN!$D$4:$E$264,2,FALSE))</f>
        <v>10</v>
      </c>
      <c r="O169" s="395">
        <f>IF(K169="","",VLOOKUP(K169&amp;$O$7,CSDL_CN!$D$4:$E$264,2,FALSE))</f>
        <v>20</v>
      </c>
      <c r="P169" s="395">
        <f t="shared" ref="P169" si="424">IF(M169="Có",O169*30%,0)</f>
        <v>6</v>
      </c>
      <c r="Q169" s="395">
        <f>IF(K169="","",VLOOKUP(K169&amp;$Q$7,CSDL_CN!$D$4:$E$264,2,FALSE))</f>
        <v>14</v>
      </c>
      <c r="R169" s="395">
        <f t="array" ref="R169">SUM(IFERROR(N169:Q169,0))</f>
        <v>50</v>
      </c>
      <c r="S169" s="400">
        <v>0.2</v>
      </c>
      <c r="T169" s="400">
        <v>0.2</v>
      </c>
      <c r="U169" s="400">
        <v>0.2</v>
      </c>
      <c r="V169" s="366"/>
      <c r="W169" s="366">
        <f t="shared" ref="W169" si="425">IF(X169="OS",E169,0)</f>
        <v>40</v>
      </c>
      <c r="X169" s="404" t="s">
        <v>288</v>
      </c>
      <c r="Y169" s="409"/>
      <c r="Z169" s="410" t="s">
        <v>514</v>
      </c>
      <c r="AA169" s="411"/>
    </row>
    <row r="170" ht="195" spans="1:27">
      <c r="A170" s="366">
        <v>60</v>
      </c>
      <c r="B170" s="367" t="s">
        <v>559</v>
      </c>
      <c r="C170" s="367" t="s">
        <v>560</v>
      </c>
      <c r="D170" s="367" t="s">
        <v>528</v>
      </c>
      <c r="E170" s="376">
        <f t="shared" si="314"/>
        <v>58.24</v>
      </c>
      <c r="F170" s="377">
        <f t="shared" si="315"/>
        <v>12.8</v>
      </c>
      <c r="G170" s="377">
        <f t="shared" si="316"/>
        <v>20.8</v>
      </c>
      <c r="H170" s="376">
        <f t="shared" si="317"/>
        <v>6.24</v>
      </c>
      <c r="I170" s="376">
        <f t="shared" si="318"/>
        <v>18.4</v>
      </c>
      <c r="J170" s="376">
        <f t="shared" si="2"/>
        <v>0.330909090909091</v>
      </c>
      <c r="K170" s="24" t="s">
        <v>87</v>
      </c>
      <c r="L170" s="384" t="str">
        <f>IF(K170="","",VLOOKUP(K170,'Định nghĩa Loại Chức năng'!$B$4:$C$92,2,FALSE))</f>
        <v>Xử lý nghiệp vụ phức tạp</v>
      </c>
      <c r="M170" s="394" t="s">
        <v>287</v>
      </c>
      <c r="N170" s="395">
        <f>IF(K170="","",VLOOKUP(K170&amp;$N$7,CSDL_CN!$D$4:$E$264,2,FALSE))</f>
        <v>16</v>
      </c>
      <c r="O170" s="395">
        <f>IF(K170="","",VLOOKUP(K170&amp;$O$7,CSDL_CN!$D$4:$E$264,2,FALSE))</f>
        <v>26</v>
      </c>
      <c r="P170" s="395">
        <f t="shared" si="321"/>
        <v>7.8</v>
      </c>
      <c r="Q170" s="395">
        <f>IF(K170="","",VLOOKUP(K170&amp;$Q$7,CSDL_CN!$D$4:$E$264,2,FALSE))</f>
        <v>23</v>
      </c>
      <c r="R170" s="395">
        <f t="array" ref="R170">SUM(IFERROR(N170:Q170,0))</f>
        <v>72.8</v>
      </c>
      <c r="S170" s="400">
        <v>0.2</v>
      </c>
      <c r="T170" s="400">
        <v>0.2</v>
      </c>
      <c r="U170" s="400">
        <v>0.2</v>
      </c>
      <c r="V170" s="366"/>
      <c r="W170" s="366">
        <f t="shared" si="320"/>
        <v>58.24</v>
      </c>
      <c r="X170" s="404" t="s">
        <v>288</v>
      </c>
      <c r="Y170" s="409">
        <f>E170/8/22+E171/8/22+E172/8/22+E173/8/22</f>
        <v>1.01272727272727</v>
      </c>
      <c r="Z170" s="410" t="s">
        <v>529</v>
      </c>
      <c r="AA170" s="411"/>
    </row>
    <row r="171" ht="120" spans="1:27">
      <c r="A171" s="366"/>
      <c r="B171" s="367"/>
      <c r="C171" s="367"/>
      <c r="D171" s="367" t="s">
        <v>554</v>
      </c>
      <c r="E171" s="376">
        <f t="shared" si="314"/>
        <v>40</v>
      </c>
      <c r="F171" s="377">
        <f t="shared" si="315"/>
        <v>8</v>
      </c>
      <c r="G171" s="377">
        <f t="shared" si="316"/>
        <v>16</v>
      </c>
      <c r="H171" s="376">
        <f t="shared" si="317"/>
        <v>4.8</v>
      </c>
      <c r="I171" s="376">
        <f t="shared" si="318"/>
        <v>11.2</v>
      </c>
      <c r="J171" s="376">
        <f t="shared" si="2"/>
        <v>0.227272727272727</v>
      </c>
      <c r="K171" s="24" t="s">
        <v>83</v>
      </c>
      <c r="L171" s="384" t="str">
        <f>IF(K171="","",VLOOKUP(K171,'Định nghĩa Loại Chức năng'!$B$4:$C$92,2,FALSE))</f>
        <v>Xử lý nghiệp vụ trung bình</v>
      </c>
      <c r="M171" s="394" t="s">
        <v>287</v>
      </c>
      <c r="N171" s="395">
        <f>IF(K171="","",VLOOKUP(K171&amp;$N$7,CSDL_CN!$D$4:$E$264,2,FALSE))</f>
        <v>10</v>
      </c>
      <c r="O171" s="395">
        <f>IF(K171="","",VLOOKUP(K171&amp;$O$7,CSDL_CN!$D$4:$E$264,2,FALSE))</f>
        <v>20</v>
      </c>
      <c r="P171" s="395">
        <f t="shared" si="321"/>
        <v>6</v>
      </c>
      <c r="Q171" s="395">
        <f>IF(K171="","",VLOOKUP(K171&amp;$Q$7,CSDL_CN!$D$4:$E$264,2,FALSE))</f>
        <v>14</v>
      </c>
      <c r="R171" s="395">
        <f t="array" ref="R171">SUM(IFERROR(N171:Q171,0))</f>
        <v>50</v>
      </c>
      <c r="S171" s="400">
        <v>0.2</v>
      </c>
      <c r="T171" s="400">
        <v>0.2</v>
      </c>
      <c r="U171" s="400">
        <v>0.2</v>
      </c>
      <c r="V171" s="366"/>
      <c r="W171" s="366">
        <f t="shared" si="320"/>
        <v>40</v>
      </c>
      <c r="X171" s="404" t="s">
        <v>288</v>
      </c>
      <c r="Y171" s="409"/>
      <c r="Z171" s="410" t="s">
        <v>509</v>
      </c>
      <c r="AA171" s="411"/>
    </row>
    <row r="172" ht="120" spans="1:27">
      <c r="A172" s="366"/>
      <c r="B172" s="367"/>
      <c r="C172" s="367"/>
      <c r="D172" s="367" t="s">
        <v>555</v>
      </c>
      <c r="E172" s="376">
        <f t="shared" si="314"/>
        <v>40</v>
      </c>
      <c r="F172" s="377">
        <f t="shared" si="315"/>
        <v>8</v>
      </c>
      <c r="G172" s="377">
        <f t="shared" si="316"/>
        <v>16</v>
      </c>
      <c r="H172" s="376">
        <f t="shared" si="317"/>
        <v>4.8</v>
      </c>
      <c r="I172" s="376">
        <f t="shared" si="318"/>
        <v>11.2</v>
      </c>
      <c r="J172" s="376">
        <f t="shared" si="2"/>
        <v>0.227272727272727</v>
      </c>
      <c r="K172" s="24" t="s">
        <v>83</v>
      </c>
      <c r="L172" s="384" t="str">
        <f>IF(K172="","",VLOOKUP(K172,'Định nghĩa Loại Chức năng'!$B$4:$C$92,2,FALSE))</f>
        <v>Xử lý nghiệp vụ trung bình</v>
      </c>
      <c r="M172" s="394" t="s">
        <v>287</v>
      </c>
      <c r="N172" s="395">
        <f>IF(K172="","",VLOOKUP(K172&amp;$N$7,CSDL_CN!$D$4:$E$264,2,FALSE))</f>
        <v>10</v>
      </c>
      <c r="O172" s="395">
        <f>IF(K172="","",VLOOKUP(K172&amp;$O$7,CSDL_CN!$D$4:$E$264,2,FALSE))</f>
        <v>20</v>
      </c>
      <c r="P172" s="395">
        <f t="shared" si="321"/>
        <v>6</v>
      </c>
      <c r="Q172" s="395">
        <f>IF(K172="","",VLOOKUP(K172&amp;$Q$7,CSDL_CN!$D$4:$E$264,2,FALSE))</f>
        <v>14</v>
      </c>
      <c r="R172" s="395">
        <f t="array" ref="R172">SUM(IFERROR(N172:Q172,0))</f>
        <v>50</v>
      </c>
      <c r="S172" s="400">
        <v>0.2</v>
      </c>
      <c r="T172" s="400">
        <v>0.2</v>
      </c>
      <c r="U172" s="400">
        <v>0.2</v>
      </c>
      <c r="V172" s="366"/>
      <c r="W172" s="366">
        <f t="shared" si="320"/>
        <v>40</v>
      </c>
      <c r="X172" s="404" t="s">
        <v>288</v>
      </c>
      <c r="Y172" s="409"/>
      <c r="Z172" s="410" t="s">
        <v>556</v>
      </c>
      <c r="AA172" s="411"/>
    </row>
    <row r="173" ht="135" spans="1:27">
      <c r="A173" s="366"/>
      <c r="B173" s="367"/>
      <c r="C173" s="367"/>
      <c r="D173" s="367" t="s">
        <v>513</v>
      </c>
      <c r="E173" s="376">
        <f t="shared" si="314"/>
        <v>40</v>
      </c>
      <c r="F173" s="377">
        <f t="shared" si="315"/>
        <v>8</v>
      </c>
      <c r="G173" s="377">
        <f t="shared" si="316"/>
        <v>16</v>
      </c>
      <c r="H173" s="376">
        <f t="shared" si="317"/>
        <v>4.8</v>
      </c>
      <c r="I173" s="376">
        <f t="shared" si="318"/>
        <v>11.2</v>
      </c>
      <c r="J173" s="376">
        <f t="shared" si="2"/>
        <v>0.227272727272727</v>
      </c>
      <c r="K173" s="24" t="s">
        <v>83</v>
      </c>
      <c r="L173" s="384" t="str">
        <f>IF(K173="","",VLOOKUP(K173,'Định nghĩa Loại Chức năng'!$B$4:$C$92,2,FALSE))</f>
        <v>Xử lý nghiệp vụ trung bình</v>
      </c>
      <c r="M173" s="394" t="s">
        <v>287</v>
      </c>
      <c r="N173" s="395">
        <f>IF(K173="","",VLOOKUP(K173&amp;$N$7,CSDL_CN!$D$4:$E$264,2,FALSE))</f>
        <v>10</v>
      </c>
      <c r="O173" s="395">
        <f>IF(K173="","",VLOOKUP(K173&amp;$O$7,CSDL_CN!$D$4:$E$264,2,FALSE))</f>
        <v>20</v>
      </c>
      <c r="P173" s="395">
        <f t="shared" si="321"/>
        <v>6</v>
      </c>
      <c r="Q173" s="395">
        <f>IF(K173="","",VLOOKUP(K173&amp;$Q$7,CSDL_CN!$D$4:$E$264,2,FALSE))</f>
        <v>14</v>
      </c>
      <c r="R173" s="395">
        <f t="array" ref="R173">SUM(IFERROR(N173:Q173,0))</f>
        <v>50</v>
      </c>
      <c r="S173" s="400">
        <v>0.2</v>
      </c>
      <c r="T173" s="400">
        <v>0.2</v>
      </c>
      <c r="U173" s="400">
        <v>0.2</v>
      </c>
      <c r="V173" s="366"/>
      <c r="W173" s="366">
        <f t="shared" si="320"/>
        <v>40</v>
      </c>
      <c r="X173" s="404" t="s">
        <v>288</v>
      </c>
      <c r="Y173" s="409"/>
      <c r="Z173" s="410" t="s">
        <v>514</v>
      </c>
      <c r="AA173" s="411"/>
    </row>
    <row r="174" ht="195" spans="1:27">
      <c r="A174" s="366">
        <v>61</v>
      </c>
      <c r="B174" s="367" t="s">
        <v>561</v>
      </c>
      <c r="C174" s="367" t="s">
        <v>562</v>
      </c>
      <c r="D174" s="367" t="s">
        <v>534</v>
      </c>
      <c r="E174" s="376">
        <f t="shared" si="314"/>
        <v>58.24</v>
      </c>
      <c r="F174" s="377">
        <f t="shared" si="315"/>
        <v>12.8</v>
      </c>
      <c r="G174" s="377">
        <f t="shared" si="316"/>
        <v>20.8</v>
      </c>
      <c r="H174" s="376">
        <f t="shared" si="317"/>
        <v>6.24</v>
      </c>
      <c r="I174" s="376">
        <f t="shared" si="318"/>
        <v>18.4</v>
      </c>
      <c r="J174" s="376">
        <f t="shared" si="2"/>
        <v>0.330909090909091</v>
      </c>
      <c r="K174" s="24" t="s">
        <v>87</v>
      </c>
      <c r="L174" s="384" t="str">
        <f>IF(K174="","",VLOOKUP(K174,'Định nghĩa Loại Chức năng'!$B$4:$C$92,2,FALSE))</f>
        <v>Xử lý nghiệp vụ phức tạp</v>
      </c>
      <c r="M174" s="394" t="s">
        <v>287</v>
      </c>
      <c r="N174" s="395">
        <f>IF(K174="","",VLOOKUP(K174&amp;$N$7,CSDL_CN!$D$4:$E$264,2,FALSE))</f>
        <v>16</v>
      </c>
      <c r="O174" s="395">
        <f>IF(K174="","",VLOOKUP(K174&amp;$O$7,CSDL_CN!$D$4:$E$264,2,FALSE))</f>
        <v>26</v>
      </c>
      <c r="P174" s="395">
        <f t="shared" si="321"/>
        <v>7.8</v>
      </c>
      <c r="Q174" s="395">
        <f>IF(K174="","",VLOOKUP(K174&amp;$Q$7,CSDL_CN!$D$4:$E$264,2,FALSE))</f>
        <v>23</v>
      </c>
      <c r="R174" s="395">
        <f t="array" ref="R174">SUM(IFERROR(N174:Q174,0))</f>
        <v>72.8</v>
      </c>
      <c r="S174" s="400">
        <v>0.2</v>
      </c>
      <c r="T174" s="400">
        <v>0.2</v>
      </c>
      <c r="U174" s="400">
        <v>0.2</v>
      </c>
      <c r="V174" s="366"/>
      <c r="W174" s="366">
        <f t="shared" si="320"/>
        <v>58.24</v>
      </c>
      <c r="X174" s="404" t="s">
        <v>288</v>
      </c>
      <c r="Y174" s="409">
        <f>E174/8/22+E175/8/22</f>
        <v>0.661818181818182</v>
      </c>
      <c r="Z174" s="410" t="s">
        <v>529</v>
      </c>
      <c r="AA174" s="411" t="s">
        <v>563</v>
      </c>
    </row>
    <row r="175" ht="210" spans="1:27">
      <c r="A175" s="366"/>
      <c r="B175" s="367"/>
      <c r="C175" s="367"/>
      <c r="D175" s="367" t="s">
        <v>530</v>
      </c>
      <c r="E175" s="376">
        <f t="shared" ref="E175" si="426">SUM(F175:I175)</f>
        <v>58.24</v>
      </c>
      <c r="F175" s="377">
        <f t="shared" ref="F175" si="427">N175*(1-$S175)</f>
        <v>12.8</v>
      </c>
      <c r="G175" s="377">
        <f t="shared" ref="G175" si="428">O175*(1-$T175)</f>
        <v>20.8</v>
      </c>
      <c r="H175" s="376">
        <f t="shared" ref="H175" si="429">P175*(1-$T175)</f>
        <v>6.24</v>
      </c>
      <c r="I175" s="376">
        <f t="shared" ref="I175" si="430">Q175*(1-$U175)</f>
        <v>18.4</v>
      </c>
      <c r="J175" s="376">
        <f t="shared" ref="J175" si="431">E175/22/8</f>
        <v>0.330909090909091</v>
      </c>
      <c r="K175" s="24" t="s">
        <v>87</v>
      </c>
      <c r="L175" s="384" t="str">
        <f>IF(K175="","",VLOOKUP(K175,'Định nghĩa Loại Chức năng'!$B$4:$C$92,2,FALSE))</f>
        <v>Xử lý nghiệp vụ phức tạp</v>
      </c>
      <c r="M175" s="394" t="s">
        <v>287</v>
      </c>
      <c r="N175" s="395">
        <f>IF(K175="","",VLOOKUP(K175&amp;$N$7,CSDL_CN!$D$4:$E$264,2,FALSE))</f>
        <v>16</v>
      </c>
      <c r="O175" s="395">
        <f>IF(K175="","",VLOOKUP(K175&amp;$O$7,CSDL_CN!$D$4:$E$264,2,FALSE))</f>
        <v>26</v>
      </c>
      <c r="P175" s="395">
        <f t="shared" ref="P175" si="432">IF(M175="Có",O175*30%,0)</f>
        <v>7.8</v>
      </c>
      <c r="Q175" s="395">
        <f>IF(K175="","",VLOOKUP(K175&amp;$Q$7,CSDL_CN!$D$4:$E$264,2,FALSE))</f>
        <v>23</v>
      </c>
      <c r="R175" s="395">
        <f t="array" ref="R175">SUM(IFERROR(N175:Q175,0))</f>
        <v>72.8</v>
      </c>
      <c r="S175" s="400">
        <v>0.2</v>
      </c>
      <c r="T175" s="400">
        <v>0.2</v>
      </c>
      <c r="U175" s="400">
        <v>0.2</v>
      </c>
      <c r="V175" s="366"/>
      <c r="W175" s="366">
        <f t="shared" ref="W175" si="433">IF(X175="OS",E175,0)</f>
        <v>58.24</v>
      </c>
      <c r="X175" s="404" t="s">
        <v>288</v>
      </c>
      <c r="Y175" s="409"/>
      <c r="Z175" s="410" t="s">
        <v>541</v>
      </c>
      <c r="AA175" s="411"/>
    </row>
    <row r="176" ht="195" spans="1:27">
      <c r="A176" s="366">
        <v>62</v>
      </c>
      <c r="B176" s="367" t="s">
        <v>564</v>
      </c>
      <c r="C176" s="367" t="s">
        <v>565</v>
      </c>
      <c r="D176" s="367" t="s">
        <v>538</v>
      </c>
      <c r="E176" s="376">
        <f t="shared" si="314"/>
        <v>58.24</v>
      </c>
      <c r="F176" s="377">
        <f t="shared" si="315"/>
        <v>12.8</v>
      </c>
      <c r="G176" s="377">
        <f t="shared" si="316"/>
        <v>20.8</v>
      </c>
      <c r="H176" s="376">
        <f t="shared" si="317"/>
        <v>6.24</v>
      </c>
      <c r="I176" s="376">
        <f t="shared" si="318"/>
        <v>18.4</v>
      </c>
      <c r="J176" s="376">
        <f t="shared" si="2"/>
        <v>0.330909090909091</v>
      </c>
      <c r="K176" s="24" t="s">
        <v>87</v>
      </c>
      <c r="L176" s="384" t="str">
        <f>IF(K176="","",VLOOKUP(K176,'Định nghĩa Loại Chức năng'!$B$4:$C$92,2,FALSE))</f>
        <v>Xử lý nghiệp vụ phức tạp</v>
      </c>
      <c r="M176" s="394" t="s">
        <v>287</v>
      </c>
      <c r="N176" s="395">
        <f>IF(K176="","",VLOOKUP(K176&amp;$N$7,CSDL_CN!$D$4:$E$264,2,FALSE))</f>
        <v>16</v>
      </c>
      <c r="O176" s="395">
        <f>IF(K176="","",VLOOKUP(K176&amp;$O$7,CSDL_CN!$D$4:$E$264,2,FALSE))</f>
        <v>26</v>
      </c>
      <c r="P176" s="395">
        <f t="shared" si="321"/>
        <v>7.8</v>
      </c>
      <c r="Q176" s="395">
        <f>IF(K176="","",VLOOKUP(K176&amp;$Q$7,CSDL_CN!$D$4:$E$264,2,FALSE))</f>
        <v>23</v>
      </c>
      <c r="R176" s="395">
        <f t="array" ref="R176">SUM(IFERROR(N176:Q176,0))</f>
        <v>72.8</v>
      </c>
      <c r="S176" s="400">
        <v>0.2</v>
      </c>
      <c r="T176" s="400">
        <v>0.2</v>
      </c>
      <c r="U176" s="400">
        <v>0.2</v>
      </c>
      <c r="V176" s="366"/>
      <c r="W176" s="366">
        <f t="shared" si="320"/>
        <v>58.24</v>
      </c>
      <c r="X176" s="404" t="s">
        <v>288</v>
      </c>
      <c r="Y176" s="409">
        <f>E176/8/22+E177/8/22</f>
        <v>0.661818181818182</v>
      </c>
      <c r="Z176" s="410" t="s">
        <v>529</v>
      </c>
      <c r="AA176" s="411"/>
    </row>
    <row r="177" ht="210" spans="1:27">
      <c r="A177" s="366"/>
      <c r="B177" s="367"/>
      <c r="C177" s="367"/>
      <c r="D177" s="367" t="s">
        <v>530</v>
      </c>
      <c r="E177" s="376">
        <f t="shared" ref="E177" si="434">SUM(F177:I177)</f>
        <v>58.24</v>
      </c>
      <c r="F177" s="377">
        <f t="shared" ref="F177" si="435">N177*(1-$S177)</f>
        <v>12.8</v>
      </c>
      <c r="G177" s="377">
        <f t="shared" ref="G177" si="436">O177*(1-$T177)</f>
        <v>20.8</v>
      </c>
      <c r="H177" s="376">
        <f t="shared" ref="H177" si="437">P177*(1-$T177)</f>
        <v>6.24</v>
      </c>
      <c r="I177" s="376">
        <f t="shared" ref="I177" si="438">Q177*(1-$U177)</f>
        <v>18.4</v>
      </c>
      <c r="J177" s="376">
        <f t="shared" ref="J177" si="439">E177/22/8</f>
        <v>0.330909090909091</v>
      </c>
      <c r="K177" s="24" t="s">
        <v>87</v>
      </c>
      <c r="L177" s="384" t="str">
        <f>IF(K177="","",VLOOKUP(K177,'Định nghĩa Loại Chức năng'!$B$4:$C$92,2,FALSE))</f>
        <v>Xử lý nghiệp vụ phức tạp</v>
      </c>
      <c r="M177" s="394" t="s">
        <v>287</v>
      </c>
      <c r="N177" s="395">
        <f>IF(K177="","",VLOOKUP(K177&amp;$N$7,CSDL_CN!$D$4:$E$264,2,FALSE))</f>
        <v>16</v>
      </c>
      <c r="O177" s="395">
        <f>IF(K177="","",VLOOKUP(K177&amp;$O$7,CSDL_CN!$D$4:$E$264,2,FALSE))</f>
        <v>26</v>
      </c>
      <c r="P177" s="395">
        <f t="shared" ref="P177" si="440">IF(M177="Có",O177*30%,0)</f>
        <v>7.8</v>
      </c>
      <c r="Q177" s="395">
        <f>IF(K177="","",VLOOKUP(K177&amp;$Q$7,CSDL_CN!$D$4:$E$264,2,FALSE))</f>
        <v>23</v>
      </c>
      <c r="R177" s="395">
        <f t="array" ref="R177">SUM(IFERROR(N177:Q177,0))</f>
        <v>72.8</v>
      </c>
      <c r="S177" s="400">
        <v>0.2</v>
      </c>
      <c r="T177" s="400">
        <v>0.2</v>
      </c>
      <c r="U177" s="400">
        <v>0.2</v>
      </c>
      <c r="V177" s="366"/>
      <c r="W177" s="366">
        <f t="shared" ref="W177" si="441">IF(X177="OS",E177,0)</f>
        <v>58.24</v>
      </c>
      <c r="X177" s="404" t="s">
        <v>288</v>
      </c>
      <c r="Y177" s="409"/>
      <c r="Z177" s="410" t="s">
        <v>531</v>
      </c>
      <c r="AA177" s="411"/>
    </row>
    <row r="178" ht="195" spans="1:27">
      <c r="A178" s="366">
        <v>63</v>
      </c>
      <c r="B178" s="367" t="s">
        <v>566</v>
      </c>
      <c r="C178" s="367" t="s">
        <v>567</v>
      </c>
      <c r="D178" s="369" t="s">
        <v>528</v>
      </c>
      <c r="E178" s="376">
        <f t="shared" si="314"/>
        <v>58.24</v>
      </c>
      <c r="F178" s="377">
        <f t="shared" si="315"/>
        <v>12.8</v>
      </c>
      <c r="G178" s="377">
        <f t="shared" si="316"/>
        <v>20.8</v>
      </c>
      <c r="H178" s="376">
        <f t="shared" si="317"/>
        <v>6.24</v>
      </c>
      <c r="I178" s="376">
        <f t="shared" si="318"/>
        <v>18.4</v>
      </c>
      <c r="J178" s="376">
        <f t="shared" si="2"/>
        <v>0.330909090909091</v>
      </c>
      <c r="K178" s="24" t="s">
        <v>87</v>
      </c>
      <c r="L178" s="384" t="str">
        <f>IF(K178="","",VLOOKUP(K178,'Định nghĩa Loại Chức năng'!$B$4:$C$92,2,FALSE))</f>
        <v>Xử lý nghiệp vụ phức tạp</v>
      </c>
      <c r="M178" s="394" t="s">
        <v>287</v>
      </c>
      <c r="N178" s="395">
        <f>IF(K178="","",VLOOKUP(K178&amp;$N$7,CSDL_CN!$D$4:$E$264,2,FALSE))</f>
        <v>16</v>
      </c>
      <c r="O178" s="395">
        <f>IF(K178="","",VLOOKUP(K178&amp;$O$7,CSDL_CN!$D$4:$E$264,2,FALSE))</f>
        <v>26</v>
      </c>
      <c r="P178" s="395">
        <f t="shared" si="321"/>
        <v>7.8</v>
      </c>
      <c r="Q178" s="395">
        <f>IF(K178="","",VLOOKUP(K178&amp;$Q$7,CSDL_CN!$D$4:$E$264,2,FALSE))</f>
        <v>23</v>
      </c>
      <c r="R178" s="395">
        <f t="array" ref="R178">SUM(IFERROR(N178:Q178,0))</f>
        <v>72.8</v>
      </c>
      <c r="S178" s="400">
        <v>0.2</v>
      </c>
      <c r="T178" s="400">
        <v>0.2</v>
      </c>
      <c r="U178" s="400">
        <v>0.2</v>
      </c>
      <c r="V178" s="366"/>
      <c r="W178" s="366">
        <f t="shared" si="320"/>
        <v>58.24</v>
      </c>
      <c r="X178" s="404" t="s">
        <v>288</v>
      </c>
      <c r="Y178" s="409">
        <f>E178/8/22+E179/8/22</f>
        <v>0.661818181818182</v>
      </c>
      <c r="Z178" s="410" t="s">
        <v>529</v>
      </c>
      <c r="AA178" s="411"/>
    </row>
    <row r="179" ht="210" spans="1:27">
      <c r="A179" s="366"/>
      <c r="B179" s="367"/>
      <c r="C179" s="367"/>
      <c r="D179" s="367" t="s">
        <v>530</v>
      </c>
      <c r="E179" s="376">
        <f t="shared" ref="E179" si="442">SUM(F179:I179)</f>
        <v>58.24</v>
      </c>
      <c r="F179" s="377">
        <f t="shared" ref="F179:F184" si="443">N179*(1-$S179)</f>
        <v>12.8</v>
      </c>
      <c r="G179" s="377">
        <f t="shared" ref="G179:G184" si="444">O179*(1-$T179)</f>
        <v>20.8</v>
      </c>
      <c r="H179" s="376">
        <f t="shared" ref="H179:H184" si="445">P179*(1-$T179)</f>
        <v>6.24</v>
      </c>
      <c r="I179" s="376">
        <f t="shared" ref="I179:I184" si="446">Q179*(1-$U179)</f>
        <v>18.4</v>
      </c>
      <c r="J179" s="376">
        <f t="shared" ref="J179:J184" si="447">E179/22/8</f>
        <v>0.330909090909091</v>
      </c>
      <c r="K179" s="24" t="s">
        <v>87</v>
      </c>
      <c r="L179" s="384" t="str">
        <f>IF(K179="","",VLOOKUP(K179,'Định nghĩa Loại Chức năng'!$B$4:$C$92,2,FALSE))</f>
        <v>Xử lý nghiệp vụ phức tạp</v>
      </c>
      <c r="M179" s="394" t="s">
        <v>287</v>
      </c>
      <c r="N179" s="395">
        <f>IF(K179="","",VLOOKUP(K179&amp;$N$7,CSDL_CN!$D$4:$E$264,2,FALSE))</f>
        <v>16</v>
      </c>
      <c r="O179" s="395">
        <f>IF(K179="","",VLOOKUP(K179&amp;$O$7,CSDL_CN!$D$4:$E$264,2,FALSE))</f>
        <v>26</v>
      </c>
      <c r="P179" s="395">
        <f t="shared" ref="P179:P184" si="448">IF(M179="Có",O179*30%,0)</f>
        <v>7.8</v>
      </c>
      <c r="Q179" s="395">
        <f>IF(K179="","",VLOOKUP(K179&amp;$Q$7,CSDL_CN!$D$4:$E$264,2,FALSE))</f>
        <v>23</v>
      </c>
      <c r="R179" s="395">
        <f t="array" ref="R179">SUM(IFERROR(N179:Q179,0))</f>
        <v>72.8</v>
      </c>
      <c r="S179" s="400">
        <v>0.2</v>
      </c>
      <c r="T179" s="400">
        <v>0.2</v>
      </c>
      <c r="U179" s="400">
        <v>0.2</v>
      </c>
      <c r="V179" s="366"/>
      <c r="W179" s="366">
        <f t="shared" ref="W179:W184" si="449">IF(X179="OS",E179,0)</f>
        <v>58.24</v>
      </c>
      <c r="X179" s="404" t="s">
        <v>288</v>
      </c>
      <c r="Y179" s="409"/>
      <c r="Z179" s="410" t="s">
        <v>531</v>
      </c>
      <c r="AA179" s="411"/>
    </row>
    <row r="180" ht="195" spans="1:27">
      <c r="A180" s="366">
        <v>61</v>
      </c>
      <c r="B180" s="367" t="s">
        <v>561</v>
      </c>
      <c r="C180" s="367" t="s">
        <v>568</v>
      </c>
      <c r="D180" s="367" t="s">
        <v>534</v>
      </c>
      <c r="E180" s="376">
        <f t="shared" ref="E180" si="450">SUM(F180:I180)</f>
        <v>58.24</v>
      </c>
      <c r="F180" s="377">
        <f t="shared" si="443"/>
        <v>12.8</v>
      </c>
      <c r="G180" s="377">
        <f t="shared" si="444"/>
        <v>20.8</v>
      </c>
      <c r="H180" s="376">
        <f t="shared" si="445"/>
        <v>6.24</v>
      </c>
      <c r="I180" s="376">
        <f t="shared" si="446"/>
        <v>18.4</v>
      </c>
      <c r="J180" s="376">
        <f t="shared" si="447"/>
        <v>0.330909090909091</v>
      </c>
      <c r="K180" s="24" t="s">
        <v>87</v>
      </c>
      <c r="L180" s="384" t="str">
        <f>IF(K180="","",VLOOKUP(K180,'Định nghĩa Loại Chức năng'!$B$4:$C$92,2,FALSE))</f>
        <v>Xử lý nghiệp vụ phức tạp</v>
      </c>
      <c r="M180" s="394" t="s">
        <v>287</v>
      </c>
      <c r="N180" s="395">
        <f>IF(K180="","",VLOOKUP(K180&amp;$N$7,CSDL_CN!$D$4:$E$264,2,FALSE))</f>
        <v>16</v>
      </c>
      <c r="O180" s="395">
        <f>IF(K180="","",VLOOKUP(K180&amp;$O$7,CSDL_CN!$D$4:$E$264,2,FALSE))</f>
        <v>26</v>
      </c>
      <c r="P180" s="395">
        <f t="shared" si="448"/>
        <v>7.8</v>
      </c>
      <c r="Q180" s="395">
        <f>IF(K180="","",VLOOKUP(K180&amp;$Q$7,CSDL_CN!$D$4:$E$264,2,FALSE))</f>
        <v>23</v>
      </c>
      <c r="R180" s="395">
        <f t="array" ref="R180">SUM(IFERROR(N180:Q180,0))</f>
        <v>72.8</v>
      </c>
      <c r="S180" s="400">
        <v>0.2</v>
      </c>
      <c r="T180" s="400">
        <v>0.2</v>
      </c>
      <c r="U180" s="400">
        <v>0.2</v>
      </c>
      <c r="V180" s="366"/>
      <c r="W180" s="366">
        <f t="shared" si="449"/>
        <v>58.24</v>
      </c>
      <c r="X180" s="404" t="s">
        <v>288</v>
      </c>
      <c r="Y180" s="409">
        <f>E180/8/22+E181/8/22</f>
        <v>0.661818181818182</v>
      </c>
      <c r="Z180" s="410" t="s">
        <v>509</v>
      </c>
      <c r="AA180" s="411" t="s">
        <v>569</v>
      </c>
    </row>
    <row r="181" ht="210" spans="1:27">
      <c r="A181" s="366"/>
      <c r="B181" s="367"/>
      <c r="C181" s="367"/>
      <c r="D181" s="367" t="s">
        <v>530</v>
      </c>
      <c r="E181" s="376">
        <f t="shared" ref="E181" si="451">SUM(F181:I181)</f>
        <v>58.24</v>
      </c>
      <c r="F181" s="377">
        <f t="shared" si="443"/>
        <v>12.8</v>
      </c>
      <c r="G181" s="377">
        <f t="shared" si="444"/>
        <v>20.8</v>
      </c>
      <c r="H181" s="376">
        <f t="shared" si="445"/>
        <v>6.24</v>
      </c>
      <c r="I181" s="376">
        <f t="shared" si="446"/>
        <v>18.4</v>
      </c>
      <c r="J181" s="376">
        <f t="shared" si="447"/>
        <v>0.330909090909091</v>
      </c>
      <c r="K181" s="24" t="s">
        <v>87</v>
      </c>
      <c r="L181" s="384" t="str">
        <f>IF(K181="","",VLOOKUP(K181,'Định nghĩa Loại Chức năng'!$B$4:$C$92,2,FALSE))</f>
        <v>Xử lý nghiệp vụ phức tạp</v>
      </c>
      <c r="M181" s="394" t="s">
        <v>287</v>
      </c>
      <c r="N181" s="395">
        <f>IF(K181="","",VLOOKUP(K181&amp;$N$7,CSDL_CN!$D$4:$E$264,2,FALSE))</f>
        <v>16</v>
      </c>
      <c r="O181" s="395">
        <f>IF(K181="","",VLOOKUP(K181&amp;$O$7,CSDL_CN!$D$4:$E$264,2,FALSE))</f>
        <v>26</v>
      </c>
      <c r="P181" s="395">
        <f t="shared" si="448"/>
        <v>7.8</v>
      </c>
      <c r="Q181" s="395">
        <f>IF(K181="","",VLOOKUP(K181&amp;$Q$7,CSDL_CN!$D$4:$E$264,2,FALSE))</f>
        <v>23</v>
      </c>
      <c r="R181" s="395">
        <f t="array" ref="R181">SUM(IFERROR(N181:Q181,0))</f>
        <v>72.8</v>
      </c>
      <c r="S181" s="400">
        <v>0.2</v>
      </c>
      <c r="T181" s="400">
        <v>0.2</v>
      </c>
      <c r="U181" s="400">
        <v>0.2</v>
      </c>
      <c r="V181" s="366"/>
      <c r="W181" s="366">
        <f t="shared" si="449"/>
        <v>58.24</v>
      </c>
      <c r="X181" s="404" t="s">
        <v>288</v>
      </c>
      <c r="Y181" s="409"/>
      <c r="Z181" s="410"/>
      <c r="AA181" s="411"/>
    </row>
    <row r="182" ht="195" spans="1:27">
      <c r="A182" s="366">
        <v>65</v>
      </c>
      <c r="B182" s="367" t="s">
        <v>564</v>
      </c>
      <c r="C182" s="367" t="s">
        <v>570</v>
      </c>
      <c r="D182" s="367" t="s">
        <v>538</v>
      </c>
      <c r="E182" s="376">
        <f t="shared" ref="E182" si="452">SUM(F182:I182)</f>
        <v>58.24</v>
      </c>
      <c r="F182" s="377">
        <f t="shared" si="443"/>
        <v>12.8</v>
      </c>
      <c r="G182" s="377">
        <f t="shared" si="444"/>
        <v>20.8</v>
      </c>
      <c r="H182" s="376">
        <f t="shared" si="445"/>
        <v>6.24</v>
      </c>
      <c r="I182" s="376">
        <f t="shared" si="446"/>
        <v>18.4</v>
      </c>
      <c r="J182" s="376">
        <f t="shared" si="447"/>
        <v>0.330909090909091</v>
      </c>
      <c r="K182" s="24" t="s">
        <v>87</v>
      </c>
      <c r="L182" s="384" t="str">
        <f>IF(K182="","",VLOOKUP(K182,'Định nghĩa Loại Chức năng'!$B$4:$C$92,2,FALSE))</f>
        <v>Xử lý nghiệp vụ phức tạp</v>
      </c>
      <c r="M182" s="394" t="s">
        <v>287</v>
      </c>
      <c r="N182" s="395">
        <f>IF(K182="","",VLOOKUP(K182&amp;$N$7,CSDL_CN!$D$4:$E$264,2,FALSE))</f>
        <v>16</v>
      </c>
      <c r="O182" s="395">
        <f>IF(K182="","",VLOOKUP(K182&amp;$O$7,CSDL_CN!$D$4:$E$264,2,FALSE))</f>
        <v>26</v>
      </c>
      <c r="P182" s="395">
        <f t="shared" si="448"/>
        <v>7.8</v>
      </c>
      <c r="Q182" s="395">
        <f>IF(K182="","",VLOOKUP(K182&amp;$Q$7,CSDL_CN!$D$4:$E$264,2,FALSE))</f>
        <v>23</v>
      </c>
      <c r="R182" s="395">
        <f t="array" ref="R182">SUM(IFERROR(N182:Q182,0))</f>
        <v>72.8</v>
      </c>
      <c r="S182" s="400">
        <v>0.2</v>
      </c>
      <c r="T182" s="400">
        <v>0.2</v>
      </c>
      <c r="U182" s="400">
        <v>0.2</v>
      </c>
      <c r="V182" s="366"/>
      <c r="W182" s="366">
        <f t="shared" si="449"/>
        <v>58.24</v>
      </c>
      <c r="X182" s="404" t="s">
        <v>288</v>
      </c>
      <c r="Y182" s="409">
        <f>E182/8/22+E183/8/22</f>
        <v>0.661818181818182</v>
      </c>
      <c r="Z182" s="410" t="s">
        <v>509</v>
      </c>
      <c r="AA182" s="411"/>
    </row>
    <row r="183" ht="210" spans="1:27">
      <c r="A183" s="366"/>
      <c r="B183" s="367"/>
      <c r="C183" s="367"/>
      <c r="D183" s="367" t="s">
        <v>530</v>
      </c>
      <c r="E183" s="376">
        <f t="shared" ref="E183" si="453">SUM(F183:I183)</f>
        <v>58.24</v>
      </c>
      <c r="F183" s="377">
        <f t="shared" si="443"/>
        <v>12.8</v>
      </c>
      <c r="G183" s="377">
        <f t="shared" si="444"/>
        <v>20.8</v>
      </c>
      <c r="H183" s="376">
        <f t="shared" si="445"/>
        <v>6.24</v>
      </c>
      <c r="I183" s="376">
        <f t="shared" si="446"/>
        <v>18.4</v>
      </c>
      <c r="J183" s="376">
        <f t="shared" si="447"/>
        <v>0.330909090909091</v>
      </c>
      <c r="K183" s="24" t="s">
        <v>87</v>
      </c>
      <c r="L183" s="384" t="str">
        <f>IF(K183="","",VLOOKUP(K183,'Định nghĩa Loại Chức năng'!$B$4:$C$92,2,FALSE))</f>
        <v>Xử lý nghiệp vụ phức tạp</v>
      </c>
      <c r="M183" s="394" t="s">
        <v>287</v>
      </c>
      <c r="N183" s="395">
        <f>IF(K183="","",VLOOKUP(K183&amp;$N$7,CSDL_CN!$D$4:$E$264,2,FALSE))</f>
        <v>16</v>
      </c>
      <c r="O183" s="395">
        <f>IF(K183="","",VLOOKUP(K183&amp;$O$7,CSDL_CN!$D$4:$E$264,2,FALSE))</f>
        <v>26</v>
      </c>
      <c r="P183" s="395">
        <f t="shared" si="448"/>
        <v>7.8</v>
      </c>
      <c r="Q183" s="395">
        <f>IF(K183="","",VLOOKUP(K183&amp;$Q$7,CSDL_CN!$D$4:$E$264,2,FALSE))</f>
        <v>23</v>
      </c>
      <c r="R183" s="395">
        <f t="array" ref="R183">SUM(IFERROR(N183:Q183,0))</f>
        <v>72.8</v>
      </c>
      <c r="S183" s="400">
        <v>0.2</v>
      </c>
      <c r="T183" s="400">
        <v>0.2</v>
      </c>
      <c r="U183" s="400">
        <v>0.2</v>
      </c>
      <c r="V183" s="366"/>
      <c r="W183" s="366">
        <f t="shared" si="449"/>
        <v>58.24</v>
      </c>
      <c r="X183" s="404" t="s">
        <v>288</v>
      </c>
      <c r="Y183" s="409"/>
      <c r="Z183" s="410"/>
      <c r="AA183" s="411"/>
    </row>
    <row r="184" ht="195" spans="1:27">
      <c r="A184" s="366">
        <v>66</v>
      </c>
      <c r="B184" s="367" t="s">
        <v>566</v>
      </c>
      <c r="C184" s="367" t="s">
        <v>571</v>
      </c>
      <c r="D184" s="369" t="s">
        <v>528</v>
      </c>
      <c r="E184" s="376">
        <f t="shared" ref="E184" si="454">SUM(F184:I184)</f>
        <v>58.24</v>
      </c>
      <c r="F184" s="377">
        <f t="shared" si="443"/>
        <v>12.8</v>
      </c>
      <c r="G184" s="377">
        <f t="shared" si="444"/>
        <v>20.8</v>
      </c>
      <c r="H184" s="376">
        <f t="shared" si="445"/>
        <v>6.24</v>
      </c>
      <c r="I184" s="376">
        <f t="shared" si="446"/>
        <v>18.4</v>
      </c>
      <c r="J184" s="376">
        <f t="shared" si="447"/>
        <v>0.330909090909091</v>
      </c>
      <c r="K184" s="24" t="s">
        <v>87</v>
      </c>
      <c r="L184" s="384" t="str">
        <f>IF(K184="","",VLOOKUP(K184,'Định nghĩa Loại Chức năng'!$B$4:$C$92,2,FALSE))</f>
        <v>Xử lý nghiệp vụ phức tạp</v>
      </c>
      <c r="M184" s="394" t="s">
        <v>287</v>
      </c>
      <c r="N184" s="395">
        <f>IF(K184="","",VLOOKUP(K184&amp;$N$7,CSDL_CN!$D$4:$E$264,2,FALSE))</f>
        <v>16</v>
      </c>
      <c r="O184" s="395">
        <f>IF(K184="","",VLOOKUP(K184&amp;$O$7,CSDL_CN!$D$4:$E$264,2,FALSE))</f>
        <v>26</v>
      </c>
      <c r="P184" s="395">
        <f t="shared" si="448"/>
        <v>7.8</v>
      </c>
      <c r="Q184" s="395">
        <f>IF(K184="","",VLOOKUP(K184&amp;$Q$7,CSDL_CN!$D$4:$E$264,2,FALSE))</f>
        <v>23</v>
      </c>
      <c r="R184" s="395">
        <f t="array" ref="R184">SUM(IFERROR(N184:Q184,0))</f>
        <v>72.8</v>
      </c>
      <c r="S184" s="400">
        <v>0.2</v>
      </c>
      <c r="T184" s="400">
        <v>0.2</v>
      </c>
      <c r="U184" s="400">
        <v>0.2</v>
      </c>
      <c r="V184" s="366"/>
      <c r="W184" s="366">
        <f t="shared" si="449"/>
        <v>58.24</v>
      </c>
      <c r="X184" s="404" t="s">
        <v>288</v>
      </c>
      <c r="Y184" s="409">
        <f>E184/8/22+E185/8/22</f>
        <v>0.661818181818182</v>
      </c>
      <c r="Z184" s="410" t="s">
        <v>512</v>
      </c>
      <c r="AA184" s="411"/>
    </row>
    <row r="185" ht="210" spans="1:27">
      <c r="A185" s="366"/>
      <c r="B185" s="367"/>
      <c r="C185" s="367"/>
      <c r="D185" s="367" t="s">
        <v>530</v>
      </c>
      <c r="E185" s="376">
        <f t="shared" ref="E185" si="455">SUM(F185:I185)</f>
        <v>58.24</v>
      </c>
      <c r="F185" s="377">
        <f t="shared" ref="F185" si="456">N185*(1-$S185)</f>
        <v>12.8</v>
      </c>
      <c r="G185" s="377">
        <f t="shared" ref="G185" si="457">O185*(1-$T185)</f>
        <v>20.8</v>
      </c>
      <c r="H185" s="376">
        <f t="shared" ref="H185" si="458">P185*(1-$T185)</f>
        <v>6.24</v>
      </c>
      <c r="I185" s="376">
        <f t="shared" ref="I185" si="459">Q185*(1-$U185)</f>
        <v>18.4</v>
      </c>
      <c r="J185" s="376">
        <f t="shared" ref="J185" si="460">E185/22/8</f>
        <v>0.330909090909091</v>
      </c>
      <c r="K185" s="24" t="s">
        <v>87</v>
      </c>
      <c r="L185" s="384" t="str">
        <f>IF(K185="","",VLOOKUP(K185,'Định nghĩa Loại Chức năng'!$B$4:$C$92,2,FALSE))</f>
        <v>Xử lý nghiệp vụ phức tạp</v>
      </c>
      <c r="M185" s="394" t="s">
        <v>287</v>
      </c>
      <c r="N185" s="395">
        <f>IF(K185="","",VLOOKUP(K185&amp;$N$7,CSDL_CN!$D$4:$E$264,2,FALSE))</f>
        <v>16</v>
      </c>
      <c r="O185" s="395">
        <f>IF(K185="","",VLOOKUP(K185&amp;$O$7,CSDL_CN!$D$4:$E$264,2,FALSE))</f>
        <v>26</v>
      </c>
      <c r="P185" s="395">
        <f t="shared" ref="P185" si="461">IF(M185="Có",O185*30%,0)</f>
        <v>7.8</v>
      </c>
      <c r="Q185" s="395">
        <f>IF(K185="","",VLOOKUP(K185&amp;$Q$7,CSDL_CN!$D$4:$E$264,2,FALSE))</f>
        <v>23</v>
      </c>
      <c r="R185" s="395">
        <f t="array" ref="R185">SUM(IFERROR(N185:Q185,0))</f>
        <v>72.8</v>
      </c>
      <c r="S185" s="400">
        <v>0.2</v>
      </c>
      <c r="T185" s="400">
        <v>0.2</v>
      </c>
      <c r="U185" s="400">
        <v>0.2</v>
      </c>
      <c r="V185" s="366"/>
      <c r="W185" s="366">
        <f t="shared" ref="W185" si="462">IF(X185="OS",E185,0)</f>
        <v>58.24</v>
      </c>
      <c r="X185" s="404" t="s">
        <v>288</v>
      </c>
      <c r="Y185" s="409"/>
      <c r="Z185" s="410"/>
      <c r="AA185" s="411"/>
    </row>
    <row r="186" ht="120" spans="1:27">
      <c r="A186" s="366">
        <v>67</v>
      </c>
      <c r="B186" s="424" t="s">
        <v>572</v>
      </c>
      <c r="C186" s="425" t="s">
        <v>573</v>
      </c>
      <c r="D186" s="367" t="s">
        <v>508</v>
      </c>
      <c r="E186" s="376">
        <f t="shared" si="314"/>
        <v>40</v>
      </c>
      <c r="F186" s="377">
        <f t="shared" si="315"/>
        <v>8</v>
      </c>
      <c r="G186" s="377">
        <f t="shared" si="316"/>
        <v>16</v>
      </c>
      <c r="H186" s="376">
        <f t="shared" si="317"/>
        <v>4.8</v>
      </c>
      <c r="I186" s="376">
        <f t="shared" si="318"/>
        <v>11.2</v>
      </c>
      <c r="J186" s="376">
        <f t="shared" ref="J186:J199" si="463">E186/22/8</f>
        <v>0.227272727272727</v>
      </c>
      <c r="K186" s="24" t="s">
        <v>83</v>
      </c>
      <c r="L186" s="384" t="str">
        <f>IF(K186="","",VLOOKUP(K186,'Định nghĩa Loại Chức năng'!$B$4:$C$92,2,FALSE))</f>
        <v>Xử lý nghiệp vụ trung bình</v>
      </c>
      <c r="M186" s="394" t="s">
        <v>287</v>
      </c>
      <c r="N186" s="395">
        <f>IF(K186="","",VLOOKUP(K186&amp;$N$7,CSDL_CN!$D$4:$E$264,2,FALSE))</f>
        <v>10</v>
      </c>
      <c r="O186" s="395">
        <f>IF(K186="","",VLOOKUP(K186&amp;$O$7,CSDL_CN!$D$4:$E$264,2,FALSE))</f>
        <v>20</v>
      </c>
      <c r="P186" s="395">
        <f t="shared" si="321"/>
        <v>6</v>
      </c>
      <c r="Q186" s="395">
        <f>IF(K186="","",VLOOKUP(K186&amp;$Q$7,CSDL_CN!$D$4:$E$264,2,FALSE))</f>
        <v>14</v>
      </c>
      <c r="R186" s="395">
        <f t="array" ref="R186">SUM(IFERROR(N186:Q186,0))</f>
        <v>50</v>
      </c>
      <c r="S186" s="400">
        <v>0.2</v>
      </c>
      <c r="T186" s="400">
        <v>0.2</v>
      </c>
      <c r="U186" s="400">
        <v>0.2</v>
      </c>
      <c r="V186" s="366"/>
      <c r="W186" s="366">
        <f t="shared" si="320"/>
        <v>0</v>
      </c>
      <c r="X186" s="404" t="s">
        <v>484</v>
      </c>
      <c r="Y186" s="409">
        <f t="shared" si="313"/>
        <v>0.227272727272727</v>
      </c>
      <c r="Z186" s="410" t="s">
        <v>509</v>
      </c>
      <c r="AA186" s="410" t="s">
        <v>573</v>
      </c>
    </row>
    <row r="187" ht="120" spans="1:27">
      <c r="A187" s="366">
        <v>68</v>
      </c>
      <c r="B187" s="424" t="s">
        <v>574</v>
      </c>
      <c r="C187" s="425"/>
      <c r="D187" s="367" t="s">
        <v>517</v>
      </c>
      <c r="E187" s="376">
        <f t="shared" si="314"/>
        <v>40</v>
      </c>
      <c r="F187" s="377">
        <f t="shared" si="315"/>
        <v>8</v>
      </c>
      <c r="G187" s="377">
        <f t="shared" si="316"/>
        <v>16</v>
      </c>
      <c r="H187" s="376">
        <f t="shared" si="317"/>
        <v>4.8</v>
      </c>
      <c r="I187" s="376">
        <f t="shared" si="318"/>
        <v>11.2</v>
      </c>
      <c r="J187" s="376">
        <f t="shared" si="463"/>
        <v>0.227272727272727</v>
      </c>
      <c r="K187" s="24" t="s">
        <v>83</v>
      </c>
      <c r="L187" s="384" t="str">
        <f>IF(K187="","",VLOOKUP(K187,'Định nghĩa Loại Chức năng'!$B$4:$C$92,2,FALSE))</f>
        <v>Xử lý nghiệp vụ trung bình</v>
      </c>
      <c r="M187" s="394" t="s">
        <v>287</v>
      </c>
      <c r="N187" s="395">
        <f>IF(K187="","",VLOOKUP(K187&amp;$N$7,CSDL_CN!$D$4:$E$264,2,FALSE))</f>
        <v>10</v>
      </c>
      <c r="O187" s="395">
        <f>IF(K187="","",VLOOKUP(K187&amp;$O$7,CSDL_CN!$D$4:$E$264,2,FALSE))</f>
        <v>20</v>
      </c>
      <c r="P187" s="395">
        <f t="shared" si="321"/>
        <v>6</v>
      </c>
      <c r="Q187" s="395">
        <f>IF(K187="","",VLOOKUP(K187&amp;$Q$7,CSDL_CN!$D$4:$E$264,2,FALSE))</f>
        <v>14</v>
      </c>
      <c r="R187" s="395">
        <f t="array" ref="R187">SUM(IFERROR(N187:Q187,0))</f>
        <v>50</v>
      </c>
      <c r="S187" s="400">
        <v>0.2</v>
      </c>
      <c r="T187" s="400">
        <v>0.2</v>
      </c>
      <c r="U187" s="400">
        <v>0.2</v>
      </c>
      <c r="V187" s="366"/>
      <c r="W187" s="366">
        <f t="shared" si="320"/>
        <v>0</v>
      </c>
      <c r="X187" s="404" t="s">
        <v>484</v>
      </c>
      <c r="Y187" s="409">
        <f t="shared" si="313"/>
        <v>0.227272727272727</v>
      </c>
      <c r="Z187" s="410" t="s">
        <v>509</v>
      </c>
      <c r="AA187" s="423"/>
    </row>
    <row r="188" ht="135" spans="1:27">
      <c r="A188" s="366">
        <v>69</v>
      </c>
      <c r="B188" s="424" t="s">
        <v>575</v>
      </c>
      <c r="C188" s="425"/>
      <c r="D188" s="367" t="s">
        <v>576</v>
      </c>
      <c r="E188" s="376">
        <f t="shared" si="314"/>
        <v>40</v>
      </c>
      <c r="F188" s="377">
        <f t="shared" si="315"/>
        <v>8</v>
      </c>
      <c r="G188" s="377">
        <f t="shared" si="316"/>
        <v>16</v>
      </c>
      <c r="H188" s="376">
        <f t="shared" si="317"/>
        <v>4.8</v>
      </c>
      <c r="I188" s="376">
        <f t="shared" si="318"/>
        <v>11.2</v>
      </c>
      <c r="J188" s="376">
        <f t="shared" si="463"/>
        <v>0.227272727272727</v>
      </c>
      <c r="K188" s="24" t="s">
        <v>83</v>
      </c>
      <c r="L188" s="384" t="str">
        <f>IF(K188="","",VLOOKUP(K188,'Định nghĩa Loại Chức năng'!$B$4:$C$92,2,FALSE))</f>
        <v>Xử lý nghiệp vụ trung bình</v>
      </c>
      <c r="M188" s="394" t="s">
        <v>287</v>
      </c>
      <c r="N188" s="395">
        <f>IF(K188="","",VLOOKUP(K188&amp;$N$7,CSDL_CN!$D$4:$E$264,2,FALSE))</f>
        <v>10</v>
      </c>
      <c r="O188" s="395">
        <f>IF(K188="","",VLOOKUP(K188&amp;$O$7,CSDL_CN!$D$4:$E$264,2,FALSE))</f>
        <v>20</v>
      </c>
      <c r="P188" s="395">
        <f t="shared" si="321"/>
        <v>6</v>
      </c>
      <c r="Q188" s="395">
        <f>IF(K188="","",VLOOKUP(K188&amp;$Q$7,CSDL_CN!$D$4:$E$264,2,FALSE))</f>
        <v>14</v>
      </c>
      <c r="R188" s="395">
        <f t="array" ref="R188">SUM(IFERROR(N188:Q188,0))</f>
        <v>50</v>
      </c>
      <c r="S188" s="400">
        <v>0.2</v>
      </c>
      <c r="T188" s="400">
        <v>0.2</v>
      </c>
      <c r="U188" s="400">
        <v>0.2</v>
      </c>
      <c r="V188" s="366"/>
      <c r="W188" s="366">
        <f t="shared" si="320"/>
        <v>0</v>
      </c>
      <c r="X188" s="404" t="s">
        <v>484</v>
      </c>
      <c r="Y188" s="409">
        <f t="shared" si="313"/>
        <v>0.227272727272727</v>
      </c>
      <c r="Z188" s="410" t="s">
        <v>512</v>
      </c>
      <c r="AA188" s="423"/>
    </row>
    <row r="189" ht="150" spans="1:26">
      <c r="A189" s="426">
        <v>70</v>
      </c>
      <c r="B189" s="427" t="s">
        <v>577</v>
      </c>
      <c r="C189" s="427" t="s">
        <v>578</v>
      </c>
      <c r="D189" s="427" t="s">
        <v>579</v>
      </c>
      <c r="E189" s="428">
        <f t="shared" si="314"/>
        <v>40</v>
      </c>
      <c r="F189" s="429">
        <f t="shared" ref="F189:F197" si="464">N189*(1-$S189)</f>
        <v>8</v>
      </c>
      <c r="G189" s="429">
        <f t="shared" ref="G189:G197" si="465">O189*(1-$T189)</f>
        <v>16</v>
      </c>
      <c r="H189" s="428">
        <f t="shared" ref="H189:H197" si="466">P189*(1-$T189)</f>
        <v>4.8</v>
      </c>
      <c r="I189" s="428">
        <f t="shared" ref="I189:I197" si="467">Q189*(1-$U189)</f>
        <v>11.2</v>
      </c>
      <c r="J189" s="428">
        <f t="shared" si="463"/>
        <v>0.227272727272727</v>
      </c>
      <c r="K189" s="430" t="s">
        <v>83</v>
      </c>
      <c r="L189" s="431" t="str">
        <f>IF(K189="","",VLOOKUP(K189,'Định nghĩa Loại Chức năng'!$B$4:$C$92,2,FALSE))</f>
        <v>Xử lý nghiệp vụ trung bình</v>
      </c>
      <c r="M189" s="432" t="s">
        <v>287</v>
      </c>
      <c r="N189" s="433">
        <f>IF(K189="","",VLOOKUP(K189&amp;$N$7,CSDL_CN!$D$4:$E$264,2,FALSE))</f>
        <v>10</v>
      </c>
      <c r="O189" s="433">
        <f>IF(K189="","",VLOOKUP(K189&amp;$O$7,CSDL_CN!$D$4:$E$264,2,FALSE))</f>
        <v>20</v>
      </c>
      <c r="P189" s="433">
        <f t="shared" ref="P189:P197" si="468">IF(M189="Có",O189*30%,0)</f>
        <v>6</v>
      </c>
      <c r="Q189" s="433">
        <f>IF(K189="","",VLOOKUP(K189&amp;$Q$7,CSDL_CN!$D$4:$E$264,2,FALSE))</f>
        <v>14</v>
      </c>
      <c r="R189" s="433">
        <f t="array" ref="R189">SUM(IFERROR(N189:Q189,0))</f>
        <v>50</v>
      </c>
      <c r="S189" s="400">
        <v>0.2</v>
      </c>
      <c r="T189" s="400">
        <v>0.2</v>
      </c>
      <c r="U189" s="400">
        <v>0.2</v>
      </c>
      <c r="V189" s="426"/>
      <c r="W189" s="426">
        <f t="shared" si="320"/>
        <v>0</v>
      </c>
      <c r="X189" s="434" t="s">
        <v>484</v>
      </c>
      <c r="Z189" s="435" t="s">
        <v>580</v>
      </c>
    </row>
    <row r="190" ht="150" spans="1:26">
      <c r="A190" s="366">
        <v>71</v>
      </c>
      <c r="B190" s="367" t="s">
        <v>581</v>
      </c>
      <c r="C190" s="367" t="s">
        <v>582</v>
      </c>
      <c r="D190" s="367" t="s">
        <v>579</v>
      </c>
      <c r="E190" s="376">
        <f t="shared" si="314"/>
        <v>40</v>
      </c>
      <c r="F190" s="377">
        <f t="shared" si="464"/>
        <v>8</v>
      </c>
      <c r="G190" s="377">
        <f t="shared" si="465"/>
        <v>16</v>
      </c>
      <c r="H190" s="376">
        <f t="shared" si="466"/>
        <v>4.8</v>
      </c>
      <c r="I190" s="376">
        <f t="shared" si="467"/>
        <v>11.2</v>
      </c>
      <c r="J190" s="376">
        <f t="shared" si="463"/>
        <v>0.227272727272727</v>
      </c>
      <c r="K190" s="24" t="s">
        <v>83</v>
      </c>
      <c r="L190" s="384" t="str">
        <f>IF(K190="","",VLOOKUP(K190,'Định nghĩa Loại Chức năng'!$B$4:$C$92,2,FALSE))</f>
        <v>Xử lý nghiệp vụ trung bình</v>
      </c>
      <c r="M190" s="394" t="s">
        <v>287</v>
      </c>
      <c r="N190" s="395">
        <f>IF(K190="","",VLOOKUP(K190&amp;$N$7,CSDL_CN!$D$4:$E$264,2,FALSE))</f>
        <v>10</v>
      </c>
      <c r="O190" s="395">
        <f>IF(K190="","",VLOOKUP(K190&amp;$O$7,CSDL_CN!$D$4:$E$264,2,FALSE))</f>
        <v>20</v>
      </c>
      <c r="P190" s="395">
        <f t="shared" si="468"/>
        <v>6</v>
      </c>
      <c r="Q190" s="395">
        <f>IF(K190="","",VLOOKUP(K190&amp;$Q$7,CSDL_CN!$D$4:$E$264,2,FALSE))</f>
        <v>14</v>
      </c>
      <c r="R190" s="395">
        <f t="array" ref="R190">SUM(IFERROR(N190:Q190,0))</f>
        <v>50</v>
      </c>
      <c r="S190" s="400">
        <v>0.2</v>
      </c>
      <c r="T190" s="400">
        <v>0.2</v>
      </c>
      <c r="U190" s="400">
        <v>0.2</v>
      </c>
      <c r="V190" s="366"/>
      <c r="W190" s="366">
        <f t="shared" si="320"/>
        <v>0</v>
      </c>
      <c r="X190" s="404" t="s">
        <v>484</v>
      </c>
      <c r="Z190" s="410" t="s">
        <v>580</v>
      </c>
    </row>
    <row r="191" ht="135" spans="1:26">
      <c r="A191" s="366">
        <v>72</v>
      </c>
      <c r="B191" s="367" t="s">
        <v>583</v>
      </c>
      <c r="C191" s="367" t="s">
        <v>584</v>
      </c>
      <c r="D191" s="367" t="s">
        <v>585</v>
      </c>
      <c r="E191" s="376">
        <f t="shared" si="314"/>
        <v>40</v>
      </c>
      <c r="F191" s="377">
        <f t="shared" si="464"/>
        <v>8</v>
      </c>
      <c r="G191" s="377">
        <f t="shared" si="465"/>
        <v>16</v>
      </c>
      <c r="H191" s="376">
        <f t="shared" si="466"/>
        <v>4.8</v>
      </c>
      <c r="I191" s="376">
        <f t="shared" si="467"/>
        <v>11.2</v>
      </c>
      <c r="J191" s="376">
        <f t="shared" si="463"/>
        <v>0.227272727272727</v>
      </c>
      <c r="K191" s="24" t="s">
        <v>83</v>
      </c>
      <c r="L191" s="384" t="str">
        <f>IF(K191="","",VLOOKUP(K191,'Định nghĩa Loại Chức năng'!$B$4:$C$92,2,FALSE))</f>
        <v>Xử lý nghiệp vụ trung bình</v>
      </c>
      <c r="M191" s="394" t="s">
        <v>287</v>
      </c>
      <c r="N191" s="395">
        <f>IF(K191="","",VLOOKUP(K191&amp;$N$7,CSDL_CN!$D$4:$E$264,2,FALSE))</f>
        <v>10</v>
      </c>
      <c r="O191" s="395">
        <f>IF(K191="","",VLOOKUP(K191&amp;$O$7,CSDL_CN!$D$4:$E$264,2,FALSE))</f>
        <v>20</v>
      </c>
      <c r="P191" s="395">
        <f t="shared" si="468"/>
        <v>6</v>
      </c>
      <c r="Q191" s="395">
        <f>IF(K191="","",VLOOKUP(K191&amp;$Q$7,CSDL_CN!$D$4:$E$264,2,FALSE))</f>
        <v>14</v>
      </c>
      <c r="R191" s="395">
        <f t="array" ref="R191">SUM(IFERROR(N191:Q191,0))</f>
        <v>50</v>
      </c>
      <c r="S191" s="400">
        <v>0.2</v>
      </c>
      <c r="T191" s="400">
        <v>0.2</v>
      </c>
      <c r="U191" s="400">
        <v>0.2</v>
      </c>
      <c r="V191" s="366"/>
      <c r="W191" s="366">
        <f t="shared" si="320"/>
        <v>0</v>
      </c>
      <c r="X191" s="404" t="s">
        <v>484</v>
      </c>
      <c r="Z191" s="410" t="s">
        <v>586</v>
      </c>
    </row>
    <row r="192" ht="135" spans="1:26">
      <c r="A192" s="366">
        <v>73</v>
      </c>
      <c r="B192" s="367" t="s">
        <v>587</v>
      </c>
      <c r="C192" s="367" t="s">
        <v>588</v>
      </c>
      <c r="D192" s="367" t="s">
        <v>589</v>
      </c>
      <c r="E192" s="376">
        <f t="shared" si="314"/>
        <v>40</v>
      </c>
      <c r="F192" s="377">
        <f t="shared" si="464"/>
        <v>8</v>
      </c>
      <c r="G192" s="377">
        <f t="shared" si="465"/>
        <v>16</v>
      </c>
      <c r="H192" s="376">
        <f t="shared" si="466"/>
        <v>4.8</v>
      </c>
      <c r="I192" s="376">
        <f t="shared" si="467"/>
        <v>11.2</v>
      </c>
      <c r="J192" s="376">
        <f t="shared" si="463"/>
        <v>0.227272727272727</v>
      </c>
      <c r="K192" s="24" t="s">
        <v>83</v>
      </c>
      <c r="L192" s="384" t="str">
        <f>IF(K192="","",VLOOKUP(K192,'Định nghĩa Loại Chức năng'!$B$4:$C$92,2,FALSE))</f>
        <v>Xử lý nghiệp vụ trung bình</v>
      </c>
      <c r="M192" s="394" t="s">
        <v>287</v>
      </c>
      <c r="N192" s="395">
        <f>IF(K192="","",VLOOKUP(K192&amp;$N$7,CSDL_CN!$D$4:$E$264,2,FALSE))</f>
        <v>10</v>
      </c>
      <c r="O192" s="395">
        <f>IF(K192="","",VLOOKUP(K192&amp;$O$7,CSDL_CN!$D$4:$E$264,2,FALSE))</f>
        <v>20</v>
      </c>
      <c r="P192" s="395">
        <f t="shared" si="468"/>
        <v>6</v>
      </c>
      <c r="Q192" s="395">
        <f>IF(K192="","",VLOOKUP(K192&amp;$Q$7,CSDL_CN!$D$4:$E$264,2,FALSE))</f>
        <v>14</v>
      </c>
      <c r="R192" s="395">
        <f t="array" ref="R192">SUM(IFERROR(N192:Q192,0))</f>
        <v>50</v>
      </c>
      <c r="S192" s="400">
        <v>0.2</v>
      </c>
      <c r="T192" s="400">
        <v>0.2</v>
      </c>
      <c r="U192" s="400">
        <v>0.2</v>
      </c>
      <c r="V192" s="366"/>
      <c r="W192" s="366">
        <f t="shared" si="320"/>
        <v>0</v>
      </c>
      <c r="X192" s="404" t="s">
        <v>484</v>
      </c>
      <c r="Z192" s="410" t="s">
        <v>590</v>
      </c>
    </row>
    <row r="193" ht="120" spans="1:26">
      <c r="A193" s="366">
        <v>74</v>
      </c>
      <c r="B193" s="367" t="s">
        <v>591</v>
      </c>
      <c r="C193" s="367" t="s">
        <v>592</v>
      </c>
      <c r="D193" s="367" t="s">
        <v>593</v>
      </c>
      <c r="E193" s="376">
        <f t="shared" si="314"/>
        <v>40</v>
      </c>
      <c r="F193" s="377">
        <f t="shared" si="464"/>
        <v>8</v>
      </c>
      <c r="G193" s="377">
        <f t="shared" si="465"/>
        <v>16</v>
      </c>
      <c r="H193" s="376">
        <f t="shared" si="466"/>
        <v>4.8</v>
      </c>
      <c r="I193" s="376">
        <f t="shared" si="467"/>
        <v>11.2</v>
      </c>
      <c r="J193" s="376">
        <f t="shared" si="463"/>
        <v>0.227272727272727</v>
      </c>
      <c r="K193" s="24" t="s">
        <v>83</v>
      </c>
      <c r="L193" s="384" t="str">
        <f>IF(K193="","",VLOOKUP(K193,'Định nghĩa Loại Chức năng'!$B$4:$C$92,2,FALSE))</f>
        <v>Xử lý nghiệp vụ trung bình</v>
      </c>
      <c r="M193" s="394" t="s">
        <v>287</v>
      </c>
      <c r="N193" s="395">
        <f>IF(K193="","",VLOOKUP(K193&amp;$N$7,CSDL_CN!$D$4:$E$264,2,FALSE))</f>
        <v>10</v>
      </c>
      <c r="O193" s="395">
        <f>IF(K193="","",VLOOKUP(K193&amp;$O$7,CSDL_CN!$D$4:$E$264,2,FALSE))</f>
        <v>20</v>
      </c>
      <c r="P193" s="395">
        <f t="shared" si="468"/>
        <v>6</v>
      </c>
      <c r="Q193" s="395">
        <f>IF(K193="","",VLOOKUP(K193&amp;$Q$7,CSDL_CN!$D$4:$E$264,2,FALSE))</f>
        <v>14</v>
      </c>
      <c r="R193" s="395">
        <f t="array" ref="R193">SUM(IFERROR(N193:Q193,0))</f>
        <v>50</v>
      </c>
      <c r="S193" s="400">
        <v>0.2</v>
      </c>
      <c r="T193" s="400">
        <v>0.2</v>
      </c>
      <c r="U193" s="400">
        <v>0.2</v>
      </c>
      <c r="V193" s="366"/>
      <c r="W193" s="366">
        <f t="shared" si="320"/>
        <v>0</v>
      </c>
      <c r="X193" s="404" t="s">
        <v>484</v>
      </c>
      <c r="Z193" s="436" t="s">
        <v>594</v>
      </c>
    </row>
    <row r="194" ht="105" spans="1:26">
      <c r="A194" s="366">
        <v>75</v>
      </c>
      <c r="B194" s="367" t="s">
        <v>595</v>
      </c>
      <c r="C194" s="367" t="s">
        <v>596</v>
      </c>
      <c r="D194" s="367" t="s">
        <v>597</v>
      </c>
      <c r="E194" s="376">
        <f t="shared" si="314"/>
        <v>40</v>
      </c>
      <c r="F194" s="377">
        <f t="shared" si="464"/>
        <v>8</v>
      </c>
      <c r="G194" s="377">
        <f t="shared" si="465"/>
        <v>16</v>
      </c>
      <c r="H194" s="376">
        <f t="shared" si="466"/>
        <v>4.8</v>
      </c>
      <c r="I194" s="376">
        <f t="shared" si="467"/>
        <v>11.2</v>
      </c>
      <c r="J194" s="376">
        <f t="shared" si="463"/>
        <v>0.227272727272727</v>
      </c>
      <c r="K194" s="24" t="s">
        <v>83</v>
      </c>
      <c r="L194" s="384" t="str">
        <f>IF(K194="","",VLOOKUP(K194,'Định nghĩa Loại Chức năng'!$B$4:$C$92,2,FALSE))</f>
        <v>Xử lý nghiệp vụ trung bình</v>
      </c>
      <c r="M194" s="394" t="s">
        <v>287</v>
      </c>
      <c r="N194" s="395">
        <f>IF(K194="","",VLOOKUP(K194&amp;$N$7,CSDL_CN!$D$4:$E$264,2,FALSE))</f>
        <v>10</v>
      </c>
      <c r="O194" s="395">
        <f>IF(K194="","",VLOOKUP(K194&amp;$O$7,CSDL_CN!$D$4:$E$264,2,FALSE))</f>
        <v>20</v>
      </c>
      <c r="P194" s="395">
        <f t="shared" si="468"/>
        <v>6</v>
      </c>
      <c r="Q194" s="395">
        <f>IF(K194="","",VLOOKUP(K194&amp;$Q$7,CSDL_CN!$D$4:$E$264,2,FALSE))</f>
        <v>14</v>
      </c>
      <c r="R194" s="395">
        <f t="array" ref="R194">SUM(IFERROR(N194:Q194,0))</f>
        <v>50</v>
      </c>
      <c r="S194" s="400">
        <v>0.2</v>
      </c>
      <c r="T194" s="400">
        <v>0.2</v>
      </c>
      <c r="U194" s="400">
        <v>0.2</v>
      </c>
      <c r="V194" s="366"/>
      <c r="W194" s="366">
        <f t="shared" si="320"/>
        <v>0</v>
      </c>
      <c r="X194" s="404" t="s">
        <v>484</v>
      </c>
      <c r="Y194" s="437"/>
      <c r="Z194" s="410" t="s">
        <v>598</v>
      </c>
    </row>
    <row r="195" ht="60" spans="1:26">
      <c r="A195" s="366">
        <v>76</v>
      </c>
      <c r="B195" s="367" t="s">
        <v>599</v>
      </c>
      <c r="C195" s="367" t="s">
        <v>600</v>
      </c>
      <c r="D195" s="367" t="s">
        <v>601</v>
      </c>
      <c r="E195" s="376">
        <f t="shared" si="314"/>
        <v>25.28</v>
      </c>
      <c r="F195" s="377">
        <f t="shared" si="464"/>
        <v>6.4</v>
      </c>
      <c r="G195" s="377">
        <f t="shared" si="465"/>
        <v>9.6</v>
      </c>
      <c r="H195" s="376">
        <f t="shared" si="466"/>
        <v>2.88</v>
      </c>
      <c r="I195" s="376">
        <f t="shared" si="467"/>
        <v>6.4</v>
      </c>
      <c r="J195" s="376">
        <f t="shared" si="463"/>
        <v>0.143636363636364</v>
      </c>
      <c r="K195" s="24" t="s">
        <v>78</v>
      </c>
      <c r="L195" s="384" t="str">
        <f>IF(K195="","",VLOOKUP(K195,'Định nghĩa Loại Chức năng'!$B$4:$C$92,2,FALSE))</f>
        <v>Xử lý nghiệp vụ đơn giản</v>
      </c>
      <c r="M195" s="394" t="s">
        <v>287</v>
      </c>
      <c r="N195" s="395">
        <f>IF(K195="","",VLOOKUP(K195&amp;$N$7,CSDL_CN!$D$4:$E$264,2,FALSE))</f>
        <v>8</v>
      </c>
      <c r="O195" s="395">
        <f>IF(K195="","",VLOOKUP(K195&amp;$O$7,CSDL_CN!$D$4:$E$264,2,FALSE))</f>
        <v>12</v>
      </c>
      <c r="P195" s="395">
        <f t="shared" si="468"/>
        <v>3.6</v>
      </c>
      <c r="Q195" s="395">
        <f>IF(K195="","",VLOOKUP(K195&amp;$Q$7,CSDL_CN!$D$4:$E$264,2,FALSE))</f>
        <v>8</v>
      </c>
      <c r="R195" s="395">
        <f t="array" ref="R195">SUM(IFERROR(N195:Q195,0))</f>
        <v>31.6</v>
      </c>
      <c r="S195" s="400">
        <v>0.2</v>
      </c>
      <c r="T195" s="400">
        <v>0.2</v>
      </c>
      <c r="U195" s="400">
        <v>0.2</v>
      </c>
      <c r="V195" s="366"/>
      <c r="W195" s="366">
        <f t="shared" si="320"/>
        <v>0</v>
      </c>
      <c r="X195" s="404" t="s">
        <v>484</v>
      </c>
      <c r="Z195" s="410" t="s">
        <v>602</v>
      </c>
    </row>
    <row r="196" ht="75" spans="1:26">
      <c r="A196" s="366">
        <v>77</v>
      </c>
      <c r="B196" s="367" t="s">
        <v>603</v>
      </c>
      <c r="C196" s="367" t="s">
        <v>604</v>
      </c>
      <c r="D196" s="367" t="s">
        <v>605</v>
      </c>
      <c r="E196" s="376">
        <f t="shared" si="314"/>
        <v>25.28</v>
      </c>
      <c r="F196" s="377">
        <f t="shared" si="464"/>
        <v>6.4</v>
      </c>
      <c r="G196" s="377">
        <f t="shared" si="465"/>
        <v>9.6</v>
      </c>
      <c r="H196" s="376">
        <f t="shared" si="466"/>
        <v>2.88</v>
      </c>
      <c r="I196" s="376">
        <f t="shared" si="467"/>
        <v>6.4</v>
      </c>
      <c r="J196" s="376">
        <f t="shared" si="463"/>
        <v>0.143636363636364</v>
      </c>
      <c r="K196" s="24" t="s">
        <v>78</v>
      </c>
      <c r="L196" s="384" t="str">
        <f>IF(K196="","",VLOOKUP(K196,'Định nghĩa Loại Chức năng'!$B$4:$C$92,2,FALSE))</f>
        <v>Xử lý nghiệp vụ đơn giản</v>
      </c>
      <c r="M196" s="394" t="s">
        <v>287</v>
      </c>
      <c r="N196" s="395">
        <f>IF(K196="","",VLOOKUP(K196&amp;$N$7,CSDL_CN!$D$4:$E$264,2,FALSE))</f>
        <v>8</v>
      </c>
      <c r="O196" s="395">
        <f>IF(K196="","",VLOOKUP(K196&amp;$O$7,CSDL_CN!$D$4:$E$264,2,FALSE))</f>
        <v>12</v>
      </c>
      <c r="P196" s="395">
        <f t="shared" si="468"/>
        <v>3.6</v>
      </c>
      <c r="Q196" s="395">
        <f>IF(K196="","",VLOOKUP(K196&amp;$Q$7,CSDL_CN!$D$4:$E$264,2,FALSE))</f>
        <v>8</v>
      </c>
      <c r="R196" s="395">
        <f t="array" ref="R196">SUM(IFERROR(N196:Q196,0))</f>
        <v>31.6</v>
      </c>
      <c r="S196" s="400">
        <v>0.2</v>
      </c>
      <c r="T196" s="400">
        <v>0.2</v>
      </c>
      <c r="U196" s="400">
        <v>0.2</v>
      </c>
      <c r="V196" s="366"/>
      <c r="W196" s="366">
        <f t="shared" si="320"/>
        <v>0</v>
      </c>
      <c r="X196" s="404" t="s">
        <v>484</v>
      </c>
      <c r="Z196" s="410" t="s">
        <v>606</v>
      </c>
    </row>
    <row r="197" ht="60" spans="1:26">
      <c r="A197" s="366">
        <v>78</v>
      </c>
      <c r="B197" s="367" t="s">
        <v>607</v>
      </c>
      <c r="C197" s="367" t="s">
        <v>608</v>
      </c>
      <c r="D197" s="367" t="s">
        <v>609</v>
      </c>
      <c r="E197" s="376">
        <f t="shared" si="314"/>
        <v>25.28</v>
      </c>
      <c r="F197" s="377">
        <f t="shared" si="464"/>
        <v>6.4</v>
      </c>
      <c r="G197" s="377">
        <f t="shared" si="465"/>
        <v>9.6</v>
      </c>
      <c r="H197" s="376">
        <f t="shared" si="466"/>
        <v>2.88</v>
      </c>
      <c r="I197" s="376">
        <f t="shared" si="467"/>
        <v>6.4</v>
      </c>
      <c r="J197" s="376">
        <f t="shared" si="463"/>
        <v>0.143636363636364</v>
      </c>
      <c r="K197" s="24" t="s">
        <v>78</v>
      </c>
      <c r="L197" s="384" t="str">
        <f>IF(K197="","",VLOOKUP(K197,'Định nghĩa Loại Chức năng'!$B$4:$C$92,2,FALSE))</f>
        <v>Xử lý nghiệp vụ đơn giản</v>
      </c>
      <c r="M197" s="394" t="s">
        <v>287</v>
      </c>
      <c r="N197" s="395">
        <f>IF(K197="","",VLOOKUP(K197&amp;$N$7,CSDL_CN!$D$4:$E$264,2,FALSE))</f>
        <v>8</v>
      </c>
      <c r="O197" s="395">
        <f>IF(K197="","",VLOOKUP(K197&amp;$O$7,CSDL_CN!$D$4:$E$264,2,FALSE))</f>
        <v>12</v>
      </c>
      <c r="P197" s="395">
        <f t="shared" si="468"/>
        <v>3.6</v>
      </c>
      <c r="Q197" s="395">
        <f>IF(K197="","",VLOOKUP(K197&amp;$Q$7,CSDL_CN!$D$4:$E$264,2,FALSE))</f>
        <v>8</v>
      </c>
      <c r="R197" s="395">
        <f t="array" ref="R197">SUM(IFERROR(N197:Q197,0))</f>
        <v>31.6</v>
      </c>
      <c r="S197" s="400">
        <v>0.2</v>
      </c>
      <c r="T197" s="400">
        <v>0.2</v>
      </c>
      <c r="U197" s="400">
        <v>0.2</v>
      </c>
      <c r="V197" s="366"/>
      <c r="W197" s="366">
        <f t="shared" si="320"/>
        <v>0</v>
      </c>
      <c r="X197" s="404" t="s">
        <v>484</v>
      </c>
      <c r="Z197" s="410" t="s">
        <v>610</v>
      </c>
    </row>
    <row r="198" ht="75" spans="1:26">
      <c r="A198" s="366">
        <v>79</v>
      </c>
      <c r="B198" s="367" t="s">
        <v>611</v>
      </c>
      <c r="C198" s="367" t="s">
        <v>612</v>
      </c>
      <c r="D198" s="367" t="s">
        <v>613</v>
      </c>
      <c r="E198" s="376">
        <f t="shared" si="314"/>
        <v>25.28</v>
      </c>
      <c r="F198" s="377">
        <f t="shared" ref="F198:F199" si="469">N198*(1-$S198)</f>
        <v>6.4</v>
      </c>
      <c r="G198" s="377">
        <f t="shared" ref="G198:G199" si="470">O198*(1-$T198)</f>
        <v>9.6</v>
      </c>
      <c r="H198" s="376">
        <f t="shared" ref="H198:H199" si="471">P198*(1-$T198)</f>
        <v>2.88</v>
      </c>
      <c r="I198" s="376">
        <f t="shared" ref="I198:I199" si="472">Q198*(1-$U198)</f>
        <v>6.4</v>
      </c>
      <c r="J198" s="376">
        <f t="shared" si="463"/>
        <v>0.143636363636364</v>
      </c>
      <c r="K198" s="24" t="s">
        <v>78</v>
      </c>
      <c r="L198" s="384" t="str">
        <f>IF(K198="","",VLOOKUP(K198,'Định nghĩa Loại Chức năng'!$B$4:$C$92,2,FALSE))</f>
        <v>Xử lý nghiệp vụ đơn giản</v>
      </c>
      <c r="M198" s="394" t="s">
        <v>287</v>
      </c>
      <c r="N198" s="395">
        <f>IF(K198="","",VLOOKUP(K198&amp;$N$7,CSDL_CN!$D$4:$E$264,2,FALSE))</f>
        <v>8</v>
      </c>
      <c r="O198" s="395">
        <f>IF(K198="","",VLOOKUP(K198&amp;$O$7,CSDL_CN!$D$4:$E$264,2,FALSE))</f>
        <v>12</v>
      </c>
      <c r="P198" s="395">
        <f t="shared" ref="P198:P199" si="473">IF(M198="Có",O198*30%,0)</f>
        <v>3.6</v>
      </c>
      <c r="Q198" s="395">
        <f>IF(K198="","",VLOOKUP(K198&amp;$Q$7,CSDL_CN!$D$4:$E$264,2,FALSE))</f>
        <v>8</v>
      </c>
      <c r="R198" s="395">
        <f t="array" ref="R198">SUM(IFERROR(N198:Q198,0))</f>
        <v>31.6</v>
      </c>
      <c r="S198" s="400">
        <v>0.2</v>
      </c>
      <c r="T198" s="400">
        <v>0.2</v>
      </c>
      <c r="U198" s="400">
        <v>0.2</v>
      </c>
      <c r="V198" s="366"/>
      <c r="W198" s="366">
        <f t="shared" si="320"/>
        <v>0</v>
      </c>
      <c r="X198" s="404" t="s">
        <v>484</v>
      </c>
      <c r="Z198" s="410" t="s">
        <v>610</v>
      </c>
    </row>
    <row r="199" ht="45" spans="1:26">
      <c r="A199" s="366">
        <v>80</v>
      </c>
      <c r="B199" s="367" t="s">
        <v>614</v>
      </c>
      <c r="C199" s="367" t="s">
        <v>615</v>
      </c>
      <c r="D199" s="367" t="s">
        <v>616</v>
      </c>
      <c r="E199" s="376">
        <f t="shared" si="314"/>
        <v>25.28</v>
      </c>
      <c r="F199" s="377">
        <f t="shared" si="469"/>
        <v>6.4</v>
      </c>
      <c r="G199" s="377">
        <f t="shared" si="470"/>
        <v>9.6</v>
      </c>
      <c r="H199" s="376">
        <f t="shared" si="471"/>
        <v>2.88</v>
      </c>
      <c r="I199" s="376">
        <f t="shared" si="472"/>
        <v>6.4</v>
      </c>
      <c r="J199" s="376">
        <f t="shared" si="463"/>
        <v>0.143636363636364</v>
      </c>
      <c r="K199" s="24" t="s">
        <v>78</v>
      </c>
      <c r="L199" s="384" t="str">
        <f>IF(K199="","",VLOOKUP(K199,'Định nghĩa Loại Chức năng'!$B$4:$C$92,2,FALSE))</f>
        <v>Xử lý nghiệp vụ đơn giản</v>
      </c>
      <c r="M199" s="394" t="s">
        <v>287</v>
      </c>
      <c r="N199" s="395">
        <f>IF(K199="","",VLOOKUP(K199&amp;$N$7,CSDL_CN!$D$4:$E$264,2,FALSE))</f>
        <v>8</v>
      </c>
      <c r="O199" s="395">
        <f>IF(K199="","",VLOOKUP(K199&amp;$O$7,CSDL_CN!$D$4:$E$264,2,FALSE))</f>
        <v>12</v>
      </c>
      <c r="P199" s="395">
        <f t="shared" si="473"/>
        <v>3.6</v>
      </c>
      <c r="Q199" s="395">
        <f>IF(K199="","",VLOOKUP(K199&amp;$Q$7,CSDL_CN!$D$4:$E$264,2,FALSE))</f>
        <v>8</v>
      </c>
      <c r="R199" s="395">
        <f t="array" ref="R199">SUM(IFERROR(N199:Q199,0))</f>
        <v>31.6</v>
      </c>
      <c r="S199" s="400">
        <v>0.2</v>
      </c>
      <c r="T199" s="400">
        <v>0.2</v>
      </c>
      <c r="U199" s="400">
        <v>0.2</v>
      </c>
      <c r="V199" s="366"/>
      <c r="W199" s="366">
        <f t="shared" si="320"/>
        <v>0</v>
      </c>
      <c r="X199" s="404" t="s">
        <v>484</v>
      </c>
      <c r="Z199" s="410" t="s">
        <v>617</v>
      </c>
    </row>
    <row r="200" ht="60" spans="1:26">
      <c r="A200" s="366">
        <v>81</v>
      </c>
      <c r="B200" s="367" t="s">
        <v>618</v>
      </c>
      <c r="C200" s="367" t="s">
        <v>619</v>
      </c>
      <c r="D200" s="367" t="s">
        <v>620</v>
      </c>
      <c r="E200" s="376">
        <f t="shared" ref="E200:E214" si="474">SUM(F200:I200)</f>
        <v>25.28</v>
      </c>
      <c r="F200" s="377">
        <f t="shared" ref="F200:F214" si="475">N200*(1-$S200)</f>
        <v>6.4</v>
      </c>
      <c r="G200" s="377">
        <f t="shared" ref="G200:G214" si="476">O200*(1-$T200)</f>
        <v>9.6</v>
      </c>
      <c r="H200" s="376">
        <f t="shared" ref="H200:H214" si="477">P200*(1-$T200)</f>
        <v>2.88</v>
      </c>
      <c r="I200" s="376">
        <f t="shared" ref="I200:I214" si="478">Q200*(1-$U200)</f>
        <v>6.4</v>
      </c>
      <c r="J200" s="376">
        <f t="shared" ref="J200:J214" si="479">E200/22/8</f>
        <v>0.143636363636364</v>
      </c>
      <c r="K200" s="24" t="s">
        <v>78</v>
      </c>
      <c r="L200" s="384" t="str">
        <f>IF(K200="","",VLOOKUP(K200,'Định nghĩa Loại Chức năng'!$B$4:$C$92,2,FALSE))</f>
        <v>Xử lý nghiệp vụ đơn giản</v>
      </c>
      <c r="M200" s="394" t="s">
        <v>287</v>
      </c>
      <c r="N200" s="395">
        <f>IF(K200="","",VLOOKUP(K200&amp;$N$7,CSDL_CN!$D$4:$E$264,2,FALSE))</f>
        <v>8</v>
      </c>
      <c r="O200" s="395">
        <f>IF(K200="","",VLOOKUP(K200&amp;$O$7,CSDL_CN!$D$4:$E$264,2,FALSE))</f>
        <v>12</v>
      </c>
      <c r="P200" s="395">
        <f t="shared" ref="P200:P214" si="480">IF(M200="Có",O200*30%,0)</f>
        <v>3.6</v>
      </c>
      <c r="Q200" s="395">
        <f>IF(K200="","",VLOOKUP(K200&amp;$Q$7,CSDL_CN!$D$4:$E$264,2,FALSE))</f>
        <v>8</v>
      </c>
      <c r="R200" s="395">
        <f t="array" ref="R200">SUM(IFERROR(N200:Q200,0))</f>
        <v>31.6</v>
      </c>
      <c r="S200" s="400">
        <v>0.2</v>
      </c>
      <c r="T200" s="400">
        <v>0.2</v>
      </c>
      <c r="U200" s="400">
        <v>0.2</v>
      </c>
      <c r="V200" s="366"/>
      <c r="W200" s="366">
        <f t="shared" ref="W200:W214" si="481">IF(X200="OS",E200,0)</f>
        <v>0</v>
      </c>
      <c r="X200" s="404" t="s">
        <v>484</v>
      </c>
      <c r="Z200" s="410" t="s">
        <v>621</v>
      </c>
    </row>
    <row r="201" ht="45" spans="1:26">
      <c r="A201" s="366">
        <v>82</v>
      </c>
      <c r="B201" s="367" t="s">
        <v>622</v>
      </c>
      <c r="C201" s="367" t="s">
        <v>623</v>
      </c>
      <c r="D201" s="367" t="s">
        <v>624</v>
      </c>
      <c r="E201" s="376">
        <f t="shared" si="474"/>
        <v>25.28</v>
      </c>
      <c r="F201" s="377">
        <f t="shared" si="475"/>
        <v>6.4</v>
      </c>
      <c r="G201" s="377">
        <f t="shared" si="476"/>
        <v>9.6</v>
      </c>
      <c r="H201" s="376">
        <f t="shared" si="477"/>
        <v>2.88</v>
      </c>
      <c r="I201" s="376">
        <f t="shared" si="478"/>
        <v>6.4</v>
      </c>
      <c r="J201" s="376">
        <f t="shared" si="479"/>
        <v>0.143636363636364</v>
      </c>
      <c r="K201" s="24" t="s">
        <v>78</v>
      </c>
      <c r="L201" s="384" t="str">
        <f>IF(K201="","",VLOOKUP(K201,'Định nghĩa Loại Chức năng'!$B$4:$C$92,2,FALSE))</f>
        <v>Xử lý nghiệp vụ đơn giản</v>
      </c>
      <c r="M201" s="394" t="s">
        <v>287</v>
      </c>
      <c r="N201" s="395">
        <f>IF(K201="","",VLOOKUP(K201&amp;$N$7,CSDL_CN!$D$4:$E$264,2,FALSE))</f>
        <v>8</v>
      </c>
      <c r="O201" s="395">
        <f>IF(K201="","",VLOOKUP(K201&amp;$O$7,CSDL_CN!$D$4:$E$264,2,FALSE))</f>
        <v>12</v>
      </c>
      <c r="P201" s="395">
        <f t="shared" si="480"/>
        <v>3.6</v>
      </c>
      <c r="Q201" s="395">
        <f>IF(K201="","",VLOOKUP(K201&amp;$Q$7,CSDL_CN!$D$4:$E$264,2,FALSE))</f>
        <v>8</v>
      </c>
      <c r="R201" s="395">
        <f t="array" ref="R201">SUM(IFERROR(N201:Q201,0))</f>
        <v>31.6</v>
      </c>
      <c r="S201" s="400">
        <v>0.2</v>
      </c>
      <c r="T201" s="400">
        <v>0.2</v>
      </c>
      <c r="U201" s="400">
        <v>0.2</v>
      </c>
      <c r="V201" s="366"/>
      <c r="W201" s="366">
        <f t="shared" si="481"/>
        <v>0</v>
      </c>
      <c r="X201" s="404" t="s">
        <v>484</v>
      </c>
      <c r="Z201" s="410" t="s">
        <v>625</v>
      </c>
    </row>
    <row r="202" ht="45" spans="1:26">
      <c r="A202" s="366">
        <v>83</v>
      </c>
      <c r="B202" s="367" t="s">
        <v>626</v>
      </c>
      <c r="C202" s="367" t="s">
        <v>627</v>
      </c>
      <c r="D202" s="367" t="s">
        <v>628</v>
      </c>
      <c r="E202" s="376">
        <f t="shared" si="474"/>
        <v>25.28</v>
      </c>
      <c r="F202" s="377">
        <f t="shared" si="475"/>
        <v>6.4</v>
      </c>
      <c r="G202" s="377">
        <f t="shared" si="476"/>
        <v>9.6</v>
      </c>
      <c r="H202" s="376">
        <f t="shared" si="477"/>
        <v>2.88</v>
      </c>
      <c r="I202" s="376">
        <f t="shared" si="478"/>
        <v>6.4</v>
      </c>
      <c r="J202" s="376">
        <f t="shared" si="479"/>
        <v>0.143636363636364</v>
      </c>
      <c r="K202" s="24" t="s">
        <v>78</v>
      </c>
      <c r="L202" s="384" t="str">
        <f>IF(K202="","",VLOOKUP(K202,'Định nghĩa Loại Chức năng'!$B$4:$C$92,2,FALSE))</f>
        <v>Xử lý nghiệp vụ đơn giản</v>
      </c>
      <c r="M202" s="394" t="s">
        <v>287</v>
      </c>
      <c r="N202" s="395">
        <f>IF(K202="","",VLOOKUP(K202&amp;$N$7,CSDL_CN!$D$4:$E$264,2,FALSE))</f>
        <v>8</v>
      </c>
      <c r="O202" s="395">
        <f>IF(K202="","",VLOOKUP(K202&amp;$O$7,CSDL_CN!$D$4:$E$264,2,FALSE))</f>
        <v>12</v>
      </c>
      <c r="P202" s="395">
        <f t="shared" si="480"/>
        <v>3.6</v>
      </c>
      <c r="Q202" s="395">
        <f>IF(K202="","",VLOOKUP(K202&amp;$Q$7,CSDL_CN!$D$4:$E$264,2,FALSE))</f>
        <v>8</v>
      </c>
      <c r="R202" s="395">
        <f t="array" ref="R202">SUM(IFERROR(N202:Q202,0))</f>
        <v>31.6</v>
      </c>
      <c r="S202" s="400">
        <v>0.2</v>
      </c>
      <c r="T202" s="400">
        <v>0.2</v>
      </c>
      <c r="U202" s="400">
        <v>0.2</v>
      </c>
      <c r="V202" s="366"/>
      <c r="W202" s="366">
        <f t="shared" si="481"/>
        <v>0</v>
      </c>
      <c r="X202" s="404" t="s">
        <v>484</v>
      </c>
      <c r="Z202" s="410" t="s">
        <v>629</v>
      </c>
    </row>
    <row r="203" ht="75" spans="1:26">
      <c r="A203" s="366">
        <v>84</v>
      </c>
      <c r="B203" s="367" t="s">
        <v>630</v>
      </c>
      <c r="C203" s="367" t="s">
        <v>631</v>
      </c>
      <c r="D203" s="367" t="s">
        <v>632</v>
      </c>
      <c r="E203" s="376">
        <f t="shared" si="474"/>
        <v>25.28</v>
      </c>
      <c r="F203" s="377">
        <f t="shared" si="475"/>
        <v>6.4</v>
      </c>
      <c r="G203" s="377">
        <f t="shared" si="476"/>
        <v>9.6</v>
      </c>
      <c r="H203" s="376">
        <f t="shared" si="477"/>
        <v>2.88</v>
      </c>
      <c r="I203" s="376">
        <f t="shared" si="478"/>
        <v>6.4</v>
      </c>
      <c r="J203" s="376">
        <f t="shared" si="479"/>
        <v>0.143636363636364</v>
      </c>
      <c r="K203" s="24" t="s">
        <v>78</v>
      </c>
      <c r="L203" s="384" t="str">
        <f>IF(K203="","",VLOOKUP(K203,'Định nghĩa Loại Chức năng'!$B$4:$C$92,2,FALSE))</f>
        <v>Xử lý nghiệp vụ đơn giản</v>
      </c>
      <c r="M203" s="394" t="s">
        <v>287</v>
      </c>
      <c r="N203" s="395">
        <f>IF(K203="","",VLOOKUP(K203&amp;$N$7,CSDL_CN!$D$4:$E$264,2,FALSE))</f>
        <v>8</v>
      </c>
      <c r="O203" s="395">
        <f>IF(K203="","",VLOOKUP(K203&amp;$O$7,CSDL_CN!$D$4:$E$264,2,FALSE))</f>
        <v>12</v>
      </c>
      <c r="P203" s="395">
        <f t="shared" si="480"/>
        <v>3.6</v>
      </c>
      <c r="Q203" s="395">
        <f>IF(K203="","",VLOOKUP(K203&amp;$Q$7,CSDL_CN!$D$4:$E$264,2,FALSE))</f>
        <v>8</v>
      </c>
      <c r="R203" s="395">
        <f t="array" ref="R203">SUM(IFERROR(N203:Q203,0))</f>
        <v>31.6</v>
      </c>
      <c r="S203" s="400">
        <v>0.2</v>
      </c>
      <c r="T203" s="400">
        <v>0.2</v>
      </c>
      <c r="U203" s="400">
        <v>0.2</v>
      </c>
      <c r="V203" s="366"/>
      <c r="W203" s="366">
        <f t="shared" si="481"/>
        <v>0</v>
      </c>
      <c r="X203" s="404" t="s">
        <v>484</v>
      </c>
      <c r="Z203" s="410" t="s">
        <v>633</v>
      </c>
    </row>
    <row r="204" ht="60" spans="1:26">
      <c r="A204" s="366">
        <v>85</v>
      </c>
      <c r="B204" s="367" t="s">
        <v>634</v>
      </c>
      <c r="C204" s="367" t="s">
        <v>635</v>
      </c>
      <c r="D204" s="367" t="s">
        <v>636</v>
      </c>
      <c r="E204" s="376">
        <f t="shared" si="474"/>
        <v>25.28</v>
      </c>
      <c r="F204" s="377">
        <f t="shared" si="475"/>
        <v>6.4</v>
      </c>
      <c r="G204" s="377">
        <f t="shared" si="476"/>
        <v>9.6</v>
      </c>
      <c r="H204" s="376">
        <f t="shared" si="477"/>
        <v>2.88</v>
      </c>
      <c r="I204" s="376">
        <f t="shared" si="478"/>
        <v>6.4</v>
      </c>
      <c r="J204" s="376">
        <f t="shared" si="479"/>
        <v>0.143636363636364</v>
      </c>
      <c r="K204" s="24" t="s">
        <v>78</v>
      </c>
      <c r="L204" s="384" t="str">
        <f>IF(K204="","",VLOOKUP(K204,'Định nghĩa Loại Chức năng'!$B$4:$C$92,2,FALSE))</f>
        <v>Xử lý nghiệp vụ đơn giản</v>
      </c>
      <c r="M204" s="394" t="s">
        <v>287</v>
      </c>
      <c r="N204" s="395">
        <f>IF(K204="","",VLOOKUP(K204&amp;$N$7,CSDL_CN!$D$4:$E$264,2,FALSE))</f>
        <v>8</v>
      </c>
      <c r="O204" s="395">
        <f>IF(K204="","",VLOOKUP(K204&amp;$O$7,CSDL_CN!$D$4:$E$264,2,FALSE))</f>
        <v>12</v>
      </c>
      <c r="P204" s="395">
        <f t="shared" si="480"/>
        <v>3.6</v>
      </c>
      <c r="Q204" s="395">
        <f>IF(K204="","",VLOOKUP(K204&amp;$Q$7,CSDL_CN!$D$4:$E$264,2,FALSE))</f>
        <v>8</v>
      </c>
      <c r="R204" s="395">
        <f t="array" ref="R204">SUM(IFERROR(N204:Q204,0))</f>
        <v>31.6</v>
      </c>
      <c r="S204" s="400">
        <v>0.2</v>
      </c>
      <c r="T204" s="400">
        <v>0.2</v>
      </c>
      <c r="U204" s="400">
        <v>0.2</v>
      </c>
      <c r="V204" s="366"/>
      <c r="W204" s="366">
        <f t="shared" si="481"/>
        <v>0</v>
      </c>
      <c r="X204" s="404" t="s">
        <v>484</v>
      </c>
      <c r="Z204" s="410" t="s">
        <v>633</v>
      </c>
    </row>
    <row r="205" ht="75" spans="1:26">
      <c r="A205" s="366">
        <v>86</v>
      </c>
      <c r="B205" s="367" t="s">
        <v>637</v>
      </c>
      <c r="C205" s="367" t="s">
        <v>638</v>
      </c>
      <c r="D205" s="367" t="s">
        <v>639</v>
      </c>
      <c r="E205" s="376">
        <f t="shared" si="474"/>
        <v>25.28</v>
      </c>
      <c r="F205" s="377">
        <f t="shared" si="475"/>
        <v>6.4</v>
      </c>
      <c r="G205" s="377">
        <f t="shared" si="476"/>
        <v>9.6</v>
      </c>
      <c r="H205" s="376">
        <f t="shared" si="477"/>
        <v>2.88</v>
      </c>
      <c r="I205" s="376">
        <f t="shared" si="478"/>
        <v>6.4</v>
      </c>
      <c r="J205" s="376">
        <f t="shared" si="479"/>
        <v>0.143636363636364</v>
      </c>
      <c r="K205" s="24" t="s">
        <v>78</v>
      </c>
      <c r="L205" s="384" t="str">
        <f>IF(K205="","",VLOOKUP(K205,'Định nghĩa Loại Chức năng'!$B$4:$C$92,2,FALSE))</f>
        <v>Xử lý nghiệp vụ đơn giản</v>
      </c>
      <c r="M205" s="394" t="s">
        <v>287</v>
      </c>
      <c r="N205" s="395">
        <f>IF(K205="","",VLOOKUP(K205&amp;$N$7,CSDL_CN!$D$4:$E$264,2,FALSE))</f>
        <v>8</v>
      </c>
      <c r="O205" s="395">
        <f>IF(K205="","",VLOOKUP(K205&amp;$O$7,CSDL_CN!$D$4:$E$264,2,FALSE))</f>
        <v>12</v>
      </c>
      <c r="P205" s="395">
        <f t="shared" si="480"/>
        <v>3.6</v>
      </c>
      <c r="Q205" s="395">
        <f>IF(K205="","",VLOOKUP(K205&amp;$Q$7,CSDL_CN!$D$4:$E$264,2,FALSE))</f>
        <v>8</v>
      </c>
      <c r="R205" s="395">
        <f t="array" ref="R205">SUM(IFERROR(N205:Q205,0))</f>
        <v>31.6</v>
      </c>
      <c r="S205" s="400">
        <v>0.2</v>
      </c>
      <c r="T205" s="400">
        <v>0.2</v>
      </c>
      <c r="U205" s="400">
        <v>0.2</v>
      </c>
      <c r="V205" s="366"/>
      <c r="W205" s="366">
        <f t="shared" si="481"/>
        <v>0</v>
      </c>
      <c r="X205" s="404" t="s">
        <v>484</v>
      </c>
      <c r="Z205" s="410" t="s">
        <v>633</v>
      </c>
    </row>
    <row r="206" ht="60" spans="1:26">
      <c r="A206" s="366">
        <v>87</v>
      </c>
      <c r="B206" s="367" t="s">
        <v>640</v>
      </c>
      <c r="C206" s="367" t="s">
        <v>641</v>
      </c>
      <c r="D206" s="367" t="s">
        <v>642</v>
      </c>
      <c r="E206" s="376">
        <f t="shared" si="474"/>
        <v>25.28</v>
      </c>
      <c r="F206" s="377">
        <f t="shared" si="475"/>
        <v>6.4</v>
      </c>
      <c r="G206" s="377">
        <f t="shared" si="476"/>
        <v>9.6</v>
      </c>
      <c r="H206" s="376">
        <f t="shared" si="477"/>
        <v>2.88</v>
      </c>
      <c r="I206" s="376">
        <f t="shared" si="478"/>
        <v>6.4</v>
      </c>
      <c r="J206" s="376">
        <f t="shared" si="479"/>
        <v>0.143636363636364</v>
      </c>
      <c r="K206" s="24" t="s">
        <v>78</v>
      </c>
      <c r="L206" s="384" t="str">
        <f>IF(K206="","",VLOOKUP(K206,'Định nghĩa Loại Chức năng'!$B$4:$C$92,2,FALSE))</f>
        <v>Xử lý nghiệp vụ đơn giản</v>
      </c>
      <c r="M206" s="394" t="s">
        <v>287</v>
      </c>
      <c r="N206" s="395">
        <f>IF(K206="","",VLOOKUP(K206&amp;$N$7,CSDL_CN!$D$4:$E$264,2,FALSE))</f>
        <v>8</v>
      </c>
      <c r="O206" s="395">
        <f>IF(K206="","",VLOOKUP(K206&amp;$O$7,CSDL_CN!$D$4:$E$264,2,FALSE))</f>
        <v>12</v>
      </c>
      <c r="P206" s="395">
        <f t="shared" si="480"/>
        <v>3.6</v>
      </c>
      <c r="Q206" s="395">
        <f>IF(K206="","",VLOOKUP(K206&amp;$Q$7,CSDL_CN!$D$4:$E$264,2,FALSE))</f>
        <v>8</v>
      </c>
      <c r="R206" s="395">
        <f t="array" ref="R206">SUM(IFERROR(N206:Q206,0))</f>
        <v>31.6</v>
      </c>
      <c r="S206" s="400">
        <v>0.2</v>
      </c>
      <c r="T206" s="400">
        <v>0.2</v>
      </c>
      <c r="U206" s="400">
        <v>0.2</v>
      </c>
      <c r="V206" s="366"/>
      <c r="W206" s="366">
        <f t="shared" si="481"/>
        <v>0</v>
      </c>
      <c r="X206" s="404" t="s">
        <v>484</v>
      </c>
      <c r="Z206" s="410" t="s">
        <v>633</v>
      </c>
    </row>
    <row r="207" ht="60" spans="1:26">
      <c r="A207" s="366">
        <v>88</v>
      </c>
      <c r="B207" s="367" t="s">
        <v>643</v>
      </c>
      <c r="C207" s="367" t="s">
        <v>644</v>
      </c>
      <c r="D207" s="367" t="s">
        <v>645</v>
      </c>
      <c r="E207" s="376">
        <f t="shared" si="474"/>
        <v>25.28</v>
      </c>
      <c r="F207" s="377">
        <f t="shared" si="475"/>
        <v>6.4</v>
      </c>
      <c r="G207" s="377">
        <f t="shared" si="476"/>
        <v>9.6</v>
      </c>
      <c r="H207" s="376">
        <f t="shared" si="477"/>
        <v>2.88</v>
      </c>
      <c r="I207" s="376">
        <f t="shared" si="478"/>
        <v>6.4</v>
      </c>
      <c r="J207" s="376">
        <f t="shared" si="479"/>
        <v>0.143636363636364</v>
      </c>
      <c r="K207" s="24" t="s">
        <v>78</v>
      </c>
      <c r="L207" s="384" t="str">
        <f>IF(K207="","",VLOOKUP(K207,'Định nghĩa Loại Chức năng'!$B$4:$C$92,2,FALSE))</f>
        <v>Xử lý nghiệp vụ đơn giản</v>
      </c>
      <c r="M207" s="394" t="s">
        <v>287</v>
      </c>
      <c r="N207" s="395">
        <f>IF(K207="","",VLOOKUP(K207&amp;$N$7,CSDL_CN!$D$4:$E$264,2,FALSE))</f>
        <v>8</v>
      </c>
      <c r="O207" s="395">
        <f>IF(K207="","",VLOOKUP(K207&amp;$O$7,CSDL_CN!$D$4:$E$264,2,FALSE))</f>
        <v>12</v>
      </c>
      <c r="P207" s="395">
        <f t="shared" si="480"/>
        <v>3.6</v>
      </c>
      <c r="Q207" s="395">
        <f>IF(K207="","",VLOOKUP(K207&amp;$Q$7,CSDL_CN!$D$4:$E$264,2,FALSE))</f>
        <v>8</v>
      </c>
      <c r="R207" s="395">
        <f t="array" ref="R207">SUM(IFERROR(N207:Q207,0))</f>
        <v>31.6</v>
      </c>
      <c r="S207" s="400">
        <v>0.2</v>
      </c>
      <c r="T207" s="400">
        <v>0.2</v>
      </c>
      <c r="U207" s="400">
        <v>0.2</v>
      </c>
      <c r="V207" s="366"/>
      <c r="W207" s="366">
        <f t="shared" si="481"/>
        <v>0</v>
      </c>
      <c r="X207" s="404" t="s">
        <v>484</v>
      </c>
      <c r="Z207" s="410" t="s">
        <v>633</v>
      </c>
    </row>
    <row r="208" ht="75" spans="1:26">
      <c r="A208" s="366">
        <v>89</v>
      </c>
      <c r="B208" s="367" t="s">
        <v>646</v>
      </c>
      <c r="C208" s="367" t="s">
        <v>647</v>
      </c>
      <c r="D208" s="367" t="s">
        <v>648</v>
      </c>
      <c r="E208" s="376">
        <f t="shared" si="474"/>
        <v>25.28</v>
      </c>
      <c r="F208" s="377">
        <f t="shared" si="475"/>
        <v>6.4</v>
      </c>
      <c r="G208" s="377">
        <f t="shared" si="476"/>
        <v>9.6</v>
      </c>
      <c r="H208" s="376">
        <f t="shared" si="477"/>
        <v>2.88</v>
      </c>
      <c r="I208" s="376">
        <f t="shared" si="478"/>
        <v>6.4</v>
      </c>
      <c r="J208" s="376">
        <f t="shared" si="479"/>
        <v>0.143636363636364</v>
      </c>
      <c r="K208" s="24" t="s">
        <v>78</v>
      </c>
      <c r="L208" s="384" t="str">
        <f>IF(K208="","",VLOOKUP(K208,'Định nghĩa Loại Chức năng'!$B$4:$C$92,2,FALSE))</f>
        <v>Xử lý nghiệp vụ đơn giản</v>
      </c>
      <c r="M208" s="394" t="s">
        <v>287</v>
      </c>
      <c r="N208" s="395">
        <f>IF(K208="","",VLOOKUP(K208&amp;$N$7,CSDL_CN!$D$4:$E$264,2,FALSE))</f>
        <v>8</v>
      </c>
      <c r="O208" s="395">
        <f>IF(K208="","",VLOOKUP(K208&amp;$O$7,CSDL_CN!$D$4:$E$264,2,FALSE))</f>
        <v>12</v>
      </c>
      <c r="P208" s="395">
        <f t="shared" si="480"/>
        <v>3.6</v>
      </c>
      <c r="Q208" s="395">
        <f>IF(K208="","",VLOOKUP(K208&amp;$Q$7,CSDL_CN!$D$4:$E$264,2,FALSE))</f>
        <v>8</v>
      </c>
      <c r="R208" s="395">
        <f t="array" ref="R208">SUM(IFERROR(N208:Q208,0))</f>
        <v>31.6</v>
      </c>
      <c r="S208" s="400">
        <v>0.2</v>
      </c>
      <c r="T208" s="400">
        <v>0.2</v>
      </c>
      <c r="U208" s="400">
        <v>0.2</v>
      </c>
      <c r="V208" s="366"/>
      <c r="W208" s="366">
        <f t="shared" si="481"/>
        <v>0</v>
      </c>
      <c r="X208" s="404" t="s">
        <v>484</v>
      </c>
      <c r="Z208" s="410" t="s">
        <v>633</v>
      </c>
    </row>
    <row r="209" ht="75" spans="1:26">
      <c r="A209" s="366">
        <v>90</v>
      </c>
      <c r="B209" s="367" t="s">
        <v>649</v>
      </c>
      <c r="C209" s="367" t="s">
        <v>650</v>
      </c>
      <c r="D209" s="367" t="s">
        <v>651</v>
      </c>
      <c r="E209" s="376">
        <f t="shared" si="474"/>
        <v>25.28</v>
      </c>
      <c r="F209" s="377">
        <f t="shared" si="475"/>
        <v>6.4</v>
      </c>
      <c r="G209" s="377">
        <f t="shared" si="476"/>
        <v>9.6</v>
      </c>
      <c r="H209" s="376">
        <f t="shared" si="477"/>
        <v>2.88</v>
      </c>
      <c r="I209" s="376">
        <f t="shared" si="478"/>
        <v>6.4</v>
      </c>
      <c r="J209" s="376">
        <f t="shared" si="479"/>
        <v>0.143636363636364</v>
      </c>
      <c r="K209" s="24" t="s">
        <v>78</v>
      </c>
      <c r="L209" s="384" t="str">
        <f>IF(K209="","",VLOOKUP(K209,'Định nghĩa Loại Chức năng'!$B$4:$C$92,2,FALSE))</f>
        <v>Xử lý nghiệp vụ đơn giản</v>
      </c>
      <c r="M209" s="394" t="s">
        <v>287</v>
      </c>
      <c r="N209" s="395">
        <f>IF(K209="","",VLOOKUP(K209&amp;$N$7,CSDL_CN!$D$4:$E$264,2,FALSE))</f>
        <v>8</v>
      </c>
      <c r="O209" s="395">
        <f>IF(K209="","",VLOOKUP(K209&amp;$O$7,CSDL_CN!$D$4:$E$264,2,FALSE))</f>
        <v>12</v>
      </c>
      <c r="P209" s="395">
        <f t="shared" si="480"/>
        <v>3.6</v>
      </c>
      <c r="Q209" s="395">
        <f>IF(K209="","",VLOOKUP(K209&amp;$Q$7,CSDL_CN!$D$4:$E$264,2,FALSE))</f>
        <v>8</v>
      </c>
      <c r="R209" s="395">
        <f t="array" ref="R209">SUM(IFERROR(N209:Q209,0))</f>
        <v>31.6</v>
      </c>
      <c r="S209" s="400">
        <v>0.2</v>
      </c>
      <c r="T209" s="400">
        <v>0.2</v>
      </c>
      <c r="U209" s="400">
        <v>0.2</v>
      </c>
      <c r="V209" s="366"/>
      <c r="W209" s="366">
        <f t="shared" si="481"/>
        <v>0</v>
      </c>
      <c r="X209" s="404" t="s">
        <v>484</v>
      </c>
      <c r="Z209" s="410" t="s">
        <v>633</v>
      </c>
    </row>
    <row r="210" ht="90" spans="1:26">
      <c r="A210" s="366">
        <v>91</v>
      </c>
      <c r="B210" s="367" t="s">
        <v>652</v>
      </c>
      <c r="C210" s="367" t="s">
        <v>653</v>
      </c>
      <c r="D210" s="367" t="s">
        <v>654</v>
      </c>
      <c r="E210" s="376">
        <f t="shared" si="474"/>
        <v>25.28</v>
      </c>
      <c r="F210" s="377">
        <f t="shared" si="475"/>
        <v>6.4</v>
      </c>
      <c r="G210" s="377">
        <f t="shared" si="476"/>
        <v>9.6</v>
      </c>
      <c r="H210" s="376">
        <f t="shared" si="477"/>
        <v>2.88</v>
      </c>
      <c r="I210" s="376">
        <f t="shared" si="478"/>
        <v>6.4</v>
      </c>
      <c r="J210" s="376">
        <f t="shared" si="479"/>
        <v>0.143636363636364</v>
      </c>
      <c r="K210" s="24" t="s">
        <v>78</v>
      </c>
      <c r="L210" s="384" t="str">
        <f>IF(K210="","",VLOOKUP(K210,'Định nghĩa Loại Chức năng'!$B$4:$C$92,2,FALSE))</f>
        <v>Xử lý nghiệp vụ đơn giản</v>
      </c>
      <c r="M210" s="394" t="s">
        <v>287</v>
      </c>
      <c r="N210" s="395">
        <f>IF(K210="","",VLOOKUP(K210&amp;$N$7,CSDL_CN!$D$4:$E$264,2,FALSE))</f>
        <v>8</v>
      </c>
      <c r="O210" s="395">
        <f>IF(K210="","",VLOOKUP(K210&amp;$O$7,CSDL_CN!$D$4:$E$264,2,FALSE))</f>
        <v>12</v>
      </c>
      <c r="P210" s="395">
        <f t="shared" si="480"/>
        <v>3.6</v>
      </c>
      <c r="Q210" s="395">
        <f>IF(K210="","",VLOOKUP(K210&amp;$Q$7,CSDL_CN!$D$4:$E$264,2,FALSE))</f>
        <v>8</v>
      </c>
      <c r="R210" s="395">
        <f t="array" ref="R210">SUM(IFERROR(N210:Q210,0))</f>
        <v>31.6</v>
      </c>
      <c r="S210" s="400">
        <v>0.2</v>
      </c>
      <c r="T210" s="400">
        <v>0.2</v>
      </c>
      <c r="U210" s="400">
        <v>0.2</v>
      </c>
      <c r="V210" s="366"/>
      <c r="W210" s="366">
        <f t="shared" si="481"/>
        <v>0</v>
      </c>
      <c r="X210" s="404" t="s">
        <v>484</v>
      </c>
      <c r="Z210" s="410" t="s">
        <v>633</v>
      </c>
    </row>
    <row r="211" ht="75" spans="1:26">
      <c r="A211" s="366">
        <v>92</v>
      </c>
      <c r="B211" s="367" t="s">
        <v>655</v>
      </c>
      <c r="C211" s="367" t="s">
        <v>656</v>
      </c>
      <c r="D211" s="367" t="s">
        <v>657</v>
      </c>
      <c r="E211" s="376">
        <f t="shared" si="474"/>
        <v>25.28</v>
      </c>
      <c r="F211" s="377">
        <f t="shared" si="475"/>
        <v>6.4</v>
      </c>
      <c r="G211" s="377">
        <f t="shared" si="476"/>
        <v>9.6</v>
      </c>
      <c r="H211" s="376">
        <f t="shared" si="477"/>
        <v>2.88</v>
      </c>
      <c r="I211" s="376">
        <f t="shared" si="478"/>
        <v>6.4</v>
      </c>
      <c r="J211" s="376">
        <f t="shared" si="479"/>
        <v>0.143636363636364</v>
      </c>
      <c r="K211" s="24" t="s">
        <v>78</v>
      </c>
      <c r="L211" s="384" t="str">
        <f>IF(K211="","",VLOOKUP(K211,'Định nghĩa Loại Chức năng'!$B$4:$C$92,2,FALSE))</f>
        <v>Xử lý nghiệp vụ đơn giản</v>
      </c>
      <c r="M211" s="394" t="s">
        <v>287</v>
      </c>
      <c r="N211" s="395">
        <f>IF(K211="","",VLOOKUP(K211&amp;$N$7,CSDL_CN!$D$4:$E$264,2,FALSE))</f>
        <v>8</v>
      </c>
      <c r="O211" s="395">
        <f>IF(K211="","",VLOOKUP(K211&amp;$O$7,CSDL_CN!$D$4:$E$264,2,FALSE))</f>
        <v>12</v>
      </c>
      <c r="P211" s="395">
        <f t="shared" si="480"/>
        <v>3.6</v>
      </c>
      <c r="Q211" s="395">
        <f>IF(K211="","",VLOOKUP(K211&amp;$Q$7,CSDL_CN!$D$4:$E$264,2,FALSE))</f>
        <v>8</v>
      </c>
      <c r="R211" s="395">
        <f t="array" ref="R211">SUM(IFERROR(N211:Q211,0))</f>
        <v>31.6</v>
      </c>
      <c r="S211" s="400">
        <v>0.2</v>
      </c>
      <c r="T211" s="400">
        <v>0.2</v>
      </c>
      <c r="U211" s="400">
        <v>0.2</v>
      </c>
      <c r="V211" s="366"/>
      <c r="W211" s="366">
        <f t="shared" si="481"/>
        <v>0</v>
      </c>
      <c r="X211" s="404" t="s">
        <v>484</v>
      </c>
      <c r="Z211" s="410" t="s">
        <v>633</v>
      </c>
    </row>
    <row r="212" ht="60" spans="1:26">
      <c r="A212" s="366">
        <v>93</v>
      </c>
      <c r="B212" s="367" t="s">
        <v>658</v>
      </c>
      <c r="C212" s="367" t="s">
        <v>659</v>
      </c>
      <c r="D212" s="367" t="s">
        <v>660</v>
      </c>
      <c r="E212" s="376">
        <f t="shared" si="474"/>
        <v>25.28</v>
      </c>
      <c r="F212" s="377">
        <f t="shared" si="475"/>
        <v>6.4</v>
      </c>
      <c r="G212" s="377">
        <f t="shared" si="476"/>
        <v>9.6</v>
      </c>
      <c r="H212" s="376">
        <f t="shared" si="477"/>
        <v>2.88</v>
      </c>
      <c r="I212" s="376">
        <f t="shared" si="478"/>
        <v>6.4</v>
      </c>
      <c r="J212" s="376">
        <f t="shared" si="479"/>
        <v>0.143636363636364</v>
      </c>
      <c r="K212" s="24" t="s">
        <v>78</v>
      </c>
      <c r="L212" s="384" t="str">
        <f>IF(K212="","",VLOOKUP(K212,'Định nghĩa Loại Chức năng'!$B$4:$C$92,2,FALSE))</f>
        <v>Xử lý nghiệp vụ đơn giản</v>
      </c>
      <c r="M212" s="394" t="s">
        <v>287</v>
      </c>
      <c r="N212" s="395">
        <f>IF(K212="","",VLOOKUP(K212&amp;$N$7,CSDL_CN!$D$4:$E$264,2,FALSE))</f>
        <v>8</v>
      </c>
      <c r="O212" s="395">
        <f>IF(K212="","",VLOOKUP(K212&amp;$O$7,CSDL_CN!$D$4:$E$264,2,FALSE))</f>
        <v>12</v>
      </c>
      <c r="P212" s="395">
        <f t="shared" si="480"/>
        <v>3.6</v>
      </c>
      <c r="Q212" s="395">
        <f>IF(K212="","",VLOOKUP(K212&amp;$Q$7,CSDL_CN!$D$4:$E$264,2,FALSE))</f>
        <v>8</v>
      </c>
      <c r="R212" s="395">
        <f t="array" ref="R212">SUM(IFERROR(N212:Q212,0))</f>
        <v>31.6</v>
      </c>
      <c r="S212" s="400">
        <v>0.2</v>
      </c>
      <c r="T212" s="400">
        <v>0.2</v>
      </c>
      <c r="U212" s="400">
        <v>0.2</v>
      </c>
      <c r="V212" s="366"/>
      <c r="W212" s="366">
        <f t="shared" si="481"/>
        <v>0</v>
      </c>
      <c r="X212" s="404" t="s">
        <v>484</v>
      </c>
      <c r="Z212" s="410" t="s">
        <v>633</v>
      </c>
    </row>
    <row r="213" ht="75" spans="1:26">
      <c r="A213" s="366">
        <v>94</v>
      </c>
      <c r="B213" s="367" t="s">
        <v>661</v>
      </c>
      <c r="C213" s="367" t="s">
        <v>662</v>
      </c>
      <c r="D213" s="367" t="s">
        <v>663</v>
      </c>
      <c r="E213" s="376">
        <f t="shared" si="474"/>
        <v>25.28</v>
      </c>
      <c r="F213" s="377">
        <f t="shared" si="475"/>
        <v>6.4</v>
      </c>
      <c r="G213" s="377">
        <f t="shared" si="476"/>
        <v>9.6</v>
      </c>
      <c r="H213" s="376">
        <f t="shared" si="477"/>
        <v>2.88</v>
      </c>
      <c r="I213" s="376">
        <f t="shared" si="478"/>
        <v>6.4</v>
      </c>
      <c r="J213" s="376">
        <f t="shared" si="479"/>
        <v>0.143636363636364</v>
      </c>
      <c r="K213" s="24" t="s">
        <v>78</v>
      </c>
      <c r="L213" s="384" t="str">
        <f>IF(K213="","",VLOOKUP(K213,'Định nghĩa Loại Chức năng'!$B$4:$C$92,2,FALSE))</f>
        <v>Xử lý nghiệp vụ đơn giản</v>
      </c>
      <c r="M213" s="394" t="s">
        <v>287</v>
      </c>
      <c r="N213" s="395">
        <f>IF(K213="","",VLOOKUP(K213&amp;$N$7,CSDL_CN!$D$4:$E$264,2,FALSE))</f>
        <v>8</v>
      </c>
      <c r="O213" s="395">
        <f>IF(K213="","",VLOOKUP(K213&amp;$O$7,CSDL_CN!$D$4:$E$264,2,FALSE))</f>
        <v>12</v>
      </c>
      <c r="P213" s="395">
        <f t="shared" si="480"/>
        <v>3.6</v>
      </c>
      <c r="Q213" s="395">
        <f>IF(K213="","",VLOOKUP(K213&amp;$Q$7,CSDL_CN!$D$4:$E$264,2,FALSE))</f>
        <v>8</v>
      </c>
      <c r="R213" s="395">
        <f t="array" ref="R213">SUM(IFERROR(N213:Q213,0))</f>
        <v>31.6</v>
      </c>
      <c r="S213" s="400">
        <v>0.2</v>
      </c>
      <c r="T213" s="400">
        <v>0.2</v>
      </c>
      <c r="U213" s="400">
        <v>0.2</v>
      </c>
      <c r="V213" s="366"/>
      <c r="W213" s="366">
        <f t="shared" si="481"/>
        <v>0</v>
      </c>
      <c r="X213" s="404" t="s">
        <v>484</v>
      </c>
      <c r="Z213" s="410" t="s">
        <v>633</v>
      </c>
    </row>
    <row r="214" ht="75" spans="1:26">
      <c r="A214" s="366">
        <v>95</v>
      </c>
      <c r="B214" s="367" t="s">
        <v>664</v>
      </c>
      <c r="C214" s="367" t="s">
        <v>665</v>
      </c>
      <c r="D214" s="367" t="s">
        <v>666</v>
      </c>
      <c r="E214" s="376">
        <f t="shared" si="474"/>
        <v>25.28</v>
      </c>
      <c r="F214" s="377">
        <f t="shared" si="475"/>
        <v>6.4</v>
      </c>
      <c r="G214" s="377">
        <f t="shared" si="476"/>
        <v>9.6</v>
      </c>
      <c r="H214" s="376">
        <f t="shared" si="477"/>
        <v>2.88</v>
      </c>
      <c r="I214" s="376">
        <f t="shared" si="478"/>
        <v>6.4</v>
      </c>
      <c r="J214" s="376">
        <f t="shared" si="479"/>
        <v>0.143636363636364</v>
      </c>
      <c r="K214" s="24" t="s">
        <v>78</v>
      </c>
      <c r="L214" s="384" t="str">
        <f>IF(K214="","",VLOOKUP(K214,'Định nghĩa Loại Chức năng'!$B$4:$C$92,2,FALSE))</f>
        <v>Xử lý nghiệp vụ đơn giản</v>
      </c>
      <c r="M214" s="394" t="s">
        <v>287</v>
      </c>
      <c r="N214" s="395">
        <f>IF(K214="","",VLOOKUP(K214&amp;$N$7,CSDL_CN!$D$4:$E$264,2,FALSE))</f>
        <v>8</v>
      </c>
      <c r="O214" s="395">
        <f>IF(K214="","",VLOOKUP(K214&amp;$O$7,CSDL_CN!$D$4:$E$264,2,FALSE))</f>
        <v>12</v>
      </c>
      <c r="P214" s="395">
        <f t="shared" si="480"/>
        <v>3.6</v>
      </c>
      <c r="Q214" s="395">
        <f>IF(K214="","",VLOOKUP(K214&amp;$Q$7,CSDL_CN!$D$4:$E$264,2,FALSE))</f>
        <v>8</v>
      </c>
      <c r="R214" s="395">
        <f t="array" ref="R214">SUM(IFERROR(N214:Q214,0))</f>
        <v>31.6</v>
      </c>
      <c r="S214" s="400">
        <v>0.2</v>
      </c>
      <c r="T214" s="400">
        <v>0.2</v>
      </c>
      <c r="U214" s="400">
        <v>0.2</v>
      </c>
      <c r="V214" s="366"/>
      <c r="W214" s="366">
        <f t="shared" si="481"/>
        <v>0</v>
      </c>
      <c r="X214" s="404" t="s">
        <v>484</v>
      </c>
      <c r="Z214" s="410" t="s">
        <v>633</v>
      </c>
    </row>
    <row r="215" ht="75" spans="1:26">
      <c r="A215" s="366">
        <v>96</v>
      </c>
      <c r="B215" s="367" t="s">
        <v>667</v>
      </c>
      <c r="C215" s="367" t="s">
        <v>668</v>
      </c>
      <c r="D215" s="367" t="s">
        <v>669</v>
      </c>
      <c r="E215" s="376">
        <f t="shared" ref="E215:E246" si="482">SUM(F215:I215)</f>
        <v>25.28</v>
      </c>
      <c r="F215" s="377">
        <f t="shared" ref="F215:F246" si="483">N215*(1-$S215)</f>
        <v>6.4</v>
      </c>
      <c r="G215" s="377">
        <f t="shared" ref="G215:G246" si="484">O215*(1-$T215)</f>
        <v>9.6</v>
      </c>
      <c r="H215" s="376">
        <f t="shared" ref="H215:H246" si="485">P215*(1-$T215)</f>
        <v>2.88</v>
      </c>
      <c r="I215" s="376">
        <f t="shared" ref="I215:I246" si="486">Q215*(1-$U215)</f>
        <v>6.4</v>
      </c>
      <c r="J215" s="376">
        <f t="shared" ref="J215:J246" si="487">E215/22/8</f>
        <v>0.143636363636364</v>
      </c>
      <c r="K215" s="24" t="s">
        <v>78</v>
      </c>
      <c r="L215" s="384" t="str">
        <f>IF(K215="","",VLOOKUP(K215,'Định nghĩa Loại Chức năng'!$B$4:$C$92,2,FALSE))</f>
        <v>Xử lý nghiệp vụ đơn giản</v>
      </c>
      <c r="M215" s="394" t="s">
        <v>287</v>
      </c>
      <c r="N215" s="395">
        <f>IF(K215="","",VLOOKUP(K215&amp;$N$7,CSDL_CN!$D$4:$E$264,2,FALSE))</f>
        <v>8</v>
      </c>
      <c r="O215" s="395">
        <f>IF(K215="","",VLOOKUP(K215&amp;$O$7,CSDL_CN!$D$4:$E$264,2,FALSE))</f>
        <v>12</v>
      </c>
      <c r="P215" s="395">
        <f t="shared" ref="P215:P246" si="488">IF(M215="Có",O215*30%,0)</f>
        <v>3.6</v>
      </c>
      <c r="Q215" s="395">
        <f>IF(K215="","",VLOOKUP(K215&amp;$Q$7,CSDL_CN!$D$4:$E$264,2,FALSE))</f>
        <v>8</v>
      </c>
      <c r="R215" s="395">
        <f t="array" ref="R215">SUM(IFERROR(N215:Q215,0))</f>
        <v>31.6</v>
      </c>
      <c r="S215" s="400">
        <v>0.2</v>
      </c>
      <c r="T215" s="400">
        <v>0.2</v>
      </c>
      <c r="U215" s="400">
        <v>0.2</v>
      </c>
      <c r="V215" s="366"/>
      <c r="W215" s="366">
        <f t="shared" ref="W215:W246" si="489">IF(X215="OS",E215,0)</f>
        <v>0</v>
      </c>
      <c r="X215" s="404" t="s">
        <v>484</v>
      </c>
      <c r="Z215" s="410" t="s">
        <v>633</v>
      </c>
    </row>
    <row r="216" ht="60" spans="1:26">
      <c r="A216" s="366">
        <v>97</v>
      </c>
      <c r="B216" s="367" t="s">
        <v>670</v>
      </c>
      <c r="C216" s="367" t="s">
        <v>671</v>
      </c>
      <c r="D216" s="367" t="s">
        <v>672</v>
      </c>
      <c r="E216" s="376">
        <f t="shared" si="482"/>
        <v>25.28</v>
      </c>
      <c r="F216" s="377">
        <f t="shared" si="483"/>
        <v>6.4</v>
      </c>
      <c r="G216" s="377">
        <f t="shared" si="484"/>
        <v>9.6</v>
      </c>
      <c r="H216" s="376">
        <f t="shared" si="485"/>
        <v>2.88</v>
      </c>
      <c r="I216" s="376">
        <f t="shared" si="486"/>
        <v>6.4</v>
      </c>
      <c r="J216" s="376">
        <f t="shared" si="487"/>
        <v>0.143636363636364</v>
      </c>
      <c r="K216" s="24" t="s">
        <v>78</v>
      </c>
      <c r="L216" s="384" t="str">
        <f>IF(K216="","",VLOOKUP(K216,'Định nghĩa Loại Chức năng'!$B$4:$C$92,2,FALSE))</f>
        <v>Xử lý nghiệp vụ đơn giản</v>
      </c>
      <c r="M216" s="394" t="s">
        <v>287</v>
      </c>
      <c r="N216" s="395">
        <f>IF(K216="","",VLOOKUP(K216&amp;$N$7,CSDL_CN!$D$4:$E$264,2,FALSE))</f>
        <v>8</v>
      </c>
      <c r="O216" s="395">
        <f>IF(K216="","",VLOOKUP(K216&amp;$O$7,CSDL_CN!$D$4:$E$264,2,FALSE))</f>
        <v>12</v>
      </c>
      <c r="P216" s="395">
        <f t="shared" si="488"/>
        <v>3.6</v>
      </c>
      <c r="Q216" s="395">
        <f>IF(K216="","",VLOOKUP(K216&amp;$Q$7,CSDL_CN!$D$4:$E$264,2,FALSE))</f>
        <v>8</v>
      </c>
      <c r="R216" s="395">
        <f t="array" ref="R216">SUM(IFERROR(N216:Q216,0))</f>
        <v>31.6</v>
      </c>
      <c r="S216" s="400">
        <v>0.2</v>
      </c>
      <c r="T216" s="400">
        <v>0.2</v>
      </c>
      <c r="U216" s="400">
        <v>0.2</v>
      </c>
      <c r="V216" s="366"/>
      <c r="W216" s="366">
        <f t="shared" si="489"/>
        <v>0</v>
      </c>
      <c r="X216" s="404" t="s">
        <v>484</v>
      </c>
      <c r="Z216" s="410" t="s">
        <v>673</v>
      </c>
    </row>
    <row r="217" ht="60" spans="1:26">
      <c r="A217" s="366">
        <v>98</v>
      </c>
      <c r="B217" s="367" t="s">
        <v>674</v>
      </c>
      <c r="C217" s="367" t="s">
        <v>675</v>
      </c>
      <c r="D217" s="367" t="s">
        <v>676</v>
      </c>
      <c r="E217" s="376">
        <f t="shared" si="482"/>
        <v>25.28</v>
      </c>
      <c r="F217" s="377">
        <f t="shared" si="483"/>
        <v>6.4</v>
      </c>
      <c r="G217" s="377">
        <f t="shared" si="484"/>
        <v>9.6</v>
      </c>
      <c r="H217" s="376">
        <f t="shared" si="485"/>
        <v>2.88</v>
      </c>
      <c r="I217" s="376">
        <f t="shared" si="486"/>
        <v>6.4</v>
      </c>
      <c r="J217" s="376">
        <f t="shared" si="487"/>
        <v>0.143636363636364</v>
      </c>
      <c r="K217" s="24" t="s">
        <v>78</v>
      </c>
      <c r="L217" s="384" t="str">
        <f>IF(K217="","",VLOOKUP(K217,'Định nghĩa Loại Chức năng'!$B$4:$C$92,2,FALSE))</f>
        <v>Xử lý nghiệp vụ đơn giản</v>
      </c>
      <c r="M217" s="394" t="s">
        <v>287</v>
      </c>
      <c r="N217" s="395">
        <f>IF(K217="","",VLOOKUP(K217&amp;$N$7,CSDL_CN!$D$4:$E$264,2,FALSE))</f>
        <v>8</v>
      </c>
      <c r="O217" s="395">
        <f>IF(K217="","",VLOOKUP(K217&amp;$O$7,CSDL_CN!$D$4:$E$264,2,FALSE))</f>
        <v>12</v>
      </c>
      <c r="P217" s="395">
        <f t="shared" si="488"/>
        <v>3.6</v>
      </c>
      <c r="Q217" s="395">
        <f>IF(K217="","",VLOOKUP(K217&amp;$Q$7,CSDL_CN!$D$4:$E$264,2,FALSE))</f>
        <v>8</v>
      </c>
      <c r="R217" s="395">
        <f t="array" ref="R217">SUM(IFERROR(N217:Q217,0))</f>
        <v>31.6</v>
      </c>
      <c r="S217" s="400">
        <v>0.2</v>
      </c>
      <c r="T217" s="400">
        <v>0.2</v>
      </c>
      <c r="U217" s="400">
        <v>0.2</v>
      </c>
      <c r="V217" s="366"/>
      <c r="W217" s="366">
        <f t="shared" si="489"/>
        <v>0</v>
      </c>
      <c r="X217" s="404" t="s">
        <v>484</v>
      </c>
      <c r="Z217" s="410" t="s">
        <v>677</v>
      </c>
    </row>
    <row r="218" ht="60" spans="1:26">
      <c r="A218" s="366">
        <v>99</v>
      </c>
      <c r="B218" s="367" t="s">
        <v>678</v>
      </c>
      <c r="C218" s="367" t="s">
        <v>679</v>
      </c>
      <c r="D218" s="367" t="s">
        <v>680</v>
      </c>
      <c r="E218" s="376">
        <f t="shared" si="482"/>
        <v>25.28</v>
      </c>
      <c r="F218" s="377">
        <f t="shared" si="483"/>
        <v>6.4</v>
      </c>
      <c r="G218" s="377">
        <f t="shared" si="484"/>
        <v>9.6</v>
      </c>
      <c r="H218" s="376">
        <f t="shared" si="485"/>
        <v>2.88</v>
      </c>
      <c r="I218" s="376">
        <f t="shared" si="486"/>
        <v>6.4</v>
      </c>
      <c r="J218" s="376">
        <f t="shared" si="487"/>
        <v>0.143636363636364</v>
      </c>
      <c r="K218" s="24" t="s">
        <v>78</v>
      </c>
      <c r="L218" s="384" t="str">
        <f>IF(K218="","",VLOOKUP(K218,'Định nghĩa Loại Chức năng'!$B$4:$C$92,2,FALSE))</f>
        <v>Xử lý nghiệp vụ đơn giản</v>
      </c>
      <c r="M218" s="394" t="s">
        <v>287</v>
      </c>
      <c r="N218" s="395">
        <f>IF(K218="","",VLOOKUP(K218&amp;$N$7,CSDL_CN!$D$4:$E$264,2,FALSE))</f>
        <v>8</v>
      </c>
      <c r="O218" s="395">
        <f>IF(K218="","",VLOOKUP(K218&amp;$O$7,CSDL_CN!$D$4:$E$264,2,FALSE))</f>
        <v>12</v>
      </c>
      <c r="P218" s="395">
        <f t="shared" si="488"/>
        <v>3.6</v>
      </c>
      <c r="Q218" s="395">
        <f>IF(K218="","",VLOOKUP(K218&amp;$Q$7,CSDL_CN!$D$4:$E$264,2,FALSE))</f>
        <v>8</v>
      </c>
      <c r="R218" s="395">
        <f t="array" ref="R218">SUM(IFERROR(N218:Q218,0))</f>
        <v>31.6</v>
      </c>
      <c r="S218" s="400">
        <v>0.2</v>
      </c>
      <c r="T218" s="400">
        <v>0.2</v>
      </c>
      <c r="U218" s="400">
        <v>0.2</v>
      </c>
      <c r="V218" s="366"/>
      <c r="W218" s="366">
        <f t="shared" si="489"/>
        <v>0</v>
      </c>
      <c r="X218" s="404" t="s">
        <v>484</v>
      </c>
      <c r="Z218" s="410" t="s">
        <v>681</v>
      </c>
    </row>
    <row r="219" ht="60" spans="1:26">
      <c r="A219" s="366">
        <v>100</v>
      </c>
      <c r="B219" s="367" t="s">
        <v>682</v>
      </c>
      <c r="C219" s="367" t="s">
        <v>683</v>
      </c>
      <c r="D219" s="367" t="s">
        <v>684</v>
      </c>
      <c r="E219" s="376">
        <f t="shared" si="482"/>
        <v>25.28</v>
      </c>
      <c r="F219" s="377">
        <f t="shared" si="483"/>
        <v>6.4</v>
      </c>
      <c r="G219" s="377">
        <f t="shared" si="484"/>
        <v>9.6</v>
      </c>
      <c r="H219" s="376">
        <f t="shared" si="485"/>
        <v>2.88</v>
      </c>
      <c r="I219" s="376">
        <f t="shared" si="486"/>
        <v>6.4</v>
      </c>
      <c r="J219" s="376">
        <f t="shared" si="487"/>
        <v>0.143636363636364</v>
      </c>
      <c r="K219" s="24" t="s">
        <v>78</v>
      </c>
      <c r="L219" s="384" t="str">
        <f>IF(K219="","",VLOOKUP(K219,'Định nghĩa Loại Chức năng'!$B$4:$C$92,2,FALSE))</f>
        <v>Xử lý nghiệp vụ đơn giản</v>
      </c>
      <c r="M219" s="394" t="s">
        <v>287</v>
      </c>
      <c r="N219" s="395">
        <f>IF(K219="","",VLOOKUP(K219&amp;$N$7,CSDL_CN!$D$4:$E$264,2,FALSE))</f>
        <v>8</v>
      </c>
      <c r="O219" s="395">
        <f>IF(K219="","",VLOOKUP(K219&amp;$O$7,CSDL_CN!$D$4:$E$264,2,FALSE))</f>
        <v>12</v>
      </c>
      <c r="P219" s="395">
        <f t="shared" si="488"/>
        <v>3.6</v>
      </c>
      <c r="Q219" s="395">
        <f>IF(K219="","",VLOOKUP(K219&amp;$Q$7,CSDL_CN!$D$4:$E$264,2,FALSE))</f>
        <v>8</v>
      </c>
      <c r="R219" s="395">
        <f t="array" ref="R219">SUM(IFERROR(N219:Q219,0))</f>
        <v>31.6</v>
      </c>
      <c r="S219" s="400">
        <v>0.2</v>
      </c>
      <c r="T219" s="400">
        <v>0.2</v>
      </c>
      <c r="U219" s="400">
        <v>0.2</v>
      </c>
      <c r="V219" s="366"/>
      <c r="W219" s="366">
        <f t="shared" si="489"/>
        <v>0</v>
      </c>
      <c r="X219" s="404" t="s">
        <v>484</v>
      </c>
      <c r="Z219" s="410" t="s">
        <v>685</v>
      </c>
    </row>
    <row r="220" ht="60" spans="1:26">
      <c r="A220" s="366">
        <v>101</v>
      </c>
      <c r="B220" s="367" t="s">
        <v>686</v>
      </c>
      <c r="C220" s="367" t="s">
        <v>687</v>
      </c>
      <c r="D220" s="367" t="s">
        <v>688</v>
      </c>
      <c r="E220" s="376">
        <f t="shared" si="482"/>
        <v>25.28</v>
      </c>
      <c r="F220" s="377">
        <f t="shared" si="483"/>
        <v>6.4</v>
      </c>
      <c r="G220" s="377">
        <f t="shared" si="484"/>
        <v>9.6</v>
      </c>
      <c r="H220" s="376">
        <f t="shared" si="485"/>
        <v>2.88</v>
      </c>
      <c r="I220" s="376">
        <f t="shared" si="486"/>
        <v>6.4</v>
      </c>
      <c r="J220" s="376">
        <f t="shared" si="487"/>
        <v>0.143636363636364</v>
      </c>
      <c r="K220" s="24" t="s">
        <v>78</v>
      </c>
      <c r="L220" s="384" t="str">
        <f>IF(K220="","",VLOOKUP(K220,'Định nghĩa Loại Chức năng'!$B$4:$C$92,2,FALSE))</f>
        <v>Xử lý nghiệp vụ đơn giản</v>
      </c>
      <c r="M220" s="394" t="s">
        <v>287</v>
      </c>
      <c r="N220" s="395">
        <f>IF(K220="","",VLOOKUP(K220&amp;$N$7,CSDL_CN!$D$4:$E$264,2,FALSE))</f>
        <v>8</v>
      </c>
      <c r="O220" s="395">
        <f>IF(K220="","",VLOOKUP(K220&amp;$O$7,CSDL_CN!$D$4:$E$264,2,FALSE))</f>
        <v>12</v>
      </c>
      <c r="P220" s="395">
        <f t="shared" si="488"/>
        <v>3.6</v>
      </c>
      <c r="Q220" s="395">
        <f>IF(K220="","",VLOOKUP(K220&amp;$Q$7,CSDL_CN!$D$4:$E$264,2,FALSE))</f>
        <v>8</v>
      </c>
      <c r="R220" s="395">
        <f t="array" ref="R220">SUM(IFERROR(N220:Q220,0))</f>
        <v>31.6</v>
      </c>
      <c r="S220" s="400">
        <v>0.2</v>
      </c>
      <c r="T220" s="400">
        <v>0.2</v>
      </c>
      <c r="U220" s="400">
        <v>0.2</v>
      </c>
      <c r="V220" s="366"/>
      <c r="W220" s="366">
        <f t="shared" si="489"/>
        <v>0</v>
      </c>
      <c r="X220" s="404" t="s">
        <v>484</v>
      </c>
      <c r="Z220" s="410" t="s">
        <v>689</v>
      </c>
    </row>
    <row r="221" ht="60" spans="1:26">
      <c r="A221" s="366">
        <v>102</v>
      </c>
      <c r="B221" s="367" t="s">
        <v>690</v>
      </c>
      <c r="C221" s="367" t="s">
        <v>691</v>
      </c>
      <c r="D221" s="367" t="s">
        <v>692</v>
      </c>
      <c r="E221" s="376">
        <f t="shared" si="482"/>
        <v>25.28</v>
      </c>
      <c r="F221" s="377">
        <f t="shared" si="483"/>
        <v>6.4</v>
      </c>
      <c r="G221" s="377">
        <f t="shared" si="484"/>
        <v>9.6</v>
      </c>
      <c r="H221" s="376">
        <f t="shared" si="485"/>
        <v>2.88</v>
      </c>
      <c r="I221" s="376">
        <f t="shared" si="486"/>
        <v>6.4</v>
      </c>
      <c r="J221" s="376">
        <f t="shared" si="487"/>
        <v>0.143636363636364</v>
      </c>
      <c r="K221" s="24" t="s">
        <v>78</v>
      </c>
      <c r="L221" s="384" t="str">
        <f>IF(K221="","",VLOOKUP(K221,'Định nghĩa Loại Chức năng'!$B$4:$C$92,2,FALSE))</f>
        <v>Xử lý nghiệp vụ đơn giản</v>
      </c>
      <c r="M221" s="394" t="s">
        <v>287</v>
      </c>
      <c r="N221" s="395">
        <f>IF(K221="","",VLOOKUP(K221&amp;$N$7,CSDL_CN!$D$4:$E$264,2,FALSE))</f>
        <v>8</v>
      </c>
      <c r="O221" s="395">
        <f>IF(K221="","",VLOOKUP(K221&amp;$O$7,CSDL_CN!$D$4:$E$264,2,FALSE))</f>
        <v>12</v>
      </c>
      <c r="P221" s="395">
        <f t="shared" si="488"/>
        <v>3.6</v>
      </c>
      <c r="Q221" s="395">
        <f>IF(K221="","",VLOOKUP(K221&amp;$Q$7,CSDL_CN!$D$4:$E$264,2,FALSE))</f>
        <v>8</v>
      </c>
      <c r="R221" s="395">
        <f t="array" ref="R221">SUM(IFERROR(N221:Q221,0))</f>
        <v>31.6</v>
      </c>
      <c r="S221" s="400">
        <v>0.2</v>
      </c>
      <c r="T221" s="400">
        <v>0.2</v>
      </c>
      <c r="U221" s="400">
        <v>0.2</v>
      </c>
      <c r="V221" s="366"/>
      <c r="W221" s="366">
        <f t="shared" si="489"/>
        <v>0</v>
      </c>
      <c r="X221" s="404" t="s">
        <v>484</v>
      </c>
      <c r="Z221" s="410" t="s">
        <v>693</v>
      </c>
    </row>
    <row r="222" ht="75" spans="1:26">
      <c r="A222" s="366">
        <v>103</v>
      </c>
      <c r="B222" s="367" t="s">
        <v>694</v>
      </c>
      <c r="C222" s="367" t="s">
        <v>695</v>
      </c>
      <c r="D222" s="367" t="s">
        <v>696</v>
      </c>
      <c r="E222" s="376">
        <f t="shared" si="482"/>
        <v>25.28</v>
      </c>
      <c r="F222" s="377">
        <f t="shared" si="483"/>
        <v>6.4</v>
      </c>
      <c r="G222" s="377">
        <f t="shared" si="484"/>
        <v>9.6</v>
      </c>
      <c r="H222" s="376">
        <f t="shared" si="485"/>
        <v>2.88</v>
      </c>
      <c r="I222" s="376">
        <f t="shared" si="486"/>
        <v>6.4</v>
      </c>
      <c r="J222" s="376">
        <f t="shared" si="487"/>
        <v>0.143636363636364</v>
      </c>
      <c r="K222" s="24" t="s">
        <v>78</v>
      </c>
      <c r="L222" s="384" t="str">
        <f>IF(K222="","",VLOOKUP(K222,'Định nghĩa Loại Chức năng'!$B$4:$C$92,2,FALSE))</f>
        <v>Xử lý nghiệp vụ đơn giản</v>
      </c>
      <c r="M222" s="394" t="s">
        <v>287</v>
      </c>
      <c r="N222" s="395">
        <f>IF(K222="","",VLOOKUP(K222&amp;$N$7,CSDL_CN!$D$4:$E$264,2,FALSE))</f>
        <v>8</v>
      </c>
      <c r="O222" s="395">
        <f>IF(K222="","",VLOOKUP(K222&amp;$O$7,CSDL_CN!$D$4:$E$264,2,FALSE))</f>
        <v>12</v>
      </c>
      <c r="P222" s="395">
        <f t="shared" si="488"/>
        <v>3.6</v>
      </c>
      <c r="Q222" s="395">
        <f>IF(K222="","",VLOOKUP(K222&amp;$Q$7,CSDL_CN!$D$4:$E$264,2,FALSE))</f>
        <v>8</v>
      </c>
      <c r="R222" s="395">
        <f t="array" ref="R222">SUM(IFERROR(N222:Q222,0))</f>
        <v>31.6</v>
      </c>
      <c r="S222" s="400">
        <v>0.2</v>
      </c>
      <c r="T222" s="400">
        <v>0.2</v>
      </c>
      <c r="U222" s="400">
        <v>0.2</v>
      </c>
      <c r="V222" s="366"/>
      <c r="W222" s="366">
        <f t="shared" si="489"/>
        <v>0</v>
      </c>
      <c r="X222" s="404" t="s">
        <v>484</v>
      </c>
      <c r="Z222" s="410" t="s">
        <v>697</v>
      </c>
    </row>
    <row r="223" ht="75" spans="1:26">
      <c r="A223" s="366">
        <v>104</v>
      </c>
      <c r="B223" s="367" t="s">
        <v>698</v>
      </c>
      <c r="C223" s="367" t="s">
        <v>699</v>
      </c>
      <c r="D223" s="367" t="s">
        <v>700</v>
      </c>
      <c r="E223" s="376">
        <f t="shared" si="482"/>
        <v>25.28</v>
      </c>
      <c r="F223" s="377">
        <f t="shared" si="483"/>
        <v>6.4</v>
      </c>
      <c r="G223" s="377">
        <f t="shared" si="484"/>
        <v>9.6</v>
      </c>
      <c r="H223" s="376">
        <f t="shared" si="485"/>
        <v>2.88</v>
      </c>
      <c r="I223" s="376">
        <f t="shared" si="486"/>
        <v>6.4</v>
      </c>
      <c r="J223" s="376">
        <f t="shared" si="487"/>
        <v>0.143636363636364</v>
      </c>
      <c r="K223" s="24" t="s">
        <v>78</v>
      </c>
      <c r="L223" s="384" t="str">
        <f>IF(K223="","",VLOOKUP(K223,'Định nghĩa Loại Chức năng'!$B$4:$C$92,2,FALSE))</f>
        <v>Xử lý nghiệp vụ đơn giản</v>
      </c>
      <c r="M223" s="394" t="s">
        <v>287</v>
      </c>
      <c r="N223" s="395">
        <f>IF(K223="","",VLOOKUP(K223&amp;$N$7,CSDL_CN!$D$4:$E$264,2,FALSE))</f>
        <v>8</v>
      </c>
      <c r="O223" s="395">
        <f>IF(K223="","",VLOOKUP(K223&amp;$O$7,CSDL_CN!$D$4:$E$264,2,FALSE))</f>
        <v>12</v>
      </c>
      <c r="P223" s="395">
        <f t="shared" si="488"/>
        <v>3.6</v>
      </c>
      <c r="Q223" s="395">
        <f>IF(K223="","",VLOOKUP(K223&amp;$Q$7,CSDL_CN!$D$4:$E$264,2,FALSE))</f>
        <v>8</v>
      </c>
      <c r="R223" s="395">
        <f t="array" ref="R223">SUM(IFERROR(N223:Q223,0))</f>
        <v>31.6</v>
      </c>
      <c r="S223" s="400">
        <v>0.2</v>
      </c>
      <c r="T223" s="400">
        <v>0.2</v>
      </c>
      <c r="U223" s="400">
        <v>0.2</v>
      </c>
      <c r="V223" s="366"/>
      <c r="W223" s="366">
        <f t="shared" si="489"/>
        <v>0</v>
      </c>
      <c r="X223" s="404" t="s">
        <v>484</v>
      </c>
      <c r="Z223" s="410" t="s">
        <v>701</v>
      </c>
    </row>
    <row r="224" ht="75" spans="1:26">
      <c r="A224" s="366">
        <v>105</v>
      </c>
      <c r="B224" s="367" t="s">
        <v>702</v>
      </c>
      <c r="C224" s="367" t="s">
        <v>703</v>
      </c>
      <c r="D224" s="367" t="s">
        <v>704</v>
      </c>
      <c r="E224" s="376">
        <f t="shared" si="482"/>
        <v>25.28</v>
      </c>
      <c r="F224" s="377">
        <f t="shared" si="483"/>
        <v>6.4</v>
      </c>
      <c r="G224" s="377">
        <f t="shared" si="484"/>
        <v>9.6</v>
      </c>
      <c r="H224" s="376">
        <f t="shared" si="485"/>
        <v>2.88</v>
      </c>
      <c r="I224" s="376">
        <f t="shared" si="486"/>
        <v>6.4</v>
      </c>
      <c r="J224" s="376">
        <f t="shared" si="487"/>
        <v>0.143636363636364</v>
      </c>
      <c r="K224" s="24" t="s">
        <v>78</v>
      </c>
      <c r="L224" s="384" t="str">
        <f>IF(K224="","",VLOOKUP(K224,'Định nghĩa Loại Chức năng'!$B$4:$C$92,2,FALSE))</f>
        <v>Xử lý nghiệp vụ đơn giản</v>
      </c>
      <c r="M224" s="394" t="s">
        <v>287</v>
      </c>
      <c r="N224" s="395">
        <f>IF(K224="","",VLOOKUP(K224&amp;$N$7,CSDL_CN!$D$4:$E$264,2,FALSE))</f>
        <v>8</v>
      </c>
      <c r="O224" s="395">
        <f>IF(K224="","",VLOOKUP(K224&amp;$O$7,CSDL_CN!$D$4:$E$264,2,FALSE))</f>
        <v>12</v>
      </c>
      <c r="P224" s="395">
        <f t="shared" si="488"/>
        <v>3.6</v>
      </c>
      <c r="Q224" s="395">
        <f>IF(K224="","",VLOOKUP(K224&amp;$Q$7,CSDL_CN!$D$4:$E$264,2,FALSE))</f>
        <v>8</v>
      </c>
      <c r="R224" s="395">
        <f t="array" ref="R224">SUM(IFERROR(N224:Q224,0))</f>
        <v>31.6</v>
      </c>
      <c r="S224" s="400">
        <v>0.2</v>
      </c>
      <c r="T224" s="400">
        <v>0.2</v>
      </c>
      <c r="U224" s="400">
        <v>0.2</v>
      </c>
      <c r="V224" s="366"/>
      <c r="W224" s="366">
        <f t="shared" si="489"/>
        <v>0</v>
      </c>
      <c r="X224" s="404" t="s">
        <v>484</v>
      </c>
      <c r="Z224" s="410" t="s">
        <v>701</v>
      </c>
    </row>
    <row r="225" ht="75" spans="1:26">
      <c r="A225" s="366">
        <v>106</v>
      </c>
      <c r="B225" s="367" t="s">
        <v>705</v>
      </c>
      <c r="C225" s="367" t="s">
        <v>706</v>
      </c>
      <c r="D225" s="367" t="s">
        <v>707</v>
      </c>
      <c r="E225" s="376">
        <f t="shared" si="482"/>
        <v>25.28</v>
      </c>
      <c r="F225" s="377">
        <f t="shared" si="483"/>
        <v>6.4</v>
      </c>
      <c r="G225" s="377">
        <f t="shared" si="484"/>
        <v>9.6</v>
      </c>
      <c r="H225" s="376">
        <f t="shared" si="485"/>
        <v>2.88</v>
      </c>
      <c r="I225" s="376">
        <f t="shared" si="486"/>
        <v>6.4</v>
      </c>
      <c r="J225" s="376">
        <f t="shared" si="487"/>
        <v>0.143636363636364</v>
      </c>
      <c r="K225" s="24" t="s">
        <v>78</v>
      </c>
      <c r="L225" s="384" t="str">
        <f>IF(K225="","",VLOOKUP(K225,'Định nghĩa Loại Chức năng'!$B$4:$C$92,2,FALSE))</f>
        <v>Xử lý nghiệp vụ đơn giản</v>
      </c>
      <c r="M225" s="394" t="s">
        <v>287</v>
      </c>
      <c r="N225" s="395">
        <f>IF(K225="","",VLOOKUP(K225&amp;$N$7,CSDL_CN!$D$4:$E$264,2,FALSE))</f>
        <v>8</v>
      </c>
      <c r="O225" s="395">
        <f>IF(K225="","",VLOOKUP(K225&amp;$O$7,CSDL_CN!$D$4:$E$264,2,FALSE))</f>
        <v>12</v>
      </c>
      <c r="P225" s="395">
        <f t="shared" si="488"/>
        <v>3.6</v>
      </c>
      <c r="Q225" s="395">
        <f>IF(K225="","",VLOOKUP(K225&amp;$Q$7,CSDL_CN!$D$4:$E$264,2,FALSE))</f>
        <v>8</v>
      </c>
      <c r="R225" s="395">
        <f t="array" ref="R225">SUM(IFERROR(N225:Q225,0))</f>
        <v>31.6</v>
      </c>
      <c r="S225" s="400">
        <v>0.2</v>
      </c>
      <c r="T225" s="400">
        <v>0.2</v>
      </c>
      <c r="U225" s="400">
        <v>0.2</v>
      </c>
      <c r="V225" s="366"/>
      <c r="W225" s="366">
        <f t="shared" si="489"/>
        <v>0</v>
      </c>
      <c r="X225" s="404" t="s">
        <v>484</v>
      </c>
      <c r="Z225" s="410" t="s">
        <v>701</v>
      </c>
    </row>
    <row r="226" ht="75" spans="1:26">
      <c r="A226" s="366">
        <v>107</v>
      </c>
      <c r="B226" s="367" t="s">
        <v>708</v>
      </c>
      <c r="C226" s="367" t="s">
        <v>709</v>
      </c>
      <c r="D226" s="367" t="s">
        <v>710</v>
      </c>
      <c r="E226" s="376">
        <f t="shared" si="482"/>
        <v>25.28</v>
      </c>
      <c r="F226" s="377">
        <f t="shared" si="483"/>
        <v>6.4</v>
      </c>
      <c r="G226" s="377">
        <f t="shared" si="484"/>
        <v>9.6</v>
      </c>
      <c r="H226" s="376">
        <f t="shared" si="485"/>
        <v>2.88</v>
      </c>
      <c r="I226" s="376">
        <f t="shared" si="486"/>
        <v>6.4</v>
      </c>
      <c r="J226" s="376">
        <f t="shared" si="487"/>
        <v>0.143636363636364</v>
      </c>
      <c r="K226" s="24" t="s">
        <v>78</v>
      </c>
      <c r="L226" s="384" t="str">
        <f>IF(K226="","",VLOOKUP(K226,'Định nghĩa Loại Chức năng'!$B$4:$C$92,2,FALSE))</f>
        <v>Xử lý nghiệp vụ đơn giản</v>
      </c>
      <c r="M226" s="394" t="s">
        <v>287</v>
      </c>
      <c r="N226" s="395">
        <f>IF(K226="","",VLOOKUP(K226&amp;$N$7,CSDL_CN!$D$4:$E$264,2,FALSE))</f>
        <v>8</v>
      </c>
      <c r="O226" s="395">
        <f>IF(K226="","",VLOOKUP(K226&amp;$O$7,CSDL_CN!$D$4:$E$264,2,FALSE))</f>
        <v>12</v>
      </c>
      <c r="P226" s="395">
        <f t="shared" si="488"/>
        <v>3.6</v>
      </c>
      <c r="Q226" s="395">
        <f>IF(K226="","",VLOOKUP(K226&amp;$Q$7,CSDL_CN!$D$4:$E$264,2,FALSE))</f>
        <v>8</v>
      </c>
      <c r="R226" s="395">
        <f t="array" ref="R226">SUM(IFERROR(N226:Q226,0))</f>
        <v>31.6</v>
      </c>
      <c r="S226" s="400">
        <v>0.2</v>
      </c>
      <c r="T226" s="400">
        <v>0.2</v>
      </c>
      <c r="U226" s="400">
        <v>0.2</v>
      </c>
      <c r="V226" s="366"/>
      <c r="W226" s="366">
        <f t="shared" si="489"/>
        <v>0</v>
      </c>
      <c r="X226" s="404" t="s">
        <v>484</v>
      </c>
      <c r="Z226" s="410" t="s">
        <v>701</v>
      </c>
    </row>
    <row r="227" ht="75" spans="1:26">
      <c r="A227" s="366">
        <v>108</v>
      </c>
      <c r="B227" s="367" t="s">
        <v>711</v>
      </c>
      <c r="C227" s="367" t="s">
        <v>712</v>
      </c>
      <c r="D227" s="367" t="s">
        <v>713</v>
      </c>
      <c r="E227" s="376">
        <f t="shared" si="482"/>
        <v>25.28</v>
      </c>
      <c r="F227" s="377">
        <f t="shared" si="483"/>
        <v>6.4</v>
      </c>
      <c r="G227" s="377">
        <f t="shared" si="484"/>
        <v>9.6</v>
      </c>
      <c r="H227" s="376">
        <f t="shared" si="485"/>
        <v>2.88</v>
      </c>
      <c r="I227" s="376">
        <f t="shared" si="486"/>
        <v>6.4</v>
      </c>
      <c r="J227" s="376">
        <f t="shared" si="487"/>
        <v>0.143636363636364</v>
      </c>
      <c r="K227" s="24" t="s">
        <v>78</v>
      </c>
      <c r="L227" s="384" t="str">
        <f>IF(K227="","",VLOOKUP(K227,'Định nghĩa Loại Chức năng'!$B$4:$C$92,2,FALSE))</f>
        <v>Xử lý nghiệp vụ đơn giản</v>
      </c>
      <c r="M227" s="394" t="s">
        <v>287</v>
      </c>
      <c r="N227" s="395">
        <f>IF(K227="","",VLOOKUP(K227&amp;$N$7,CSDL_CN!$D$4:$E$264,2,FALSE))</f>
        <v>8</v>
      </c>
      <c r="O227" s="395">
        <f>IF(K227="","",VLOOKUP(K227&amp;$O$7,CSDL_CN!$D$4:$E$264,2,FALSE))</f>
        <v>12</v>
      </c>
      <c r="P227" s="395">
        <f t="shared" si="488"/>
        <v>3.6</v>
      </c>
      <c r="Q227" s="395">
        <f>IF(K227="","",VLOOKUP(K227&amp;$Q$7,CSDL_CN!$D$4:$E$264,2,FALSE))</f>
        <v>8</v>
      </c>
      <c r="R227" s="395">
        <f t="array" ref="R227">SUM(IFERROR(N227:Q227,0))</f>
        <v>31.6</v>
      </c>
      <c r="S227" s="400">
        <v>0.2</v>
      </c>
      <c r="T227" s="400">
        <v>0.2</v>
      </c>
      <c r="U227" s="400">
        <v>0.2</v>
      </c>
      <c r="V227" s="366"/>
      <c r="W227" s="366">
        <f t="shared" si="489"/>
        <v>0</v>
      </c>
      <c r="X227" s="404" t="s">
        <v>484</v>
      </c>
      <c r="Z227" s="410" t="s">
        <v>701</v>
      </c>
    </row>
    <row r="228" ht="75" spans="1:26">
      <c r="A228" s="366">
        <v>109</v>
      </c>
      <c r="B228" s="367" t="s">
        <v>714</v>
      </c>
      <c r="C228" s="367" t="s">
        <v>715</v>
      </c>
      <c r="D228" s="367" t="s">
        <v>716</v>
      </c>
      <c r="E228" s="376">
        <f t="shared" si="482"/>
        <v>25.28</v>
      </c>
      <c r="F228" s="377">
        <f t="shared" si="483"/>
        <v>6.4</v>
      </c>
      <c r="G228" s="377">
        <f t="shared" si="484"/>
        <v>9.6</v>
      </c>
      <c r="H228" s="376">
        <f t="shared" si="485"/>
        <v>2.88</v>
      </c>
      <c r="I228" s="376">
        <f t="shared" si="486"/>
        <v>6.4</v>
      </c>
      <c r="J228" s="376">
        <f t="shared" si="487"/>
        <v>0.143636363636364</v>
      </c>
      <c r="K228" s="24" t="s">
        <v>78</v>
      </c>
      <c r="L228" s="384" t="str">
        <f>IF(K228="","",VLOOKUP(K228,'Định nghĩa Loại Chức năng'!$B$4:$C$92,2,FALSE))</f>
        <v>Xử lý nghiệp vụ đơn giản</v>
      </c>
      <c r="M228" s="394" t="s">
        <v>287</v>
      </c>
      <c r="N228" s="395">
        <f>IF(K228="","",VLOOKUP(K228&amp;$N$7,CSDL_CN!$D$4:$E$264,2,FALSE))</f>
        <v>8</v>
      </c>
      <c r="O228" s="395">
        <f>IF(K228="","",VLOOKUP(K228&amp;$O$7,CSDL_CN!$D$4:$E$264,2,FALSE))</f>
        <v>12</v>
      </c>
      <c r="P228" s="395">
        <f t="shared" si="488"/>
        <v>3.6</v>
      </c>
      <c r="Q228" s="395">
        <f>IF(K228="","",VLOOKUP(K228&amp;$Q$7,CSDL_CN!$D$4:$E$264,2,FALSE))</f>
        <v>8</v>
      </c>
      <c r="R228" s="395">
        <f t="array" ref="R228">SUM(IFERROR(N228:Q228,0))</f>
        <v>31.6</v>
      </c>
      <c r="S228" s="400">
        <v>0.2</v>
      </c>
      <c r="T228" s="400">
        <v>0.2</v>
      </c>
      <c r="U228" s="400">
        <v>0.2</v>
      </c>
      <c r="V228" s="366"/>
      <c r="W228" s="366">
        <f t="shared" si="489"/>
        <v>0</v>
      </c>
      <c r="X228" s="404" t="s">
        <v>484</v>
      </c>
      <c r="Z228" s="410" t="s">
        <v>701</v>
      </c>
    </row>
    <row r="229" ht="75" spans="1:26">
      <c r="A229" s="366">
        <v>110</v>
      </c>
      <c r="B229" s="367" t="s">
        <v>717</v>
      </c>
      <c r="C229" s="367" t="s">
        <v>718</v>
      </c>
      <c r="D229" s="367" t="s">
        <v>719</v>
      </c>
      <c r="E229" s="376">
        <f t="shared" si="482"/>
        <v>25.28</v>
      </c>
      <c r="F229" s="377">
        <f t="shared" si="483"/>
        <v>6.4</v>
      </c>
      <c r="G229" s="377">
        <f t="shared" si="484"/>
        <v>9.6</v>
      </c>
      <c r="H229" s="376">
        <f t="shared" si="485"/>
        <v>2.88</v>
      </c>
      <c r="I229" s="376">
        <f t="shared" si="486"/>
        <v>6.4</v>
      </c>
      <c r="J229" s="376">
        <f t="shared" si="487"/>
        <v>0.143636363636364</v>
      </c>
      <c r="K229" s="24" t="s">
        <v>78</v>
      </c>
      <c r="L229" s="384" t="str">
        <f>IF(K229="","",VLOOKUP(K229,'Định nghĩa Loại Chức năng'!$B$4:$C$92,2,FALSE))</f>
        <v>Xử lý nghiệp vụ đơn giản</v>
      </c>
      <c r="M229" s="394" t="s">
        <v>287</v>
      </c>
      <c r="N229" s="395">
        <f>IF(K229="","",VLOOKUP(K229&amp;$N$7,CSDL_CN!$D$4:$E$264,2,FALSE))</f>
        <v>8</v>
      </c>
      <c r="O229" s="395">
        <f>IF(K229="","",VLOOKUP(K229&amp;$O$7,CSDL_CN!$D$4:$E$264,2,FALSE))</f>
        <v>12</v>
      </c>
      <c r="P229" s="395">
        <f t="shared" si="488"/>
        <v>3.6</v>
      </c>
      <c r="Q229" s="395">
        <f>IF(K229="","",VLOOKUP(K229&amp;$Q$7,CSDL_CN!$D$4:$E$264,2,FALSE))</f>
        <v>8</v>
      </c>
      <c r="R229" s="395">
        <f t="array" ref="R229">SUM(IFERROR(N229:Q229,0))</f>
        <v>31.6</v>
      </c>
      <c r="S229" s="400">
        <v>0.2</v>
      </c>
      <c r="T229" s="400">
        <v>0.2</v>
      </c>
      <c r="U229" s="400">
        <v>0.2</v>
      </c>
      <c r="V229" s="366"/>
      <c r="W229" s="366">
        <f t="shared" si="489"/>
        <v>0</v>
      </c>
      <c r="X229" s="404" t="s">
        <v>484</v>
      </c>
      <c r="Z229" s="410" t="s">
        <v>701</v>
      </c>
    </row>
    <row r="230" ht="75" spans="1:26">
      <c r="A230" s="366">
        <v>111</v>
      </c>
      <c r="B230" s="367" t="s">
        <v>720</v>
      </c>
      <c r="C230" s="367" t="s">
        <v>721</v>
      </c>
      <c r="D230" s="367" t="s">
        <v>722</v>
      </c>
      <c r="E230" s="376">
        <f t="shared" si="482"/>
        <v>25.28</v>
      </c>
      <c r="F230" s="377">
        <f t="shared" si="483"/>
        <v>6.4</v>
      </c>
      <c r="G230" s="377">
        <f t="shared" si="484"/>
        <v>9.6</v>
      </c>
      <c r="H230" s="376">
        <f t="shared" si="485"/>
        <v>2.88</v>
      </c>
      <c r="I230" s="376">
        <f t="shared" si="486"/>
        <v>6.4</v>
      </c>
      <c r="J230" s="376">
        <f t="shared" si="487"/>
        <v>0.143636363636364</v>
      </c>
      <c r="K230" s="24" t="s">
        <v>78</v>
      </c>
      <c r="L230" s="384" t="str">
        <f>IF(K230="","",VLOOKUP(K230,'Định nghĩa Loại Chức năng'!$B$4:$C$92,2,FALSE))</f>
        <v>Xử lý nghiệp vụ đơn giản</v>
      </c>
      <c r="M230" s="394" t="s">
        <v>287</v>
      </c>
      <c r="N230" s="395">
        <f>IF(K230="","",VLOOKUP(K230&amp;$N$7,CSDL_CN!$D$4:$E$264,2,FALSE))</f>
        <v>8</v>
      </c>
      <c r="O230" s="395">
        <f>IF(K230="","",VLOOKUP(K230&amp;$O$7,CSDL_CN!$D$4:$E$264,2,FALSE))</f>
        <v>12</v>
      </c>
      <c r="P230" s="395">
        <f t="shared" si="488"/>
        <v>3.6</v>
      </c>
      <c r="Q230" s="395">
        <f>IF(K230="","",VLOOKUP(K230&amp;$Q$7,CSDL_CN!$D$4:$E$264,2,FALSE))</f>
        <v>8</v>
      </c>
      <c r="R230" s="395">
        <f t="array" ref="R230">SUM(IFERROR(N230:Q230,0))</f>
        <v>31.6</v>
      </c>
      <c r="S230" s="400">
        <v>0.2</v>
      </c>
      <c r="T230" s="400">
        <v>0.2</v>
      </c>
      <c r="U230" s="400">
        <v>0.2</v>
      </c>
      <c r="V230" s="366"/>
      <c r="W230" s="366">
        <f t="shared" si="489"/>
        <v>0</v>
      </c>
      <c r="X230" s="404" t="s">
        <v>484</v>
      </c>
      <c r="Z230" s="410" t="s">
        <v>701</v>
      </c>
    </row>
    <row r="231" ht="75" spans="1:26">
      <c r="A231" s="366">
        <v>112</v>
      </c>
      <c r="B231" s="367" t="s">
        <v>723</v>
      </c>
      <c r="C231" s="367" t="s">
        <v>724</v>
      </c>
      <c r="D231" s="367" t="s">
        <v>725</v>
      </c>
      <c r="E231" s="376">
        <f t="shared" si="482"/>
        <v>25.28</v>
      </c>
      <c r="F231" s="377">
        <f t="shared" si="483"/>
        <v>6.4</v>
      </c>
      <c r="G231" s="377">
        <f t="shared" si="484"/>
        <v>9.6</v>
      </c>
      <c r="H231" s="376">
        <f t="shared" si="485"/>
        <v>2.88</v>
      </c>
      <c r="I231" s="376">
        <f t="shared" si="486"/>
        <v>6.4</v>
      </c>
      <c r="J231" s="376">
        <f t="shared" si="487"/>
        <v>0.143636363636364</v>
      </c>
      <c r="K231" s="24" t="s">
        <v>78</v>
      </c>
      <c r="L231" s="384" t="str">
        <f>IF(K231="","",VLOOKUP(K231,'Định nghĩa Loại Chức năng'!$B$4:$C$92,2,FALSE))</f>
        <v>Xử lý nghiệp vụ đơn giản</v>
      </c>
      <c r="M231" s="394" t="s">
        <v>287</v>
      </c>
      <c r="N231" s="395">
        <f>IF(K231="","",VLOOKUP(K231&amp;$N$7,CSDL_CN!$D$4:$E$264,2,FALSE))</f>
        <v>8</v>
      </c>
      <c r="O231" s="395">
        <f>IF(K231="","",VLOOKUP(K231&amp;$O$7,CSDL_CN!$D$4:$E$264,2,FALSE))</f>
        <v>12</v>
      </c>
      <c r="P231" s="395">
        <f t="shared" si="488"/>
        <v>3.6</v>
      </c>
      <c r="Q231" s="395">
        <f>IF(K231="","",VLOOKUP(K231&amp;$Q$7,CSDL_CN!$D$4:$E$264,2,FALSE))</f>
        <v>8</v>
      </c>
      <c r="R231" s="395">
        <f t="array" ref="R231">SUM(IFERROR(N231:Q231,0))</f>
        <v>31.6</v>
      </c>
      <c r="S231" s="400">
        <v>0.2</v>
      </c>
      <c r="T231" s="400">
        <v>0.2</v>
      </c>
      <c r="U231" s="400">
        <v>0.2</v>
      </c>
      <c r="V231" s="366"/>
      <c r="W231" s="366">
        <f t="shared" si="489"/>
        <v>0</v>
      </c>
      <c r="X231" s="404" t="s">
        <v>484</v>
      </c>
      <c r="Z231" s="410" t="s">
        <v>701</v>
      </c>
    </row>
    <row r="232" ht="75" spans="1:26">
      <c r="A232" s="366">
        <v>113</v>
      </c>
      <c r="B232" s="367" t="s">
        <v>726</v>
      </c>
      <c r="C232" s="367" t="s">
        <v>727</v>
      </c>
      <c r="D232" s="367" t="s">
        <v>728</v>
      </c>
      <c r="E232" s="376">
        <f t="shared" si="482"/>
        <v>25.28</v>
      </c>
      <c r="F232" s="377">
        <f t="shared" si="483"/>
        <v>6.4</v>
      </c>
      <c r="G232" s="377">
        <f t="shared" si="484"/>
        <v>9.6</v>
      </c>
      <c r="H232" s="376">
        <f t="shared" si="485"/>
        <v>2.88</v>
      </c>
      <c r="I232" s="376">
        <f t="shared" si="486"/>
        <v>6.4</v>
      </c>
      <c r="J232" s="376">
        <f t="shared" si="487"/>
        <v>0.143636363636364</v>
      </c>
      <c r="K232" s="24" t="s">
        <v>78</v>
      </c>
      <c r="L232" s="384" t="str">
        <f>IF(K232="","",VLOOKUP(K232,'Định nghĩa Loại Chức năng'!$B$4:$C$92,2,FALSE))</f>
        <v>Xử lý nghiệp vụ đơn giản</v>
      </c>
      <c r="M232" s="394" t="s">
        <v>287</v>
      </c>
      <c r="N232" s="395">
        <f>IF(K232="","",VLOOKUP(K232&amp;$N$7,CSDL_CN!$D$4:$E$264,2,FALSE))</f>
        <v>8</v>
      </c>
      <c r="O232" s="395">
        <f>IF(K232="","",VLOOKUP(K232&amp;$O$7,CSDL_CN!$D$4:$E$264,2,FALSE))</f>
        <v>12</v>
      </c>
      <c r="P232" s="395">
        <f t="shared" si="488"/>
        <v>3.6</v>
      </c>
      <c r="Q232" s="395">
        <f>IF(K232="","",VLOOKUP(K232&amp;$Q$7,CSDL_CN!$D$4:$E$264,2,FALSE))</f>
        <v>8</v>
      </c>
      <c r="R232" s="395">
        <f t="array" ref="R232">SUM(IFERROR(N232:Q232,0))</f>
        <v>31.6</v>
      </c>
      <c r="S232" s="400">
        <v>0.2</v>
      </c>
      <c r="T232" s="400">
        <v>0.2</v>
      </c>
      <c r="U232" s="400">
        <v>0.2</v>
      </c>
      <c r="V232" s="366"/>
      <c r="W232" s="366">
        <f t="shared" si="489"/>
        <v>0</v>
      </c>
      <c r="X232" s="404" t="s">
        <v>484</v>
      </c>
      <c r="Z232" s="410" t="s">
        <v>701</v>
      </c>
    </row>
    <row r="233" ht="75" spans="1:26">
      <c r="A233" s="366">
        <v>114</v>
      </c>
      <c r="B233" s="367" t="s">
        <v>729</v>
      </c>
      <c r="C233" s="367" t="s">
        <v>730</v>
      </c>
      <c r="D233" s="367" t="s">
        <v>731</v>
      </c>
      <c r="E233" s="376">
        <f t="shared" si="482"/>
        <v>25.28</v>
      </c>
      <c r="F233" s="377">
        <f t="shared" si="483"/>
        <v>6.4</v>
      </c>
      <c r="G233" s="377">
        <f t="shared" si="484"/>
        <v>9.6</v>
      </c>
      <c r="H233" s="376">
        <f t="shared" si="485"/>
        <v>2.88</v>
      </c>
      <c r="I233" s="376">
        <f t="shared" si="486"/>
        <v>6.4</v>
      </c>
      <c r="J233" s="376">
        <f t="shared" si="487"/>
        <v>0.143636363636364</v>
      </c>
      <c r="K233" s="24" t="s">
        <v>78</v>
      </c>
      <c r="L233" s="384" t="str">
        <f>IF(K233="","",VLOOKUP(K233,'Định nghĩa Loại Chức năng'!$B$4:$C$92,2,FALSE))</f>
        <v>Xử lý nghiệp vụ đơn giản</v>
      </c>
      <c r="M233" s="394" t="s">
        <v>287</v>
      </c>
      <c r="N233" s="395">
        <f>IF(K233="","",VLOOKUP(K233&amp;$N$7,CSDL_CN!$D$4:$E$264,2,FALSE))</f>
        <v>8</v>
      </c>
      <c r="O233" s="395">
        <f>IF(K233="","",VLOOKUP(K233&amp;$O$7,CSDL_CN!$D$4:$E$264,2,FALSE))</f>
        <v>12</v>
      </c>
      <c r="P233" s="395">
        <f t="shared" si="488"/>
        <v>3.6</v>
      </c>
      <c r="Q233" s="395">
        <f>IF(K233="","",VLOOKUP(K233&amp;$Q$7,CSDL_CN!$D$4:$E$264,2,FALSE))</f>
        <v>8</v>
      </c>
      <c r="R233" s="395">
        <f t="array" ref="R233">SUM(IFERROR(N233:Q233,0))</f>
        <v>31.6</v>
      </c>
      <c r="S233" s="400">
        <v>0.2</v>
      </c>
      <c r="T233" s="400">
        <v>0.2</v>
      </c>
      <c r="U233" s="400">
        <v>0.2</v>
      </c>
      <c r="V233" s="366"/>
      <c r="W233" s="366">
        <f t="shared" si="489"/>
        <v>0</v>
      </c>
      <c r="X233" s="404" t="s">
        <v>484</v>
      </c>
      <c r="Z233" s="410" t="s">
        <v>701</v>
      </c>
    </row>
    <row r="234" ht="75" spans="1:26">
      <c r="A234" s="366">
        <v>115</v>
      </c>
      <c r="B234" s="367" t="s">
        <v>732</v>
      </c>
      <c r="C234" s="367" t="s">
        <v>733</v>
      </c>
      <c r="D234" s="367" t="s">
        <v>734</v>
      </c>
      <c r="E234" s="376">
        <f t="shared" si="482"/>
        <v>25.28</v>
      </c>
      <c r="F234" s="377">
        <f t="shared" si="483"/>
        <v>6.4</v>
      </c>
      <c r="G234" s="377">
        <f t="shared" si="484"/>
        <v>9.6</v>
      </c>
      <c r="H234" s="376">
        <f t="shared" si="485"/>
        <v>2.88</v>
      </c>
      <c r="I234" s="376">
        <f t="shared" si="486"/>
        <v>6.4</v>
      </c>
      <c r="J234" s="376">
        <f t="shared" si="487"/>
        <v>0.143636363636364</v>
      </c>
      <c r="K234" s="24" t="s">
        <v>78</v>
      </c>
      <c r="L234" s="384" t="str">
        <f>IF(K234="","",VLOOKUP(K234,'Định nghĩa Loại Chức năng'!$B$4:$C$92,2,FALSE))</f>
        <v>Xử lý nghiệp vụ đơn giản</v>
      </c>
      <c r="M234" s="394" t="s">
        <v>287</v>
      </c>
      <c r="N234" s="395">
        <f>IF(K234="","",VLOOKUP(K234&amp;$N$7,CSDL_CN!$D$4:$E$264,2,FALSE))</f>
        <v>8</v>
      </c>
      <c r="O234" s="395">
        <f>IF(K234="","",VLOOKUP(K234&amp;$O$7,CSDL_CN!$D$4:$E$264,2,FALSE))</f>
        <v>12</v>
      </c>
      <c r="P234" s="395">
        <f t="shared" si="488"/>
        <v>3.6</v>
      </c>
      <c r="Q234" s="395">
        <f>IF(K234="","",VLOOKUP(K234&amp;$Q$7,CSDL_CN!$D$4:$E$264,2,FALSE))</f>
        <v>8</v>
      </c>
      <c r="R234" s="395">
        <f t="array" ref="R234">SUM(IFERROR(N234:Q234,0))</f>
        <v>31.6</v>
      </c>
      <c r="S234" s="400">
        <v>0.2</v>
      </c>
      <c r="T234" s="400">
        <v>0.2</v>
      </c>
      <c r="U234" s="400">
        <v>0.2</v>
      </c>
      <c r="V234" s="366"/>
      <c r="W234" s="366">
        <f t="shared" si="489"/>
        <v>0</v>
      </c>
      <c r="X234" s="404" t="s">
        <v>484</v>
      </c>
      <c r="Z234" s="410" t="s">
        <v>701</v>
      </c>
    </row>
    <row r="235" ht="75" spans="1:26">
      <c r="A235" s="366">
        <v>116</v>
      </c>
      <c r="B235" s="367" t="s">
        <v>735</v>
      </c>
      <c r="C235" s="367" t="s">
        <v>736</v>
      </c>
      <c r="D235" s="367" t="s">
        <v>737</v>
      </c>
      <c r="E235" s="376">
        <f t="shared" si="482"/>
        <v>25.28</v>
      </c>
      <c r="F235" s="377">
        <f t="shared" si="483"/>
        <v>6.4</v>
      </c>
      <c r="G235" s="377">
        <f t="shared" si="484"/>
        <v>9.6</v>
      </c>
      <c r="H235" s="376">
        <f t="shared" si="485"/>
        <v>2.88</v>
      </c>
      <c r="I235" s="376">
        <f t="shared" si="486"/>
        <v>6.4</v>
      </c>
      <c r="J235" s="376">
        <f t="shared" si="487"/>
        <v>0.143636363636364</v>
      </c>
      <c r="K235" s="24" t="s">
        <v>78</v>
      </c>
      <c r="L235" s="384" t="str">
        <f>IF(K235="","",VLOOKUP(K235,'Định nghĩa Loại Chức năng'!$B$4:$C$92,2,FALSE))</f>
        <v>Xử lý nghiệp vụ đơn giản</v>
      </c>
      <c r="M235" s="394" t="s">
        <v>287</v>
      </c>
      <c r="N235" s="395">
        <f>IF(K235="","",VLOOKUP(K235&amp;$N$7,CSDL_CN!$D$4:$E$264,2,FALSE))</f>
        <v>8</v>
      </c>
      <c r="O235" s="395">
        <f>IF(K235="","",VLOOKUP(K235&amp;$O$7,CSDL_CN!$D$4:$E$264,2,FALSE))</f>
        <v>12</v>
      </c>
      <c r="P235" s="395">
        <f t="shared" si="488"/>
        <v>3.6</v>
      </c>
      <c r="Q235" s="395">
        <f>IF(K235="","",VLOOKUP(K235&amp;$Q$7,CSDL_CN!$D$4:$E$264,2,FALSE))</f>
        <v>8</v>
      </c>
      <c r="R235" s="395">
        <f t="array" ref="R235">SUM(IFERROR(N235:Q235,0))</f>
        <v>31.6</v>
      </c>
      <c r="S235" s="400">
        <v>0.2</v>
      </c>
      <c r="T235" s="400">
        <v>0.2</v>
      </c>
      <c r="U235" s="400">
        <v>0.2</v>
      </c>
      <c r="V235" s="366"/>
      <c r="W235" s="366">
        <f t="shared" si="489"/>
        <v>0</v>
      </c>
      <c r="X235" s="404" t="s">
        <v>484</v>
      </c>
      <c r="Z235" s="410" t="s">
        <v>701</v>
      </c>
    </row>
    <row r="236" ht="75" spans="1:26">
      <c r="A236" s="366">
        <v>117</v>
      </c>
      <c r="B236" s="367" t="s">
        <v>738</v>
      </c>
      <c r="C236" s="367" t="s">
        <v>739</v>
      </c>
      <c r="D236" s="367" t="s">
        <v>740</v>
      </c>
      <c r="E236" s="376">
        <f t="shared" si="482"/>
        <v>25.28</v>
      </c>
      <c r="F236" s="377">
        <f t="shared" si="483"/>
        <v>6.4</v>
      </c>
      <c r="G236" s="377">
        <f t="shared" si="484"/>
        <v>9.6</v>
      </c>
      <c r="H236" s="376">
        <f t="shared" si="485"/>
        <v>2.88</v>
      </c>
      <c r="I236" s="376">
        <f t="shared" si="486"/>
        <v>6.4</v>
      </c>
      <c r="J236" s="376">
        <f t="shared" si="487"/>
        <v>0.143636363636364</v>
      </c>
      <c r="K236" s="24" t="s">
        <v>78</v>
      </c>
      <c r="L236" s="384" t="str">
        <f>IF(K236="","",VLOOKUP(K236,'Định nghĩa Loại Chức năng'!$B$4:$C$92,2,FALSE))</f>
        <v>Xử lý nghiệp vụ đơn giản</v>
      </c>
      <c r="M236" s="394" t="s">
        <v>287</v>
      </c>
      <c r="N236" s="395">
        <f>IF(K236="","",VLOOKUP(K236&amp;$N$7,CSDL_CN!$D$4:$E$264,2,FALSE))</f>
        <v>8</v>
      </c>
      <c r="O236" s="395">
        <f>IF(K236="","",VLOOKUP(K236&amp;$O$7,CSDL_CN!$D$4:$E$264,2,FALSE))</f>
        <v>12</v>
      </c>
      <c r="P236" s="395">
        <f t="shared" si="488"/>
        <v>3.6</v>
      </c>
      <c r="Q236" s="395">
        <f>IF(K236="","",VLOOKUP(K236&amp;$Q$7,CSDL_CN!$D$4:$E$264,2,FALSE))</f>
        <v>8</v>
      </c>
      <c r="R236" s="395">
        <f t="array" ref="R236">SUM(IFERROR(N236:Q236,0))</f>
        <v>31.6</v>
      </c>
      <c r="S236" s="400">
        <v>0.2</v>
      </c>
      <c r="T236" s="400">
        <v>0.2</v>
      </c>
      <c r="U236" s="400">
        <v>0.2</v>
      </c>
      <c r="V236" s="366"/>
      <c r="W236" s="366">
        <f t="shared" si="489"/>
        <v>0</v>
      </c>
      <c r="X236" s="404" t="s">
        <v>484</v>
      </c>
      <c r="Z236" s="410" t="s">
        <v>701</v>
      </c>
    </row>
    <row r="237" ht="75" spans="1:26">
      <c r="A237" s="366">
        <v>118</v>
      </c>
      <c r="B237" s="367" t="s">
        <v>741</v>
      </c>
      <c r="C237" s="367" t="s">
        <v>742</v>
      </c>
      <c r="D237" s="367" t="s">
        <v>743</v>
      </c>
      <c r="E237" s="376">
        <f t="shared" si="482"/>
        <v>25.28</v>
      </c>
      <c r="F237" s="377">
        <f t="shared" si="483"/>
        <v>6.4</v>
      </c>
      <c r="G237" s="377">
        <f t="shared" si="484"/>
        <v>9.6</v>
      </c>
      <c r="H237" s="376">
        <f t="shared" si="485"/>
        <v>2.88</v>
      </c>
      <c r="I237" s="376">
        <f t="shared" si="486"/>
        <v>6.4</v>
      </c>
      <c r="J237" s="376">
        <f t="shared" si="487"/>
        <v>0.143636363636364</v>
      </c>
      <c r="K237" s="24" t="s">
        <v>78</v>
      </c>
      <c r="L237" s="384" t="str">
        <f>IF(K237="","",VLOOKUP(K237,'Định nghĩa Loại Chức năng'!$B$4:$C$92,2,FALSE))</f>
        <v>Xử lý nghiệp vụ đơn giản</v>
      </c>
      <c r="M237" s="394" t="s">
        <v>287</v>
      </c>
      <c r="N237" s="395">
        <f>IF(K237="","",VLOOKUP(K237&amp;$N$7,CSDL_CN!$D$4:$E$264,2,FALSE))</f>
        <v>8</v>
      </c>
      <c r="O237" s="395">
        <f>IF(K237="","",VLOOKUP(K237&amp;$O$7,CSDL_CN!$D$4:$E$264,2,FALSE))</f>
        <v>12</v>
      </c>
      <c r="P237" s="395">
        <f t="shared" si="488"/>
        <v>3.6</v>
      </c>
      <c r="Q237" s="395">
        <f>IF(K237="","",VLOOKUP(K237&amp;$Q$7,CSDL_CN!$D$4:$E$264,2,FALSE))</f>
        <v>8</v>
      </c>
      <c r="R237" s="395">
        <f t="array" ref="R237">SUM(IFERROR(N237:Q237,0))</f>
        <v>31.6</v>
      </c>
      <c r="S237" s="400">
        <v>0.2</v>
      </c>
      <c r="T237" s="400">
        <v>0.2</v>
      </c>
      <c r="U237" s="400">
        <v>0.2</v>
      </c>
      <c r="V237" s="366"/>
      <c r="W237" s="366">
        <f t="shared" si="489"/>
        <v>0</v>
      </c>
      <c r="X237" s="404" t="s">
        <v>484</v>
      </c>
      <c r="Z237" s="410" t="s">
        <v>701</v>
      </c>
    </row>
    <row r="238" ht="75" spans="1:26">
      <c r="A238" s="366">
        <v>119</v>
      </c>
      <c r="B238" s="367" t="s">
        <v>744</v>
      </c>
      <c r="C238" s="367" t="s">
        <v>745</v>
      </c>
      <c r="D238" s="367" t="s">
        <v>746</v>
      </c>
      <c r="E238" s="376">
        <f t="shared" si="482"/>
        <v>25.28</v>
      </c>
      <c r="F238" s="377">
        <f t="shared" si="483"/>
        <v>6.4</v>
      </c>
      <c r="G238" s="377">
        <f t="shared" si="484"/>
        <v>9.6</v>
      </c>
      <c r="H238" s="376">
        <f t="shared" si="485"/>
        <v>2.88</v>
      </c>
      <c r="I238" s="376">
        <f t="shared" si="486"/>
        <v>6.4</v>
      </c>
      <c r="J238" s="376">
        <f t="shared" si="487"/>
        <v>0.143636363636364</v>
      </c>
      <c r="K238" s="24" t="s">
        <v>78</v>
      </c>
      <c r="L238" s="384" t="str">
        <f>IF(K238="","",VLOOKUP(K238,'Định nghĩa Loại Chức năng'!$B$4:$C$92,2,FALSE))</f>
        <v>Xử lý nghiệp vụ đơn giản</v>
      </c>
      <c r="M238" s="394" t="s">
        <v>287</v>
      </c>
      <c r="N238" s="395">
        <f>IF(K238="","",VLOOKUP(K238&amp;$N$7,CSDL_CN!$D$4:$E$264,2,FALSE))</f>
        <v>8</v>
      </c>
      <c r="O238" s="395">
        <f>IF(K238="","",VLOOKUP(K238&amp;$O$7,CSDL_CN!$D$4:$E$264,2,FALSE))</f>
        <v>12</v>
      </c>
      <c r="P238" s="395">
        <f t="shared" si="488"/>
        <v>3.6</v>
      </c>
      <c r="Q238" s="395">
        <f>IF(K238="","",VLOOKUP(K238&amp;$Q$7,CSDL_CN!$D$4:$E$264,2,FALSE))</f>
        <v>8</v>
      </c>
      <c r="R238" s="395">
        <f t="array" ref="R238">SUM(IFERROR(N238:Q238,0))</f>
        <v>31.6</v>
      </c>
      <c r="S238" s="400">
        <v>0.2</v>
      </c>
      <c r="T238" s="400">
        <v>0.2</v>
      </c>
      <c r="U238" s="400">
        <v>0.2</v>
      </c>
      <c r="V238" s="366"/>
      <c r="W238" s="366">
        <f t="shared" si="489"/>
        <v>0</v>
      </c>
      <c r="X238" s="404" t="s">
        <v>484</v>
      </c>
      <c r="Z238" s="410" t="s">
        <v>701</v>
      </c>
    </row>
    <row r="239" ht="75" spans="1:26">
      <c r="A239" s="366">
        <v>120</v>
      </c>
      <c r="B239" s="367" t="s">
        <v>747</v>
      </c>
      <c r="C239" s="367" t="s">
        <v>748</v>
      </c>
      <c r="D239" s="367" t="s">
        <v>749</v>
      </c>
      <c r="E239" s="376">
        <f t="shared" si="482"/>
        <v>25.28</v>
      </c>
      <c r="F239" s="377">
        <f t="shared" si="483"/>
        <v>6.4</v>
      </c>
      <c r="G239" s="377">
        <f t="shared" si="484"/>
        <v>9.6</v>
      </c>
      <c r="H239" s="376">
        <f t="shared" si="485"/>
        <v>2.88</v>
      </c>
      <c r="I239" s="376">
        <f t="shared" si="486"/>
        <v>6.4</v>
      </c>
      <c r="J239" s="376">
        <f t="shared" si="487"/>
        <v>0.143636363636364</v>
      </c>
      <c r="K239" s="24" t="s">
        <v>78</v>
      </c>
      <c r="L239" s="384" t="str">
        <f>IF(K239="","",VLOOKUP(K239,'Định nghĩa Loại Chức năng'!$B$4:$C$92,2,FALSE))</f>
        <v>Xử lý nghiệp vụ đơn giản</v>
      </c>
      <c r="M239" s="394" t="s">
        <v>287</v>
      </c>
      <c r="N239" s="395">
        <f>IF(K239="","",VLOOKUP(K239&amp;$N$7,CSDL_CN!$D$4:$E$264,2,FALSE))</f>
        <v>8</v>
      </c>
      <c r="O239" s="395">
        <f>IF(K239="","",VLOOKUP(K239&amp;$O$7,CSDL_CN!$D$4:$E$264,2,FALSE))</f>
        <v>12</v>
      </c>
      <c r="P239" s="395">
        <f t="shared" si="488"/>
        <v>3.6</v>
      </c>
      <c r="Q239" s="395">
        <f>IF(K239="","",VLOOKUP(K239&amp;$Q$7,CSDL_CN!$D$4:$E$264,2,FALSE))</f>
        <v>8</v>
      </c>
      <c r="R239" s="395">
        <f t="array" ref="R239">SUM(IFERROR(N239:Q239,0))</f>
        <v>31.6</v>
      </c>
      <c r="S239" s="400">
        <v>0.2</v>
      </c>
      <c r="T239" s="400">
        <v>0.2</v>
      </c>
      <c r="U239" s="400">
        <v>0.2</v>
      </c>
      <c r="V239" s="366"/>
      <c r="W239" s="366">
        <f t="shared" si="489"/>
        <v>0</v>
      </c>
      <c r="X239" s="404" t="s">
        <v>484</v>
      </c>
      <c r="Z239" s="410" t="s">
        <v>701</v>
      </c>
    </row>
    <row r="240" ht="75" spans="1:26">
      <c r="A240" s="366">
        <v>121</v>
      </c>
      <c r="B240" s="367" t="s">
        <v>750</v>
      </c>
      <c r="C240" s="367" t="s">
        <v>751</v>
      </c>
      <c r="D240" s="367" t="s">
        <v>752</v>
      </c>
      <c r="E240" s="376">
        <f t="shared" si="482"/>
        <v>25.28</v>
      </c>
      <c r="F240" s="377">
        <f t="shared" si="483"/>
        <v>6.4</v>
      </c>
      <c r="G240" s="377">
        <f t="shared" si="484"/>
        <v>9.6</v>
      </c>
      <c r="H240" s="376">
        <f t="shared" si="485"/>
        <v>2.88</v>
      </c>
      <c r="I240" s="376">
        <f t="shared" si="486"/>
        <v>6.4</v>
      </c>
      <c r="J240" s="376">
        <f t="shared" si="487"/>
        <v>0.143636363636364</v>
      </c>
      <c r="K240" s="24" t="s">
        <v>78</v>
      </c>
      <c r="L240" s="384" t="str">
        <f>IF(K240="","",VLOOKUP(K240,'Định nghĩa Loại Chức năng'!$B$4:$C$92,2,FALSE))</f>
        <v>Xử lý nghiệp vụ đơn giản</v>
      </c>
      <c r="M240" s="394" t="s">
        <v>287</v>
      </c>
      <c r="N240" s="395">
        <f>IF(K240="","",VLOOKUP(K240&amp;$N$7,CSDL_CN!$D$4:$E$264,2,FALSE))</f>
        <v>8</v>
      </c>
      <c r="O240" s="395">
        <f>IF(K240="","",VLOOKUP(K240&amp;$O$7,CSDL_CN!$D$4:$E$264,2,FALSE))</f>
        <v>12</v>
      </c>
      <c r="P240" s="395">
        <f t="shared" si="488"/>
        <v>3.6</v>
      </c>
      <c r="Q240" s="395">
        <f>IF(K240="","",VLOOKUP(K240&amp;$Q$7,CSDL_CN!$D$4:$E$264,2,FALSE))</f>
        <v>8</v>
      </c>
      <c r="R240" s="395">
        <f t="array" ref="R240">SUM(IFERROR(N240:Q240,0))</f>
        <v>31.6</v>
      </c>
      <c r="S240" s="400">
        <v>0.2</v>
      </c>
      <c r="T240" s="400">
        <v>0.2</v>
      </c>
      <c r="U240" s="400">
        <v>0.2</v>
      </c>
      <c r="V240" s="366"/>
      <c r="W240" s="366">
        <f t="shared" si="489"/>
        <v>0</v>
      </c>
      <c r="X240" s="404" t="s">
        <v>484</v>
      </c>
      <c r="Z240" s="410" t="s">
        <v>701</v>
      </c>
    </row>
    <row r="241" ht="75" spans="1:26">
      <c r="A241" s="366">
        <v>122</v>
      </c>
      <c r="B241" s="367" t="s">
        <v>753</v>
      </c>
      <c r="C241" s="367" t="s">
        <v>754</v>
      </c>
      <c r="D241" s="367" t="s">
        <v>755</v>
      </c>
      <c r="E241" s="376">
        <f t="shared" si="482"/>
        <v>25.28</v>
      </c>
      <c r="F241" s="377">
        <f t="shared" si="483"/>
        <v>6.4</v>
      </c>
      <c r="G241" s="377">
        <f t="shared" si="484"/>
        <v>9.6</v>
      </c>
      <c r="H241" s="376">
        <f t="shared" si="485"/>
        <v>2.88</v>
      </c>
      <c r="I241" s="376">
        <f t="shared" si="486"/>
        <v>6.4</v>
      </c>
      <c r="J241" s="376">
        <f t="shared" si="487"/>
        <v>0.143636363636364</v>
      </c>
      <c r="K241" s="24" t="s">
        <v>78</v>
      </c>
      <c r="L241" s="384" t="str">
        <f>IF(K241="","",VLOOKUP(K241,'Định nghĩa Loại Chức năng'!$B$4:$C$92,2,FALSE))</f>
        <v>Xử lý nghiệp vụ đơn giản</v>
      </c>
      <c r="M241" s="394" t="s">
        <v>287</v>
      </c>
      <c r="N241" s="395">
        <f>IF(K241="","",VLOOKUP(K241&amp;$N$7,CSDL_CN!$D$4:$E$264,2,FALSE))</f>
        <v>8</v>
      </c>
      <c r="O241" s="395">
        <f>IF(K241="","",VLOOKUP(K241&amp;$O$7,CSDL_CN!$D$4:$E$264,2,FALSE))</f>
        <v>12</v>
      </c>
      <c r="P241" s="395">
        <f t="shared" si="488"/>
        <v>3.6</v>
      </c>
      <c r="Q241" s="395">
        <f>IF(K241="","",VLOOKUP(K241&amp;$Q$7,CSDL_CN!$D$4:$E$264,2,FALSE))</f>
        <v>8</v>
      </c>
      <c r="R241" s="395">
        <f t="array" ref="R241">SUM(IFERROR(N241:Q241,0))</f>
        <v>31.6</v>
      </c>
      <c r="S241" s="400">
        <v>0.2</v>
      </c>
      <c r="T241" s="400">
        <v>0.2</v>
      </c>
      <c r="U241" s="400">
        <v>0.2</v>
      </c>
      <c r="V241" s="366"/>
      <c r="W241" s="366">
        <f t="shared" si="489"/>
        <v>0</v>
      </c>
      <c r="X241" s="404" t="s">
        <v>484</v>
      </c>
      <c r="Z241" s="410" t="s">
        <v>701</v>
      </c>
    </row>
    <row r="242" ht="60" spans="1:26">
      <c r="A242" s="366">
        <v>123</v>
      </c>
      <c r="B242" s="367" t="s">
        <v>756</v>
      </c>
      <c r="C242" s="367" t="s">
        <v>757</v>
      </c>
      <c r="D242" s="367" t="s">
        <v>758</v>
      </c>
      <c r="E242" s="376">
        <f t="shared" si="482"/>
        <v>25.28</v>
      </c>
      <c r="F242" s="377">
        <f t="shared" si="483"/>
        <v>6.4</v>
      </c>
      <c r="G242" s="377">
        <f t="shared" si="484"/>
        <v>9.6</v>
      </c>
      <c r="H242" s="376">
        <f t="shared" si="485"/>
        <v>2.88</v>
      </c>
      <c r="I242" s="376">
        <f t="shared" si="486"/>
        <v>6.4</v>
      </c>
      <c r="J242" s="376">
        <f t="shared" si="487"/>
        <v>0.143636363636364</v>
      </c>
      <c r="K242" s="24" t="s">
        <v>78</v>
      </c>
      <c r="L242" s="384" t="str">
        <f>IF(K242="","",VLOOKUP(K242,'Định nghĩa Loại Chức năng'!$B$4:$C$92,2,FALSE))</f>
        <v>Xử lý nghiệp vụ đơn giản</v>
      </c>
      <c r="M242" s="394" t="s">
        <v>287</v>
      </c>
      <c r="N242" s="395">
        <f>IF(K242="","",VLOOKUP(K242&amp;$N$7,CSDL_CN!$D$4:$E$264,2,FALSE))</f>
        <v>8</v>
      </c>
      <c r="O242" s="395">
        <f>IF(K242="","",VLOOKUP(K242&amp;$O$7,CSDL_CN!$D$4:$E$264,2,FALSE))</f>
        <v>12</v>
      </c>
      <c r="P242" s="395">
        <f t="shared" si="488"/>
        <v>3.6</v>
      </c>
      <c r="Q242" s="395">
        <f>IF(K242="","",VLOOKUP(K242&amp;$Q$7,CSDL_CN!$D$4:$E$264,2,FALSE))</f>
        <v>8</v>
      </c>
      <c r="R242" s="395">
        <f t="array" ref="R242">SUM(IFERROR(N242:Q242,0))</f>
        <v>31.6</v>
      </c>
      <c r="S242" s="400">
        <v>0.2</v>
      </c>
      <c r="T242" s="400">
        <v>0.2</v>
      </c>
      <c r="U242" s="400">
        <v>0.2</v>
      </c>
      <c r="V242" s="366"/>
      <c r="W242" s="366">
        <f t="shared" si="489"/>
        <v>0</v>
      </c>
      <c r="X242" s="404" t="s">
        <v>484</v>
      </c>
      <c r="Z242" s="410" t="s">
        <v>602</v>
      </c>
    </row>
    <row r="243" ht="60" spans="1:26">
      <c r="A243" s="366">
        <v>124</v>
      </c>
      <c r="B243" s="367" t="s">
        <v>759</v>
      </c>
      <c r="C243" s="367" t="s">
        <v>760</v>
      </c>
      <c r="D243" s="367" t="s">
        <v>761</v>
      </c>
      <c r="E243" s="376">
        <f t="shared" si="482"/>
        <v>25.28</v>
      </c>
      <c r="F243" s="377">
        <f t="shared" si="483"/>
        <v>6.4</v>
      </c>
      <c r="G243" s="377">
        <f t="shared" si="484"/>
        <v>9.6</v>
      </c>
      <c r="H243" s="376">
        <f t="shared" si="485"/>
        <v>2.88</v>
      </c>
      <c r="I243" s="376">
        <f t="shared" si="486"/>
        <v>6.4</v>
      </c>
      <c r="J243" s="376">
        <f t="shared" si="487"/>
        <v>0.143636363636364</v>
      </c>
      <c r="K243" s="24" t="s">
        <v>78</v>
      </c>
      <c r="L243" s="384" t="str">
        <f>IF(K243="","",VLOOKUP(K243,'Định nghĩa Loại Chức năng'!$B$4:$C$92,2,FALSE))</f>
        <v>Xử lý nghiệp vụ đơn giản</v>
      </c>
      <c r="M243" s="394" t="s">
        <v>287</v>
      </c>
      <c r="N243" s="395">
        <f>IF(K243="","",VLOOKUP(K243&amp;$N$7,CSDL_CN!$D$4:$E$264,2,FALSE))</f>
        <v>8</v>
      </c>
      <c r="O243" s="395">
        <f>IF(K243="","",VLOOKUP(K243&amp;$O$7,CSDL_CN!$D$4:$E$264,2,FALSE))</f>
        <v>12</v>
      </c>
      <c r="P243" s="395">
        <f t="shared" si="488"/>
        <v>3.6</v>
      </c>
      <c r="Q243" s="395">
        <f>IF(K243="","",VLOOKUP(K243&amp;$Q$7,CSDL_CN!$D$4:$E$264,2,FALSE))</f>
        <v>8</v>
      </c>
      <c r="R243" s="395">
        <f t="array" ref="R243">SUM(IFERROR(N243:Q243,0))</f>
        <v>31.6</v>
      </c>
      <c r="S243" s="400">
        <v>0.2</v>
      </c>
      <c r="T243" s="400">
        <v>0.2</v>
      </c>
      <c r="U243" s="400">
        <v>0.2</v>
      </c>
      <c r="V243" s="366"/>
      <c r="W243" s="366">
        <f t="shared" si="489"/>
        <v>0</v>
      </c>
      <c r="X243" s="404" t="s">
        <v>484</v>
      </c>
      <c r="Z243" s="410" t="s">
        <v>602</v>
      </c>
    </row>
    <row r="244" ht="60" spans="1:26">
      <c r="A244" s="366">
        <v>125</v>
      </c>
      <c r="B244" s="367" t="s">
        <v>762</v>
      </c>
      <c r="C244" s="367" t="s">
        <v>763</v>
      </c>
      <c r="D244" s="367" t="s">
        <v>764</v>
      </c>
      <c r="E244" s="376">
        <f t="shared" si="482"/>
        <v>25.28</v>
      </c>
      <c r="F244" s="377">
        <f t="shared" si="483"/>
        <v>6.4</v>
      </c>
      <c r="G244" s="377">
        <f t="shared" si="484"/>
        <v>9.6</v>
      </c>
      <c r="H244" s="376">
        <f t="shared" si="485"/>
        <v>2.88</v>
      </c>
      <c r="I244" s="376">
        <f t="shared" si="486"/>
        <v>6.4</v>
      </c>
      <c r="J244" s="376">
        <f t="shared" si="487"/>
        <v>0.143636363636364</v>
      </c>
      <c r="K244" s="24" t="s">
        <v>78</v>
      </c>
      <c r="L244" s="384" t="str">
        <f>IF(K244="","",VLOOKUP(K244,'Định nghĩa Loại Chức năng'!$B$4:$C$92,2,FALSE))</f>
        <v>Xử lý nghiệp vụ đơn giản</v>
      </c>
      <c r="M244" s="394" t="s">
        <v>287</v>
      </c>
      <c r="N244" s="395">
        <f>IF(K244="","",VLOOKUP(K244&amp;$N$7,CSDL_CN!$D$4:$E$264,2,FALSE))</f>
        <v>8</v>
      </c>
      <c r="O244" s="395">
        <f>IF(K244="","",VLOOKUP(K244&amp;$O$7,CSDL_CN!$D$4:$E$264,2,FALSE))</f>
        <v>12</v>
      </c>
      <c r="P244" s="395">
        <f t="shared" si="488"/>
        <v>3.6</v>
      </c>
      <c r="Q244" s="395">
        <f>IF(K244="","",VLOOKUP(K244&amp;$Q$7,CSDL_CN!$D$4:$E$264,2,FALSE))</f>
        <v>8</v>
      </c>
      <c r="R244" s="395">
        <f t="array" ref="R244">SUM(IFERROR(N244:Q244,0))</f>
        <v>31.6</v>
      </c>
      <c r="S244" s="400">
        <v>0.2</v>
      </c>
      <c r="T244" s="400">
        <v>0.2</v>
      </c>
      <c r="U244" s="400">
        <v>0.2</v>
      </c>
      <c r="V244" s="366"/>
      <c r="W244" s="366">
        <f t="shared" si="489"/>
        <v>0</v>
      </c>
      <c r="X244" s="404" t="s">
        <v>484</v>
      </c>
      <c r="Z244" s="410" t="s">
        <v>602</v>
      </c>
    </row>
    <row r="245" ht="60" spans="1:26">
      <c r="A245" s="366">
        <v>126</v>
      </c>
      <c r="B245" s="367" t="s">
        <v>765</v>
      </c>
      <c r="C245" s="367" t="s">
        <v>766</v>
      </c>
      <c r="D245" s="367" t="s">
        <v>767</v>
      </c>
      <c r="E245" s="376">
        <f t="shared" si="482"/>
        <v>25.28</v>
      </c>
      <c r="F245" s="377">
        <f t="shared" si="483"/>
        <v>6.4</v>
      </c>
      <c r="G245" s="377">
        <f t="shared" si="484"/>
        <v>9.6</v>
      </c>
      <c r="H245" s="376">
        <f t="shared" si="485"/>
        <v>2.88</v>
      </c>
      <c r="I245" s="376">
        <f t="shared" si="486"/>
        <v>6.4</v>
      </c>
      <c r="J245" s="376">
        <f t="shared" si="487"/>
        <v>0.143636363636364</v>
      </c>
      <c r="K245" s="24" t="s">
        <v>78</v>
      </c>
      <c r="L245" s="384" t="str">
        <f>IF(K245="","",VLOOKUP(K245,'Định nghĩa Loại Chức năng'!$B$4:$C$92,2,FALSE))</f>
        <v>Xử lý nghiệp vụ đơn giản</v>
      </c>
      <c r="M245" s="394" t="s">
        <v>287</v>
      </c>
      <c r="N245" s="395">
        <f>IF(K245="","",VLOOKUP(K245&amp;$N$7,CSDL_CN!$D$4:$E$264,2,FALSE))</f>
        <v>8</v>
      </c>
      <c r="O245" s="395">
        <f>IF(K245="","",VLOOKUP(K245&amp;$O$7,CSDL_CN!$D$4:$E$264,2,FALSE))</f>
        <v>12</v>
      </c>
      <c r="P245" s="395">
        <f t="shared" si="488"/>
        <v>3.6</v>
      </c>
      <c r="Q245" s="395">
        <f>IF(K245="","",VLOOKUP(K245&amp;$Q$7,CSDL_CN!$D$4:$E$264,2,FALSE))</f>
        <v>8</v>
      </c>
      <c r="R245" s="395">
        <f t="array" ref="R245">SUM(IFERROR(N245:Q245,0))</f>
        <v>31.6</v>
      </c>
      <c r="S245" s="400">
        <v>0.2</v>
      </c>
      <c r="T245" s="400">
        <v>0.2</v>
      </c>
      <c r="U245" s="400">
        <v>0.2</v>
      </c>
      <c r="V245" s="366"/>
      <c r="W245" s="366">
        <f t="shared" si="489"/>
        <v>0</v>
      </c>
      <c r="X245" s="404" t="s">
        <v>484</v>
      </c>
      <c r="Z245" s="410" t="s">
        <v>602</v>
      </c>
    </row>
    <row r="246" ht="60" spans="1:26">
      <c r="A246" s="366">
        <v>127</v>
      </c>
      <c r="B246" s="367" t="s">
        <v>768</v>
      </c>
      <c r="C246" s="367" t="s">
        <v>769</v>
      </c>
      <c r="D246" s="367" t="s">
        <v>770</v>
      </c>
      <c r="E246" s="376">
        <f t="shared" si="482"/>
        <v>25.28</v>
      </c>
      <c r="F246" s="377">
        <f t="shared" si="483"/>
        <v>6.4</v>
      </c>
      <c r="G246" s="377">
        <f t="shared" si="484"/>
        <v>9.6</v>
      </c>
      <c r="H246" s="376">
        <f t="shared" si="485"/>
        <v>2.88</v>
      </c>
      <c r="I246" s="376">
        <f t="shared" si="486"/>
        <v>6.4</v>
      </c>
      <c r="J246" s="376">
        <f t="shared" si="487"/>
        <v>0.143636363636364</v>
      </c>
      <c r="K246" s="24" t="s">
        <v>78</v>
      </c>
      <c r="L246" s="384" t="str">
        <f>IF(K246="","",VLOOKUP(K246,'Định nghĩa Loại Chức năng'!$B$4:$C$92,2,FALSE))</f>
        <v>Xử lý nghiệp vụ đơn giản</v>
      </c>
      <c r="M246" s="394" t="s">
        <v>287</v>
      </c>
      <c r="N246" s="395">
        <f>IF(K246="","",VLOOKUP(K246&amp;$N$7,CSDL_CN!$D$4:$E$264,2,FALSE))</f>
        <v>8</v>
      </c>
      <c r="O246" s="395">
        <f>IF(K246="","",VLOOKUP(K246&amp;$O$7,CSDL_CN!$D$4:$E$264,2,FALSE))</f>
        <v>12</v>
      </c>
      <c r="P246" s="395">
        <f t="shared" si="488"/>
        <v>3.6</v>
      </c>
      <c r="Q246" s="395">
        <f>IF(K246="","",VLOOKUP(K246&amp;$Q$7,CSDL_CN!$D$4:$E$264,2,FALSE))</f>
        <v>8</v>
      </c>
      <c r="R246" s="395">
        <f t="array" ref="R246">SUM(IFERROR(N246:Q246,0))</f>
        <v>31.6</v>
      </c>
      <c r="S246" s="400">
        <v>0.2</v>
      </c>
      <c r="T246" s="400">
        <v>0.2</v>
      </c>
      <c r="U246" s="400">
        <v>0.2</v>
      </c>
      <c r="V246" s="366"/>
      <c r="W246" s="366">
        <f t="shared" si="489"/>
        <v>0</v>
      </c>
      <c r="X246" s="404" t="s">
        <v>484</v>
      </c>
      <c r="Z246" s="410" t="s">
        <v>602</v>
      </c>
    </row>
    <row r="247" ht="60" spans="1:26">
      <c r="A247" s="366">
        <v>128</v>
      </c>
      <c r="B247" s="367" t="s">
        <v>771</v>
      </c>
      <c r="C247" s="367" t="s">
        <v>772</v>
      </c>
      <c r="D247" s="367" t="s">
        <v>773</v>
      </c>
      <c r="E247" s="376">
        <f t="shared" ref="E247:E296" si="490">SUM(F247:I247)</f>
        <v>25.28</v>
      </c>
      <c r="F247" s="377">
        <f t="shared" ref="F247:F296" si="491">N247*(1-$S247)</f>
        <v>6.4</v>
      </c>
      <c r="G247" s="377">
        <f t="shared" ref="G247:G296" si="492">O247*(1-$T247)</f>
        <v>9.6</v>
      </c>
      <c r="H247" s="376">
        <f t="shared" ref="H247:H296" si="493">P247*(1-$T247)</f>
        <v>2.88</v>
      </c>
      <c r="I247" s="376">
        <f t="shared" ref="I247:I296" si="494">Q247*(1-$U247)</f>
        <v>6.4</v>
      </c>
      <c r="J247" s="376">
        <f t="shared" ref="J247:J296" si="495">E247/22/8</f>
        <v>0.143636363636364</v>
      </c>
      <c r="K247" s="24" t="s">
        <v>78</v>
      </c>
      <c r="L247" s="384" t="str">
        <f>IF(K247="","",VLOOKUP(K247,'Định nghĩa Loại Chức năng'!$B$4:$C$92,2,FALSE))</f>
        <v>Xử lý nghiệp vụ đơn giản</v>
      </c>
      <c r="M247" s="394" t="s">
        <v>287</v>
      </c>
      <c r="N247" s="395">
        <f>IF(K247="","",VLOOKUP(K247&amp;$N$7,CSDL_CN!$D$4:$E$264,2,FALSE))</f>
        <v>8</v>
      </c>
      <c r="O247" s="395">
        <f>IF(K247="","",VLOOKUP(K247&amp;$O$7,CSDL_CN!$D$4:$E$264,2,FALSE))</f>
        <v>12</v>
      </c>
      <c r="P247" s="395">
        <f t="shared" ref="P247:P296" si="496">IF(M247="Có",O247*30%,0)</f>
        <v>3.6</v>
      </c>
      <c r="Q247" s="395">
        <f>IF(K247="","",VLOOKUP(K247&amp;$Q$7,CSDL_CN!$D$4:$E$264,2,FALSE))</f>
        <v>8</v>
      </c>
      <c r="R247" s="395">
        <f t="array" ref="R247">SUM(IFERROR(N247:Q247,0))</f>
        <v>31.6</v>
      </c>
      <c r="S247" s="400">
        <v>0.2</v>
      </c>
      <c r="T247" s="400">
        <v>0.2</v>
      </c>
      <c r="U247" s="400">
        <v>0.2</v>
      </c>
      <c r="V247" s="366"/>
      <c r="W247" s="366">
        <f t="shared" ref="W247:W296" si="497">IF(X247="OS",E247,0)</f>
        <v>0</v>
      </c>
      <c r="X247" s="404" t="s">
        <v>484</v>
      </c>
      <c r="Z247" s="410" t="s">
        <v>602</v>
      </c>
    </row>
    <row r="248" ht="60" spans="1:26">
      <c r="A248" s="366">
        <v>129</v>
      </c>
      <c r="B248" s="367" t="s">
        <v>774</v>
      </c>
      <c r="C248" s="367" t="s">
        <v>772</v>
      </c>
      <c r="D248" s="367" t="s">
        <v>775</v>
      </c>
      <c r="E248" s="376">
        <f t="shared" si="490"/>
        <v>25.28</v>
      </c>
      <c r="F248" s="377">
        <f t="shared" si="491"/>
        <v>6.4</v>
      </c>
      <c r="G248" s="377">
        <f t="shared" si="492"/>
        <v>9.6</v>
      </c>
      <c r="H248" s="376">
        <f t="shared" si="493"/>
        <v>2.88</v>
      </c>
      <c r="I248" s="376">
        <f t="shared" si="494"/>
        <v>6.4</v>
      </c>
      <c r="J248" s="376">
        <f t="shared" si="495"/>
        <v>0.143636363636364</v>
      </c>
      <c r="K248" s="24" t="s">
        <v>78</v>
      </c>
      <c r="L248" s="384" t="str">
        <f>IF(K248="","",VLOOKUP(K248,'Định nghĩa Loại Chức năng'!$B$4:$C$92,2,FALSE))</f>
        <v>Xử lý nghiệp vụ đơn giản</v>
      </c>
      <c r="M248" s="394" t="s">
        <v>287</v>
      </c>
      <c r="N248" s="395">
        <f>IF(K248="","",VLOOKUP(K248&amp;$N$7,CSDL_CN!$D$4:$E$264,2,FALSE))</f>
        <v>8</v>
      </c>
      <c r="O248" s="395">
        <f>IF(K248="","",VLOOKUP(K248&amp;$O$7,CSDL_CN!$D$4:$E$264,2,FALSE))</f>
        <v>12</v>
      </c>
      <c r="P248" s="395">
        <f t="shared" si="496"/>
        <v>3.6</v>
      </c>
      <c r="Q248" s="395">
        <f>IF(K248="","",VLOOKUP(K248&amp;$Q$7,CSDL_CN!$D$4:$E$264,2,FALSE))</f>
        <v>8</v>
      </c>
      <c r="R248" s="395">
        <f t="array" ref="R248">SUM(IFERROR(N248:Q248,0))</f>
        <v>31.6</v>
      </c>
      <c r="S248" s="400">
        <v>0.2</v>
      </c>
      <c r="T248" s="400">
        <v>0.2</v>
      </c>
      <c r="U248" s="400">
        <v>0.2</v>
      </c>
      <c r="V248" s="366"/>
      <c r="W248" s="366">
        <f t="shared" si="497"/>
        <v>0</v>
      </c>
      <c r="X248" s="404" t="s">
        <v>484</v>
      </c>
      <c r="Z248" s="410" t="s">
        <v>602</v>
      </c>
    </row>
    <row r="249" ht="60" spans="1:26">
      <c r="A249" s="366">
        <v>130</v>
      </c>
      <c r="B249" s="367" t="s">
        <v>776</v>
      </c>
      <c r="C249" s="367" t="s">
        <v>772</v>
      </c>
      <c r="D249" s="367" t="s">
        <v>777</v>
      </c>
      <c r="E249" s="376">
        <f t="shared" si="490"/>
        <v>25.28</v>
      </c>
      <c r="F249" s="377">
        <f t="shared" si="491"/>
        <v>6.4</v>
      </c>
      <c r="G249" s="377">
        <f t="shared" si="492"/>
        <v>9.6</v>
      </c>
      <c r="H249" s="376">
        <f t="shared" si="493"/>
        <v>2.88</v>
      </c>
      <c r="I249" s="376">
        <f t="shared" si="494"/>
        <v>6.4</v>
      </c>
      <c r="J249" s="376">
        <f t="shared" si="495"/>
        <v>0.143636363636364</v>
      </c>
      <c r="K249" s="24" t="s">
        <v>78</v>
      </c>
      <c r="L249" s="384" t="str">
        <f>IF(K249="","",VLOOKUP(K249,'Định nghĩa Loại Chức năng'!$B$4:$C$92,2,FALSE))</f>
        <v>Xử lý nghiệp vụ đơn giản</v>
      </c>
      <c r="M249" s="394" t="s">
        <v>287</v>
      </c>
      <c r="N249" s="395">
        <f>IF(K249="","",VLOOKUP(K249&amp;$N$7,CSDL_CN!$D$4:$E$264,2,FALSE))</f>
        <v>8</v>
      </c>
      <c r="O249" s="395">
        <f>IF(K249="","",VLOOKUP(K249&amp;$O$7,CSDL_CN!$D$4:$E$264,2,FALSE))</f>
        <v>12</v>
      </c>
      <c r="P249" s="395">
        <f t="shared" si="496"/>
        <v>3.6</v>
      </c>
      <c r="Q249" s="395">
        <f>IF(K249="","",VLOOKUP(K249&amp;$Q$7,CSDL_CN!$D$4:$E$264,2,FALSE))</f>
        <v>8</v>
      </c>
      <c r="R249" s="395">
        <f t="array" ref="R249">SUM(IFERROR(N249:Q249,0))</f>
        <v>31.6</v>
      </c>
      <c r="S249" s="400">
        <v>0.2</v>
      </c>
      <c r="T249" s="400">
        <v>0.2</v>
      </c>
      <c r="U249" s="400">
        <v>0.2</v>
      </c>
      <c r="V249" s="366"/>
      <c r="W249" s="366">
        <f t="shared" si="497"/>
        <v>0</v>
      </c>
      <c r="X249" s="404" t="s">
        <v>484</v>
      </c>
      <c r="Z249" s="410" t="s">
        <v>602</v>
      </c>
    </row>
    <row r="250" ht="60" spans="1:26">
      <c r="A250" s="366">
        <v>131</v>
      </c>
      <c r="B250" s="367" t="s">
        <v>778</v>
      </c>
      <c r="C250" s="367" t="s">
        <v>772</v>
      </c>
      <c r="D250" s="367" t="s">
        <v>779</v>
      </c>
      <c r="E250" s="376">
        <f t="shared" si="490"/>
        <v>25.28</v>
      </c>
      <c r="F250" s="377">
        <f t="shared" si="491"/>
        <v>6.4</v>
      </c>
      <c r="G250" s="377">
        <f t="shared" si="492"/>
        <v>9.6</v>
      </c>
      <c r="H250" s="376">
        <f t="shared" si="493"/>
        <v>2.88</v>
      </c>
      <c r="I250" s="376">
        <f t="shared" si="494"/>
        <v>6.4</v>
      </c>
      <c r="J250" s="376">
        <f t="shared" si="495"/>
        <v>0.143636363636364</v>
      </c>
      <c r="K250" s="24" t="s">
        <v>78</v>
      </c>
      <c r="L250" s="384" t="str">
        <f>IF(K250="","",VLOOKUP(K250,'Định nghĩa Loại Chức năng'!$B$4:$C$92,2,FALSE))</f>
        <v>Xử lý nghiệp vụ đơn giản</v>
      </c>
      <c r="M250" s="394" t="s">
        <v>287</v>
      </c>
      <c r="N250" s="395">
        <f>IF(K250="","",VLOOKUP(K250&amp;$N$7,CSDL_CN!$D$4:$E$264,2,FALSE))</f>
        <v>8</v>
      </c>
      <c r="O250" s="395">
        <f>IF(K250="","",VLOOKUP(K250&amp;$O$7,CSDL_CN!$D$4:$E$264,2,FALSE))</f>
        <v>12</v>
      </c>
      <c r="P250" s="395">
        <f t="shared" si="496"/>
        <v>3.6</v>
      </c>
      <c r="Q250" s="395">
        <f>IF(K250="","",VLOOKUP(K250&amp;$Q$7,CSDL_CN!$D$4:$E$264,2,FALSE))</f>
        <v>8</v>
      </c>
      <c r="R250" s="395">
        <f t="array" ref="R250">SUM(IFERROR(N250:Q250,0))</f>
        <v>31.6</v>
      </c>
      <c r="S250" s="400">
        <v>0.2</v>
      </c>
      <c r="T250" s="400">
        <v>0.2</v>
      </c>
      <c r="U250" s="400">
        <v>0.2</v>
      </c>
      <c r="V250" s="366"/>
      <c r="W250" s="366">
        <f t="shared" si="497"/>
        <v>0</v>
      </c>
      <c r="X250" s="404" t="s">
        <v>484</v>
      </c>
      <c r="Z250" s="410" t="s">
        <v>602</v>
      </c>
    </row>
    <row r="251" ht="90" spans="1:26">
      <c r="A251" s="366">
        <v>132</v>
      </c>
      <c r="B251" s="367" t="s">
        <v>780</v>
      </c>
      <c r="C251" s="367" t="s">
        <v>781</v>
      </c>
      <c r="D251" s="367" t="s">
        <v>782</v>
      </c>
      <c r="E251" s="376">
        <f t="shared" si="490"/>
        <v>25.28</v>
      </c>
      <c r="F251" s="377">
        <f t="shared" si="491"/>
        <v>6.4</v>
      </c>
      <c r="G251" s="377">
        <f t="shared" si="492"/>
        <v>9.6</v>
      </c>
      <c r="H251" s="376">
        <f t="shared" si="493"/>
        <v>2.88</v>
      </c>
      <c r="I251" s="376">
        <f t="shared" si="494"/>
        <v>6.4</v>
      </c>
      <c r="J251" s="376">
        <f t="shared" si="495"/>
        <v>0.143636363636364</v>
      </c>
      <c r="K251" s="24" t="s">
        <v>78</v>
      </c>
      <c r="L251" s="384" t="str">
        <f>IF(K251="","",VLOOKUP(K251,'Định nghĩa Loại Chức năng'!$B$4:$C$92,2,FALSE))</f>
        <v>Xử lý nghiệp vụ đơn giản</v>
      </c>
      <c r="M251" s="394" t="s">
        <v>287</v>
      </c>
      <c r="N251" s="395">
        <f>IF(K251="","",VLOOKUP(K251&amp;$N$7,CSDL_CN!$D$4:$E$264,2,FALSE))</f>
        <v>8</v>
      </c>
      <c r="O251" s="395">
        <f>IF(K251="","",VLOOKUP(K251&amp;$O$7,CSDL_CN!$D$4:$E$264,2,FALSE))</f>
        <v>12</v>
      </c>
      <c r="P251" s="395">
        <f t="shared" si="496"/>
        <v>3.6</v>
      </c>
      <c r="Q251" s="395">
        <f>IF(K251="","",VLOOKUP(K251&amp;$Q$7,CSDL_CN!$D$4:$E$264,2,FALSE))</f>
        <v>8</v>
      </c>
      <c r="R251" s="395">
        <f t="array" ref="R251">SUM(IFERROR(N251:Q251,0))</f>
        <v>31.6</v>
      </c>
      <c r="S251" s="400">
        <v>0.2</v>
      </c>
      <c r="T251" s="400">
        <v>0.2</v>
      </c>
      <c r="U251" s="400">
        <v>0.2</v>
      </c>
      <c r="V251" s="366"/>
      <c r="W251" s="366">
        <f t="shared" si="497"/>
        <v>0</v>
      </c>
      <c r="X251" s="404" t="s">
        <v>484</v>
      </c>
      <c r="Z251" s="410" t="s">
        <v>783</v>
      </c>
    </row>
    <row r="252" ht="90" spans="1:26">
      <c r="A252" s="366">
        <v>133</v>
      </c>
      <c r="B252" s="367" t="s">
        <v>784</v>
      </c>
      <c r="C252" s="367" t="s">
        <v>785</v>
      </c>
      <c r="D252" s="367" t="s">
        <v>786</v>
      </c>
      <c r="E252" s="376">
        <f t="shared" si="490"/>
        <v>25.28</v>
      </c>
      <c r="F252" s="377">
        <f t="shared" si="491"/>
        <v>6.4</v>
      </c>
      <c r="G252" s="377">
        <f t="shared" si="492"/>
        <v>9.6</v>
      </c>
      <c r="H252" s="376">
        <f t="shared" si="493"/>
        <v>2.88</v>
      </c>
      <c r="I252" s="376">
        <f t="shared" si="494"/>
        <v>6.4</v>
      </c>
      <c r="J252" s="376">
        <f t="shared" si="495"/>
        <v>0.143636363636364</v>
      </c>
      <c r="K252" s="24" t="s">
        <v>78</v>
      </c>
      <c r="L252" s="384" t="str">
        <f>IF(K252="","",VLOOKUP(K252,'Định nghĩa Loại Chức năng'!$B$4:$C$92,2,FALSE))</f>
        <v>Xử lý nghiệp vụ đơn giản</v>
      </c>
      <c r="M252" s="394" t="s">
        <v>287</v>
      </c>
      <c r="N252" s="395">
        <f>IF(K252="","",VLOOKUP(K252&amp;$N$7,CSDL_CN!$D$4:$E$264,2,FALSE))</f>
        <v>8</v>
      </c>
      <c r="O252" s="395">
        <f>IF(K252="","",VLOOKUP(K252&amp;$O$7,CSDL_CN!$D$4:$E$264,2,FALSE))</f>
        <v>12</v>
      </c>
      <c r="P252" s="395">
        <f t="shared" si="496"/>
        <v>3.6</v>
      </c>
      <c r="Q252" s="395">
        <f>IF(K252="","",VLOOKUP(K252&amp;$Q$7,CSDL_CN!$D$4:$E$264,2,FALSE))</f>
        <v>8</v>
      </c>
      <c r="R252" s="395">
        <f t="array" ref="R252">SUM(IFERROR(N252:Q252,0))</f>
        <v>31.6</v>
      </c>
      <c r="S252" s="400">
        <v>0.2</v>
      </c>
      <c r="T252" s="400">
        <v>0.2</v>
      </c>
      <c r="U252" s="400">
        <v>0.2</v>
      </c>
      <c r="V252" s="366"/>
      <c r="W252" s="366">
        <f t="shared" si="497"/>
        <v>0</v>
      </c>
      <c r="X252" s="404" t="s">
        <v>484</v>
      </c>
      <c r="Z252" s="410" t="s">
        <v>783</v>
      </c>
    </row>
    <row r="253" ht="90" spans="1:26">
      <c r="A253" s="366">
        <v>134</v>
      </c>
      <c r="B253" s="367" t="s">
        <v>787</v>
      </c>
      <c r="C253" s="367" t="s">
        <v>788</v>
      </c>
      <c r="D253" s="367" t="s">
        <v>789</v>
      </c>
      <c r="E253" s="376">
        <f t="shared" si="490"/>
        <v>25.28</v>
      </c>
      <c r="F253" s="377">
        <f t="shared" si="491"/>
        <v>6.4</v>
      </c>
      <c r="G253" s="377">
        <f t="shared" si="492"/>
        <v>9.6</v>
      </c>
      <c r="H253" s="376">
        <f t="shared" si="493"/>
        <v>2.88</v>
      </c>
      <c r="I253" s="376">
        <f t="shared" si="494"/>
        <v>6.4</v>
      </c>
      <c r="J253" s="376">
        <f t="shared" si="495"/>
        <v>0.143636363636364</v>
      </c>
      <c r="K253" s="24" t="s">
        <v>78</v>
      </c>
      <c r="L253" s="384" t="str">
        <f>IF(K253="","",VLOOKUP(K253,'Định nghĩa Loại Chức năng'!$B$4:$C$92,2,FALSE))</f>
        <v>Xử lý nghiệp vụ đơn giản</v>
      </c>
      <c r="M253" s="394" t="s">
        <v>287</v>
      </c>
      <c r="N253" s="395">
        <f>IF(K253="","",VLOOKUP(K253&amp;$N$7,CSDL_CN!$D$4:$E$264,2,FALSE))</f>
        <v>8</v>
      </c>
      <c r="O253" s="395">
        <f>IF(K253="","",VLOOKUP(K253&amp;$O$7,CSDL_CN!$D$4:$E$264,2,FALSE))</f>
        <v>12</v>
      </c>
      <c r="P253" s="395">
        <f t="shared" si="496"/>
        <v>3.6</v>
      </c>
      <c r="Q253" s="395">
        <f>IF(K253="","",VLOOKUP(K253&amp;$Q$7,CSDL_CN!$D$4:$E$264,2,FALSE))</f>
        <v>8</v>
      </c>
      <c r="R253" s="395">
        <f t="array" ref="R253">SUM(IFERROR(N253:Q253,0))</f>
        <v>31.6</v>
      </c>
      <c r="S253" s="400">
        <v>0.2</v>
      </c>
      <c r="T253" s="400">
        <v>0.2</v>
      </c>
      <c r="U253" s="400">
        <v>0.2</v>
      </c>
      <c r="V253" s="366"/>
      <c r="W253" s="366">
        <f t="shared" si="497"/>
        <v>0</v>
      </c>
      <c r="X253" s="404" t="s">
        <v>484</v>
      </c>
      <c r="Z253" s="410" t="s">
        <v>783</v>
      </c>
    </row>
    <row r="254" ht="90" spans="1:26">
      <c r="A254" s="366">
        <v>135</v>
      </c>
      <c r="B254" s="367" t="s">
        <v>790</v>
      </c>
      <c r="C254" s="367" t="s">
        <v>791</v>
      </c>
      <c r="D254" s="367" t="s">
        <v>792</v>
      </c>
      <c r="E254" s="376">
        <f t="shared" si="490"/>
        <v>25.28</v>
      </c>
      <c r="F254" s="377">
        <f t="shared" si="491"/>
        <v>6.4</v>
      </c>
      <c r="G254" s="377">
        <f t="shared" si="492"/>
        <v>9.6</v>
      </c>
      <c r="H254" s="376">
        <f t="shared" si="493"/>
        <v>2.88</v>
      </c>
      <c r="I254" s="376">
        <f t="shared" si="494"/>
        <v>6.4</v>
      </c>
      <c r="J254" s="376">
        <f t="shared" si="495"/>
        <v>0.143636363636364</v>
      </c>
      <c r="K254" s="24" t="s">
        <v>78</v>
      </c>
      <c r="L254" s="384" t="str">
        <f>IF(K254="","",VLOOKUP(K254,'Định nghĩa Loại Chức năng'!$B$4:$C$92,2,FALSE))</f>
        <v>Xử lý nghiệp vụ đơn giản</v>
      </c>
      <c r="M254" s="394" t="s">
        <v>287</v>
      </c>
      <c r="N254" s="395">
        <f>IF(K254="","",VLOOKUP(K254&amp;$N$7,CSDL_CN!$D$4:$E$264,2,FALSE))</f>
        <v>8</v>
      </c>
      <c r="O254" s="395">
        <f>IF(K254="","",VLOOKUP(K254&amp;$O$7,CSDL_CN!$D$4:$E$264,2,FALSE))</f>
        <v>12</v>
      </c>
      <c r="P254" s="395">
        <f t="shared" si="496"/>
        <v>3.6</v>
      </c>
      <c r="Q254" s="395">
        <f>IF(K254="","",VLOOKUP(K254&amp;$Q$7,CSDL_CN!$D$4:$E$264,2,FALSE))</f>
        <v>8</v>
      </c>
      <c r="R254" s="395">
        <f t="array" ref="R254">SUM(IFERROR(N254:Q254,0))</f>
        <v>31.6</v>
      </c>
      <c r="S254" s="400">
        <v>0.2</v>
      </c>
      <c r="T254" s="400">
        <v>0.2</v>
      </c>
      <c r="U254" s="400">
        <v>0.2</v>
      </c>
      <c r="V254" s="366"/>
      <c r="W254" s="366">
        <f t="shared" si="497"/>
        <v>0</v>
      </c>
      <c r="X254" s="404" t="s">
        <v>484</v>
      </c>
      <c r="Z254" s="410" t="s">
        <v>783</v>
      </c>
    </row>
    <row r="255" ht="90" spans="1:26">
      <c r="A255" s="366">
        <v>136</v>
      </c>
      <c r="B255" s="367" t="s">
        <v>793</v>
      </c>
      <c r="C255" s="367" t="s">
        <v>794</v>
      </c>
      <c r="D255" s="367" t="s">
        <v>795</v>
      </c>
      <c r="E255" s="376">
        <f t="shared" si="490"/>
        <v>25.28</v>
      </c>
      <c r="F255" s="377">
        <f t="shared" si="491"/>
        <v>6.4</v>
      </c>
      <c r="G255" s="377">
        <f t="shared" si="492"/>
        <v>9.6</v>
      </c>
      <c r="H255" s="376">
        <f t="shared" si="493"/>
        <v>2.88</v>
      </c>
      <c r="I255" s="376">
        <f t="shared" si="494"/>
        <v>6.4</v>
      </c>
      <c r="J255" s="376">
        <f t="shared" si="495"/>
        <v>0.143636363636364</v>
      </c>
      <c r="K255" s="24" t="s">
        <v>78</v>
      </c>
      <c r="L255" s="384" t="str">
        <f>IF(K255="","",VLOOKUP(K255,'Định nghĩa Loại Chức năng'!$B$4:$C$92,2,FALSE))</f>
        <v>Xử lý nghiệp vụ đơn giản</v>
      </c>
      <c r="M255" s="394" t="s">
        <v>287</v>
      </c>
      <c r="N255" s="395">
        <f>IF(K255="","",VLOOKUP(K255&amp;$N$7,CSDL_CN!$D$4:$E$264,2,FALSE))</f>
        <v>8</v>
      </c>
      <c r="O255" s="395">
        <f>IF(K255="","",VLOOKUP(K255&amp;$O$7,CSDL_CN!$D$4:$E$264,2,FALSE))</f>
        <v>12</v>
      </c>
      <c r="P255" s="395">
        <f t="shared" si="496"/>
        <v>3.6</v>
      </c>
      <c r="Q255" s="395">
        <f>IF(K255="","",VLOOKUP(K255&amp;$Q$7,CSDL_CN!$D$4:$E$264,2,FALSE))</f>
        <v>8</v>
      </c>
      <c r="R255" s="395">
        <f t="array" ref="R255">SUM(IFERROR(N255:Q255,0))</f>
        <v>31.6</v>
      </c>
      <c r="S255" s="400">
        <v>0.2</v>
      </c>
      <c r="T255" s="400">
        <v>0.2</v>
      </c>
      <c r="U255" s="400">
        <v>0.2</v>
      </c>
      <c r="V255" s="366"/>
      <c r="W255" s="366">
        <f t="shared" si="497"/>
        <v>0</v>
      </c>
      <c r="X255" s="404" t="s">
        <v>484</v>
      </c>
      <c r="Z255" s="410" t="s">
        <v>783</v>
      </c>
    </row>
    <row r="256" ht="90" spans="1:26">
      <c r="A256" s="366">
        <v>137</v>
      </c>
      <c r="B256" s="367" t="s">
        <v>796</v>
      </c>
      <c r="C256" s="367" t="s">
        <v>797</v>
      </c>
      <c r="D256" s="367" t="s">
        <v>798</v>
      </c>
      <c r="E256" s="376">
        <f t="shared" si="490"/>
        <v>25.28</v>
      </c>
      <c r="F256" s="377">
        <f t="shared" si="491"/>
        <v>6.4</v>
      </c>
      <c r="G256" s="377">
        <f t="shared" si="492"/>
        <v>9.6</v>
      </c>
      <c r="H256" s="376">
        <f t="shared" si="493"/>
        <v>2.88</v>
      </c>
      <c r="I256" s="376">
        <f t="shared" si="494"/>
        <v>6.4</v>
      </c>
      <c r="J256" s="376">
        <f t="shared" si="495"/>
        <v>0.143636363636364</v>
      </c>
      <c r="K256" s="24" t="s">
        <v>78</v>
      </c>
      <c r="L256" s="384" t="str">
        <f>IF(K256="","",VLOOKUP(K256,'Định nghĩa Loại Chức năng'!$B$4:$C$92,2,FALSE))</f>
        <v>Xử lý nghiệp vụ đơn giản</v>
      </c>
      <c r="M256" s="394" t="s">
        <v>287</v>
      </c>
      <c r="N256" s="395">
        <f>IF(K256="","",VLOOKUP(K256&amp;$N$7,CSDL_CN!$D$4:$E$264,2,FALSE))</f>
        <v>8</v>
      </c>
      <c r="O256" s="395">
        <f>IF(K256="","",VLOOKUP(K256&amp;$O$7,CSDL_CN!$D$4:$E$264,2,FALSE))</f>
        <v>12</v>
      </c>
      <c r="P256" s="395">
        <f t="shared" si="496"/>
        <v>3.6</v>
      </c>
      <c r="Q256" s="395">
        <f>IF(K256="","",VLOOKUP(K256&amp;$Q$7,CSDL_CN!$D$4:$E$264,2,FALSE))</f>
        <v>8</v>
      </c>
      <c r="R256" s="395">
        <f t="array" ref="R256">SUM(IFERROR(N256:Q256,0))</f>
        <v>31.6</v>
      </c>
      <c r="S256" s="400">
        <v>0.2</v>
      </c>
      <c r="T256" s="400">
        <v>0.2</v>
      </c>
      <c r="U256" s="400">
        <v>0.2</v>
      </c>
      <c r="V256" s="366"/>
      <c r="W256" s="366">
        <f t="shared" si="497"/>
        <v>0</v>
      </c>
      <c r="X256" s="404" t="s">
        <v>484</v>
      </c>
      <c r="Z256" s="410" t="s">
        <v>783</v>
      </c>
    </row>
    <row r="257" ht="90" spans="1:26">
      <c r="A257" s="366">
        <v>138</v>
      </c>
      <c r="B257" s="367" t="s">
        <v>799</v>
      </c>
      <c r="C257" s="367" t="s">
        <v>800</v>
      </c>
      <c r="D257" s="367" t="s">
        <v>801</v>
      </c>
      <c r="E257" s="376">
        <f t="shared" si="490"/>
        <v>25.28</v>
      </c>
      <c r="F257" s="377">
        <f t="shared" si="491"/>
        <v>6.4</v>
      </c>
      <c r="G257" s="377">
        <f t="shared" si="492"/>
        <v>9.6</v>
      </c>
      <c r="H257" s="376">
        <f t="shared" si="493"/>
        <v>2.88</v>
      </c>
      <c r="I257" s="376">
        <f t="shared" si="494"/>
        <v>6.4</v>
      </c>
      <c r="J257" s="376">
        <f t="shared" si="495"/>
        <v>0.143636363636364</v>
      </c>
      <c r="K257" s="24" t="s">
        <v>78</v>
      </c>
      <c r="L257" s="384" t="str">
        <f>IF(K257="","",VLOOKUP(K257,'Định nghĩa Loại Chức năng'!$B$4:$C$92,2,FALSE))</f>
        <v>Xử lý nghiệp vụ đơn giản</v>
      </c>
      <c r="M257" s="394" t="s">
        <v>287</v>
      </c>
      <c r="N257" s="395">
        <f>IF(K257="","",VLOOKUP(K257&amp;$N$7,CSDL_CN!$D$4:$E$264,2,FALSE))</f>
        <v>8</v>
      </c>
      <c r="O257" s="395">
        <f>IF(K257="","",VLOOKUP(K257&amp;$O$7,CSDL_CN!$D$4:$E$264,2,FALSE))</f>
        <v>12</v>
      </c>
      <c r="P257" s="395">
        <f t="shared" si="496"/>
        <v>3.6</v>
      </c>
      <c r="Q257" s="395">
        <f>IF(K257="","",VLOOKUP(K257&amp;$Q$7,CSDL_CN!$D$4:$E$264,2,FALSE))</f>
        <v>8</v>
      </c>
      <c r="R257" s="395">
        <f t="array" ref="R257">SUM(IFERROR(N257:Q257,0))</f>
        <v>31.6</v>
      </c>
      <c r="S257" s="400">
        <v>0.2</v>
      </c>
      <c r="T257" s="400">
        <v>0.2</v>
      </c>
      <c r="U257" s="400">
        <v>0.2</v>
      </c>
      <c r="V257" s="366"/>
      <c r="W257" s="366">
        <f t="shared" si="497"/>
        <v>0</v>
      </c>
      <c r="X257" s="404" t="s">
        <v>484</v>
      </c>
      <c r="Z257" s="410" t="s">
        <v>783</v>
      </c>
    </row>
    <row r="258" ht="105" spans="1:26">
      <c r="A258" s="366">
        <v>139</v>
      </c>
      <c r="B258" s="367" t="s">
        <v>802</v>
      </c>
      <c r="C258" s="367" t="s">
        <v>803</v>
      </c>
      <c r="D258" s="367" t="s">
        <v>804</v>
      </c>
      <c r="E258" s="376">
        <f t="shared" si="490"/>
        <v>25.28</v>
      </c>
      <c r="F258" s="377">
        <f t="shared" si="491"/>
        <v>6.4</v>
      </c>
      <c r="G258" s="377">
        <f t="shared" si="492"/>
        <v>9.6</v>
      </c>
      <c r="H258" s="376">
        <f t="shared" si="493"/>
        <v>2.88</v>
      </c>
      <c r="I258" s="376">
        <f t="shared" si="494"/>
        <v>6.4</v>
      </c>
      <c r="J258" s="376">
        <f t="shared" si="495"/>
        <v>0.143636363636364</v>
      </c>
      <c r="K258" s="24" t="s">
        <v>78</v>
      </c>
      <c r="L258" s="384" t="str">
        <f>IF(K258="","",VLOOKUP(K258,'Định nghĩa Loại Chức năng'!$B$4:$C$92,2,FALSE))</f>
        <v>Xử lý nghiệp vụ đơn giản</v>
      </c>
      <c r="M258" s="394" t="s">
        <v>287</v>
      </c>
      <c r="N258" s="395">
        <f>IF(K258="","",VLOOKUP(K258&amp;$N$7,CSDL_CN!$D$4:$E$264,2,FALSE))</f>
        <v>8</v>
      </c>
      <c r="O258" s="395">
        <f>IF(K258="","",VLOOKUP(K258&amp;$O$7,CSDL_CN!$D$4:$E$264,2,FALSE))</f>
        <v>12</v>
      </c>
      <c r="P258" s="395">
        <f t="shared" si="496"/>
        <v>3.6</v>
      </c>
      <c r="Q258" s="395">
        <f>IF(K258="","",VLOOKUP(K258&amp;$Q$7,CSDL_CN!$D$4:$E$264,2,FALSE))</f>
        <v>8</v>
      </c>
      <c r="R258" s="395">
        <f t="array" ref="R258">SUM(IFERROR(N258:Q258,0))</f>
        <v>31.6</v>
      </c>
      <c r="S258" s="400">
        <v>0.2</v>
      </c>
      <c r="T258" s="400">
        <v>0.2</v>
      </c>
      <c r="U258" s="400">
        <v>0.2</v>
      </c>
      <c r="V258" s="366"/>
      <c r="W258" s="366">
        <f t="shared" si="497"/>
        <v>0</v>
      </c>
      <c r="X258" s="404" t="s">
        <v>484</v>
      </c>
      <c r="Z258" s="410" t="s">
        <v>783</v>
      </c>
    </row>
    <row r="259" ht="105" spans="1:26">
      <c r="A259" s="366">
        <v>140</v>
      </c>
      <c r="B259" s="367" t="s">
        <v>805</v>
      </c>
      <c r="C259" s="367" t="s">
        <v>806</v>
      </c>
      <c r="D259" s="367" t="s">
        <v>807</v>
      </c>
      <c r="E259" s="376">
        <f t="shared" si="490"/>
        <v>25.28</v>
      </c>
      <c r="F259" s="377">
        <f t="shared" si="491"/>
        <v>6.4</v>
      </c>
      <c r="G259" s="377">
        <f t="shared" si="492"/>
        <v>9.6</v>
      </c>
      <c r="H259" s="376">
        <f t="shared" si="493"/>
        <v>2.88</v>
      </c>
      <c r="I259" s="376">
        <f t="shared" si="494"/>
        <v>6.4</v>
      </c>
      <c r="J259" s="376">
        <f t="shared" si="495"/>
        <v>0.143636363636364</v>
      </c>
      <c r="K259" s="24" t="s">
        <v>78</v>
      </c>
      <c r="L259" s="384" t="str">
        <f>IF(K259="","",VLOOKUP(K259,'Định nghĩa Loại Chức năng'!$B$4:$C$92,2,FALSE))</f>
        <v>Xử lý nghiệp vụ đơn giản</v>
      </c>
      <c r="M259" s="394" t="s">
        <v>287</v>
      </c>
      <c r="N259" s="395">
        <f>IF(K259="","",VLOOKUP(K259&amp;$N$7,CSDL_CN!$D$4:$E$264,2,FALSE))</f>
        <v>8</v>
      </c>
      <c r="O259" s="395">
        <f>IF(K259="","",VLOOKUP(K259&amp;$O$7,CSDL_CN!$D$4:$E$264,2,FALSE))</f>
        <v>12</v>
      </c>
      <c r="P259" s="395">
        <f t="shared" si="496"/>
        <v>3.6</v>
      </c>
      <c r="Q259" s="395">
        <f>IF(K259="","",VLOOKUP(K259&amp;$Q$7,CSDL_CN!$D$4:$E$264,2,FALSE))</f>
        <v>8</v>
      </c>
      <c r="R259" s="395">
        <f t="array" ref="R259">SUM(IFERROR(N259:Q259,0))</f>
        <v>31.6</v>
      </c>
      <c r="S259" s="400">
        <v>0.2</v>
      </c>
      <c r="T259" s="400">
        <v>0.2</v>
      </c>
      <c r="U259" s="400">
        <v>0.2</v>
      </c>
      <c r="V259" s="366"/>
      <c r="W259" s="366">
        <f t="shared" si="497"/>
        <v>0</v>
      </c>
      <c r="X259" s="404" t="s">
        <v>484</v>
      </c>
      <c r="Z259" s="410" t="s">
        <v>783</v>
      </c>
    </row>
    <row r="260" ht="105" spans="1:26">
      <c r="A260" s="366">
        <v>141</v>
      </c>
      <c r="B260" s="367" t="s">
        <v>808</v>
      </c>
      <c r="C260" s="367" t="s">
        <v>809</v>
      </c>
      <c r="D260" s="367" t="s">
        <v>810</v>
      </c>
      <c r="E260" s="376">
        <f t="shared" si="490"/>
        <v>25.28</v>
      </c>
      <c r="F260" s="377">
        <f t="shared" si="491"/>
        <v>6.4</v>
      </c>
      <c r="G260" s="377">
        <f t="shared" si="492"/>
        <v>9.6</v>
      </c>
      <c r="H260" s="376">
        <f t="shared" si="493"/>
        <v>2.88</v>
      </c>
      <c r="I260" s="376">
        <f t="shared" si="494"/>
        <v>6.4</v>
      </c>
      <c r="J260" s="376">
        <f t="shared" si="495"/>
        <v>0.143636363636364</v>
      </c>
      <c r="K260" s="24" t="s">
        <v>78</v>
      </c>
      <c r="L260" s="384" t="str">
        <f>IF(K260="","",VLOOKUP(K260,'Định nghĩa Loại Chức năng'!$B$4:$C$92,2,FALSE))</f>
        <v>Xử lý nghiệp vụ đơn giản</v>
      </c>
      <c r="M260" s="394" t="s">
        <v>287</v>
      </c>
      <c r="N260" s="395">
        <f>IF(K260="","",VLOOKUP(K260&amp;$N$7,CSDL_CN!$D$4:$E$264,2,FALSE))</f>
        <v>8</v>
      </c>
      <c r="O260" s="395">
        <f>IF(K260="","",VLOOKUP(K260&amp;$O$7,CSDL_CN!$D$4:$E$264,2,FALSE))</f>
        <v>12</v>
      </c>
      <c r="P260" s="395">
        <f t="shared" si="496"/>
        <v>3.6</v>
      </c>
      <c r="Q260" s="395">
        <f>IF(K260="","",VLOOKUP(K260&amp;$Q$7,CSDL_CN!$D$4:$E$264,2,FALSE))</f>
        <v>8</v>
      </c>
      <c r="R260" s="395">
        <f t="array" ref="R260">SUM(IFERROR(N260:Q260,0))</f>
        <v>31.6</v>
      </c>
      <c r="S260" s="400">
        <v>0.2</v>
      </c>
      <c r="T260" s="400">
        <v>0.2</v>
      </c>
      <c r="U260" s="400">
        <v>0.2</v>
      </c>
      <c r="V260" s="366"/>
      <c r="W260" s="366">
        <f t="shared" si="497"/>
        <v>0</v>
      </c>
      <c r="X260" s="404" t="s">
        <v>484</v>
      </c>
      <c r="Z260" s="410" t="s">
        <v>783</v>
      </c>
    </row>
    <row r="261" ht="105" spans="1:26">
      <c r="A261" s="366">
        <v>142</v>
      </c>
      <c r="B261" s="367" t="s">
        <v>811</v>
      </c>
      <c r="C261" s="367" t="s">
        <v>812</v>
      </c>
      <c r="D261" s="367" t="s">
        <v>813</v>
      </c>
      <c r="E261" s="376">
        <f t="shared" si="490"/>
        <v>25.28</v>
      </c>
      <c r="F261" s="377">
        <f t="shared" si="491"/>
        <v>6.4</v>
      </c>
      <c r="G261" s="377">
        <f t="shared" si="492"/>
        <v>9.6</v>
      </c>
      <c r="H261" s="376">
        <f t="shared" si="493"/>
        <v>2.88</v>
      </c>
      <c r="I261" s="376">
        <f t="shared" si="494"/>
        <v>6.4</v>
      </c>
      <c r="J261" s="376">
        <f t="shared" si="495"/>
        <v>0.143636363636364</v>
      </c>
      <c r="K261" s="24" t="s">
        <v>78</v>
      </c>
      <c r="L261" s="384" t="str">
        <f>IF(K261="","",VLOOKUP(K261,'Định nghĩa Loại Chức năng'!$B$4:$C$92,2,FALSE))</f>
        <v>Xử lý nghiệp vụ đơn giản</v>
      </c>
      <c r="M261" s="394" t="s">
        <v>287</v>
      </c>
      <c r="N261" s="395">
        <f>IF(K261="","",VLOOKUP(K261&amp;$N$7,CSDL_CN!$D$4:$E$264,2,FALSE))</f>
        <v>8</v>
      </c>
      <c r="O261" s="395">
        <f>IF(K261="","",VLOOKUP(K261&amp;$O$7,CSDL_CN!$D$4:$E$264,2,FALSE))</f>
        <v>12</v>
      </c>
      <c r="P261" s="395">
        <f t="shared" si="496"/>
        <v>3.6</v>
      </c>
      <c r="Q261" s="395">
        <f>IF(K261="","",VLOOKUP(K261&amp;$Q$7,CSDL_CN!$D$4:$E$264,2,FALSE))</f>
        <v>8</v>
      </c>
      <c r="R261" s="395">
        <f t="array" ref="R261">SUM(IFERROR(N261:Q261,0))</f>
        <v>31.6</v>
      </c>
      <c r="S261" s="400">
        <v>0.2</v>
      </c>
      <c r="T261" s="400">
        <v>0.2</v>
      </c>
      <c r="U261" s="400">
        <v>0.2</v>
      </c>
      <c r="V261" s="366"/>
      <c r="W261" s="366">
        <f t="shared" si="497"/>
        <v>0</v>
      </c>
      <c r="X261" s="404" t="s">
        <v>484</v>
      </c>
      <c r="Z261" s="410" t="s">
        <v>783</v>
      </c>
    </row>
    <row r="262" ht="105" spans="1:26">
      <c r="A262" s="366">
        <v>143</v>
      </c>
      <c r="B262" s="367" t="s">
        <v>814</v>
      </c>
      <c r="C262" s="367" t="s">
        <v>815</v>
      </c>
      <c r="D262" s="367" t="s">
        <v>816</v>
      </c>
      <c r="E262" s="376">
        <f t="shared" si="490"/>
        <v>25.28</v>
      </c>
      <c r="F262" s="377">
        <f t="shared" si="491"/>
        <v>6.4</v>
      </c>
      <c r="G262" s="377">
        <f t="shared" si="492"/>
        <v>9.6</v>
      </c>
      <c r="H262" s="376">
        <f t="shared" si="493"/>
        <v>2.88</v>
      </c>
      <c r="I262" s="376">
        <f t="shared" si="494"/>
        <v>6.4</v>
      </c>
      <c r="J262" s="376">
        <f t="shared" si="495"/>
        <v>0.143636363636364</v>
      </c>
      <c r="K262" s="24" t="s">
        <v>78</v>
      </c>
      <c r="L262" s="384" t="str">
        <f>IF(K262="","",VLOOKUP(K262,'Định nghĩa Loại Chức năng'!$B$4:$C$92,2,FALSE))</f>
        <v>Xử lý nghiệp vụ đơn giản</v>
      </c>
      <c r="M262" s="394" t="s">
        <v>287</v>
      </c>
      <c r="N262" s="395">
        <f>IF(K262="","",VLOOKUP(K262&amp;$N$7,CSDL_CN!$D$4:$E$264,2,FALSE))</f>
        <v>8</v>
      </c>
      <c r="O262" s="395">
        <f>IF(K262="","",VLOOKUP(K262&amp;$O$7,CSDL_CN!$D$4:$E$264,2,FALSE))</f>
        <v>12</v>
      </c>
      <c r="P262" s="395">
        <f t="shared" si="496"/>
        <v>3.6</v>
      </c>
      <c r="Q262" s="395">
        <f>IF(K262="","",VLOOKUP(K262&amp;$Q$7,CSDL_CN!$D$4:$E$264,2,FALSE))</f>
        <v>8</v>
      </c>
      <c r="R262" s="395">
        <f t="array" ref="R262">SUM(IFERROR(N262:Q262,0))</f>
        <v>31.6</v>
      </c>
      <c r="S262" s="400">
        <v>0.2</v>
      </c>
      <c r="T262" s="400">
        <v>0.2</v>
      </c>
      <c r="U262" s="400">
        <v>0.2</v>
      </c>
      <c r="V262" s="366"/>
      <c r="W262" s="366">
        <f t="shared" si="497"/>
        <v>0</v>
      </c>
      <c r="X262" s="404" t="s">
        <v>484</v>
      </c>
      <c r="Z262" s="410" t="s">
        <v>783</v>
      </c>
    </row>
    <row r="263" ht="105" spans="1:26">
      <c r="A263" s="366">
        <v>144</v>
      </c>
      <c r="B263" s="367" t="s">
        <v>817</v>
      </c>
      <c r="C263" s="367" t="s">
        <v>818</v>
      </c>
      <c r="D263" s="367" t="s">
        <v>819</v>
      </c>
      <c r="E263" s="376">
        <f t="shared" si="490"/>
        <v>25.28</v>
      </c>
      <c r="F263" s="377">
        <f t="shared" si="491"/>
        <v>6.4</v>
      </c>
      <c r="G263" s="377">
        <f t="shared" si="492"/>
        <v>9.6</v>
      </c>
      <c r="H263" s="376">
        <f t="shared" si="493"/>
        <v>2.88</v>
      </c>
      <c r="I263" s="376">
        <f t="shared" si="494"/>
        <v>6.4</v>
      </c>
      <c r="J263" s="376">
        <f t="shared" si="495"/>
        <v>0.143636363636364</v>
      </c>
      <c r="K263" s="24" t="s">
        <v>78</v>
      </c>
      <c r="L263" s="384" t="str">
        <f>IF(K263="","",VLOOKUP(K263,'Định nghĩa Loại Chức năng'!$B$4:$C$92,2,FALSE))</f>
        <v>Xử lý nghiệp vụ đơn giản</v>
      </c>
      <c r="M263" s="394" t="s">
        <v>287</v>
      </c>
      <c r="N263" s="395">
        <f>IF(K263="","",VLOOKUP(K263&amp;$N$7,CSDL_CN!$D$4:$E$264,2,FALSE))</f>
        <v>8</v>
      </c>
      <c r="O263" s="395">
        <f>IF(K263="","",VLOOKUP(K263&amp;$O$7,CSDL_CN!$D$4:$E$264,2,FALSE))</f>
        <v>12</v>
      </c>
      <c r="P263" s="395">
        <f t="shared" si="496"/>
        <v>3.6</v>
      </c>
      <c r="Q263" s="395">
        <f>IF(K263="","",VLOOKUP(K263&amp;$Q$7,CSDL_CN!$D$4:$E$264,2,FALSE))</f>
        <v>8</v>
      </c>
      <c r="R263" s="395">
        <f t="array" ref="R263">SUM(IFERROR(N263:Q263,0))</f>
        <v>31.6</v>
      </c>
      <c r="S263" s="400">
        <v>0.2</v>
      </c>
      <c r="T263" s="400">
        <v>0.2</v>
      </c>
      <c r="U263" s="400">
        <v>0.2</v>
      </c>
      <c r="V263" s="366"/>
      <c r="W263" s="366">
        <f t="shared" si="497"/>
        <v>0</v>
      </c>
      <c r="X263" s="404" t="s">
        <v>484</v>
      </c>
      <c r="Z263" s="410" t="s">
        <v>783</v>
      </c>
    </row>
    <row r="264" ht="105" spans="1:26">
      <c r="A264" s="366">
        <v>145</v>
      </c>
      <c r="B264" s="367" t="s">
        <v>820</v>
      </c>
      <c r="C264" s="367" t="s">
        <v>821</v>
      </c>
      <c r="D264" s="367" t="s">
        <v>822</v>
      </c>
      <c r="E264" s="376">
        <f t="shared" si="490"/>
        <v>25.28</v>
      </c>
      <c r="F264" s="377">
        <f t="shared" si="491"/>
        <v>6.4</v>
      </c>
      <c r="G264" s="377">
        <f t="shared" si="492"/>
        <v>9.6</v>
      </c>
      <c r="H264" s="376">
        <f t="shared" si="493"/>
        <v>2.88</v>
      </c>
      <c r="I264" s="376">
        <f t="shared" si="494"/>
        <v>6.4</v>
      </c>
      <c r="J264" s="376">
        <f t="shared" si="495"/>
        <v>0.143636363636364</v>
      </c>
      <c r="K264" s="24" t="s">
        <v>78</v>
      </c>
      <c r="L264" s="384" t="str">
        <f>IF(K264="","",VLOOKUP(K264,'Định nghĩa Loại Chức năng'!$B$4:$C$92,2,FALSE))</f>
        <v>Xử lý nghiệp vụ đơn giản</v>
      </c>
      <c r="M264" s="394" t="s">
        <v>287</v>
      </c>
      <c r="N264" s="395">
        <f>IF(K264="","",VLOOKUP(K264&amp;$N$7,CSDL_CN!$D$4:$E$264,2,FALSE))</f>
        <v>8</v>
      </c>
      <c r="O264" s="395">
        <f>IF(K264="","",VLOOKUP(K264&amp;$O$7,CSDL_CN!$D$4:$E$264,2,FALSE))</f>
        <v>12</v>
      </c>
      <c r="P264" s="395">
        <f t="shared" si="496"/>
        <v>3.6</v>
      </c>
      <c r="Q264" s="395">
        <f>IF(K264="","",VLOOKUP(K264&amp;$Q$7,CSDL_CN!$D$4:$E$264,2,FALSE))</f>
        <v>8</v>
      </c>
      <c r="R264" s="395">
        <f t="array" ref="R264">SUM(IFERROR(N264:Q264,0))</f>
        <v>31.6</v>
      </c>
      <c r="S264" s="400">
        <v>0.2</v>
      </c>
      <c r="T264" s="400">
        <v>0.2</v>
      </c>
      <c r="U264" s="400">
        <v>0.2</v>
      </c>
      <c r="V264" s="366"/>
      <c r="W264" s="366">
        <f t="shared" si="497"/>
        <v>0</v>
      </c>
      <c r="X264" s="404" t="s">
        <v>484</v>
      </c>
      <c r="Z264" s="410" t="s">
        <v>783</v>
      </c>
    </row>
    <row r="265" ht="105" spans="1:26">
      <c r="A265" s="366">
        <v>146</v>
      </c>
      <c r="B265" s="367" t="s">
        <v>823</v>
      </c>
      <c r="C265" s="367" t="s">
        <v>824</v>
      </c>
      <c r="D265" s="367" t="s">
        <v>825</v>
      </c>
      <c r="E265" s="376">
        <f t="shared" si="490"/>
        <v>25.28</v>
      </c>
      <c r="F265" s="377">
        <f t="shared" si="491"/>
        <v>6.4</v>
      </c>
      <c r="G265" s="377">
        <f t="shared" si="492"/>
        <v>9.6</v>
      </c>
      <c r="H265" s="376">
        <f t="shared" si="493"/>
        <v>2.88</v>
      </c>
      <c r="I265" s="376">
        <f t="shared" si="494"/>
        <v>6.4</v>
      </c>
      <c r="J265" s="376">
        <f t="shared" si="495"/>
        <v>0.143636363636364</v>
      </c>
      <c r="K265" s="24" t="s">
        <v>78</v>
      </c>
      <c r="L265" s="384" t="str">
        <f>IF(K265="","",VLOOKUP(K265,'Định nghĩa Loại Chức năng'!$B$4:$C$92,2,FALSE))</f>
        <v>Xử lý nghiệp vụ đơn giản</v>
      </c>
      <c r="M265" s="394" t="s">
        <v>287</v>
      </c>
      <c r="N265" s="395">
        <f>IF(K265="","",VLOOKUP(K265&amp;$N$7,CSDL_CN!$D$4:$E$264,2,FALSE))</f>
        <v>8</v>
      </c>
      <c r="O265" s="395">
        <f>IF(K265="","",VLOOKUP(K265&amp;$O$7,CSDL_CN!$D$4:$E$264,2,FALSE))</f>
        <v>12</v>
      </c>
      <c r="P265" s="395">
        <f t="shared" si="496"/>
        <v>3.6</v>
      </c>
      <c r="Q265" s="395">
        <f>IF(K265="","",VLOOKUP(K265&amp;$Q$7,CSDL_CN!$D$4:$E$264,2,FALSE))</f>
        <v>8</v>
      </c>
      <c r="R265" s="395">
        <f t="array" ref="R265">SUM(IFERROR(N265:Q265,0))</f>
        <v>31.6</v>
      </c>
      <c r="S265" s="400">
        <v>0.2</v>
      </c>
      <c r="T265" s="400">
        <v>0.2</v>
      </c>
      <c r="U265" s="400">
        <v>0.2</v>
      </c>
      <c r="V265" s="366"/>
      <c r="W265" s="366">
        <f t="shared" si="497"/>
        <v>0</v>
      </c>
      <c r="X265" s="404" t="s">
        <v>484</v>
      </c>
      <c r="Z265" s="410" t="s">
        <v>783</v>
      </c>
    </row>
    <row r="266" ht="90" spans="1:26">
      <c r="A266" s="366">
        <v>147</v>
      </c>
      <c r="B266" s="367" t="s">
        <v>826</v>
      </c>
      <c r="C266" s="367" t="s">
        <v>827</v>
      </c>
      <c r="D266" s="367" t="s">
        <v>828</v>
      </c>
      <c r="E266" s="376">
        <f t="shared" si="490"/>
        <v>25.28</v>
      </c>
      <c r="F266" s="377">
        <f t="shared" si="491"/>
        <v>6.4</v>
      </c>
      <c r="G266" s="377">
        <f t="shared" si="492"/>
        <v>9.6</v>
      </c>
      <c r="H266" s="376">
        <f t="shared" si="493"/>
        <v>2.88</v>
      </c>
      <c r="I266" s="376">
        <f t="shared" si="494"/>
        <v>6.4</v>
      </c>
      <c r="J266" s="376">
        <f t="shared" si="495"/>
        <v>0.143636363636364</v>
      </c>
      <c r="K266" s="24" t="s">
        <v>78</v>
      </c>
      <c r="L266" s="384" t="str">
        <f>IF(K266="","",VLOOKUP(K266,'Định nghĩa Loại Chức năng'!$B$4:$C$92,2,FALSE))</f>
        <v>Xử lý nghiệp vụ đơn giản</v>
      </c>
      <c r="M266" s="394" t="s">
        <v>287</v>
      </c>
      <c r="N266" s="395">
        <f>IF(K266="","",VLOOKUP(K266&amp;$N$7,CSDL_CN!$D$4:$E$264,2,FALSE))</f>
        <v>8</v>
      </c>
      <c r="O266" s="395">
        <f>IF(K266="","",VLOOKUP(K266&amp;$O$7,CSDL_CN!$D$4:$E$264,2,FALSE))</f>
        <v>12</v>
      </c>
      <c r="P266" s="395">
        <f t="shared" si="496"/>
        <v>3.6</v>
      </c>
      <c r="Q266" s="395">
        <f>IF(K266="","",VLOOKUP(K266&amp;$Q$7,CSDL_CN!$D$4:$E$264,2,FALSE))</f>
        <v>8</v>
      </c>
      <c r="R266" s="395">
        <f t="array" ref="R266">SUM(IFERROR(N266:Q266,0))</f>
        <v>31.6</v>
      </c>
      <c r="S266" s="400">
        <v>0.2</v>
      </c>
      <c r="T266" s="400">
        <v>0.2</v>
      </c>
      <c r="U266" s="400">
        <v>0.2</v>
      </c>
      <c r="V266" s="366"/>
      <c r="W266" s="366">
        <f t="shared" si="497"/>
        <v>0</v>
      </c>
      <c r="X266" s="404" t="s">
        <v>484</v>
      </c>
      <c r="Z266" s="410" t="s">
        <v>783</v>
      </c>
    </row>
    <row r="267" ht="105" spans="1:26">
      <c r="A267" s="366">
        <v>148</v>
      </c>
      <c r="B267" s="367" t="s">
        <v>829</v>
      </c>
      <c r="C267" s="367" t="s">
        <v>830</v>
      </c>
      <c r="D267" s="367" t="s">
        <v>831</v>
      </c>
      <c r="E267" s="376">
        <f t="shared" si="490"/>
        <v>25.28</v>
      </c>
      <c r="F267" s="377">
        <f t="shared" si="491"/>
        <v>6.4</v>
      </c>
      <c r="G267" s="377">
        <f t="shared" si="492"/>
        <v>9.6</v>
      </c>
      <c r="H267" s="376">
        <f t="shared" si="493"/>
        <v>2.88</v>
      </c>
      <c r="I267" s="376">
        <f t="shared" si="494"/>
        <v>6.4</v>
      </c>
      <c r="J267" s="376">
        <f t="shared" si="495"/>
        <v>0.143636363636364</v>
      </c>
      <c r="K267" s="24" t="s">
        <v>78</v>
      </c>
      <c r="L267" s="384" t="str">
        <f>IF(K267="","",VLOOKUP(K267,'Định nghĩa Loại Chức năng'!$B$4:$C$92,2,FALSE))</f>
        <v>Xử lý nghiệp vụ đơn giản</v>
      </c>
      <c r="M267" s="394" t="s">
        <v>287</v>
      </c>
      <c r="N267" s="395">
        <f>IF(K267="","",VLOOKUP(K267&amp;$N$7,CSDL_CN!$D$4:$E$264,2,FALSE))</f>
        <v>8</v>
      </c>
      <c r="O267" s="395">
        <f>IF(K267="","",VLOOKUP(K267&amp;$O$7,CSDL_CN!$D$4:$E$264,2,FALSE))</f>
        <v>12</v>
      </c>
      <c r="P267" s="395">
        <f t="shared" si="496"/>
        <v>3.6</v>
      </c>
      <c r="Q267" s="395">
        <f>IF(K267="","",VLOOKUP(K267&amp;$Q$7,CSDL_CN!$D$4:$E$264,2,FALSE))</f>
        <v>8</v>
      </c>
      <c r="R267" s="395">
        <f t="array" ref="R267">SUM(IFERROR(N267:Q267,0))</f>
        <v>31.6</v>
      </c>
      <c r="S267" s="400">
        <v>0.2</v>
      </c>
      <c r="T267" s="400">
        <v>0.2</v>
      </c>
      <c r="U267" s="400">
        <v>0.2</v>
      </c>
      <c r="V267" s="366"/>
      <c r="W267" s="366">
        <f t="shared" si="497"/>
        <v>0</v>
      </c>
      <c r="X267" s="404" t="s">
        <v>484</v>
      </c>
      <c r="Z267" s="410" t="s">
        <v>783</v>
      </c>
    </row>
    <row r="268" ht="105" spans="1:26">
      <c r="A268" s="366">
        <v>149</v>
      </c>
      <c r="B268" s="367" t="s">
        <v>832</v>
      </c>
      <c r="C268" s="367" t="s">
        <v>833</v>
      </c>
      <c r="D268" s="367" t="s">
        <v>834</v>
      </c>
      <c r="E268" s="376">
        <f t="shared" si="490"/>
        <v>25.28</v>
      </c>
      <c r="F268" s="377">
        <f t="shared" si="491"/>
        <v>6.4</v>
      </c>
      <c r="G268" s="377">
        <f t="shared" si="492"/>
        <v>9.6</v>
      </c>
      <c r="H268" s="376">
        <f t="shared" si="493"/>
        <v>2.88</v>
      </c>
      <c r="I268" s="376">
        <f t="shared" si="494"/>
        <v>6.4</v>
      </c>
      <c r="J268" s="376">
        <f t="shared" si="495"/>
        <v>0.143636363636364</v>
      </c>
      <c r="K268" s="24" t="s">
        <v>78</v>
      </c>
      <c r="L268" s="384" t="str">
        <f>IF(K268="","",VLOOKUP(K268,'Định nghĩa Loại Chức năng'!$B$4:$C$92,2,FALSE))</f>
        <v>Xử lý nghiệp vụ đơn giản</v>
      </c>
      <c r="M268" s="394" t="s">
        <v>287</v>
      </c>
      <c r="N268" s="395">
        <f>IF(K268="","",VLOOKUP(K268&amp;$N$7,CSDL_CN!$D$4:$E$264,2,FALSE))</f>
        <v>8</v>
      </c>
      <c r="O268" s="395">
        <f>IF(K268="","",VLOOKUP(K268&amp;$O$7,CSDL_CN!$D$4:$E$264,2,FALSE))</f>
        <v>12</v>
      </c>
      <c r="P268" s="395">
        <f t="shared" si="496"/>
        <v>3.6</v>
      </c>
      <c r="Q268" s="395">
        <f>IF(K268="","",VLOOKUP(K268&amp;$Q$7,CSDL_CN!$D$4:$E$264,2,FALSE))</f>
        <v>8</v>
      </c>
      <c r="R268" s="395">
        <f t="array" ref="R268">SUM(IFERROR(N268:Q268,0))</f>
        <v>31.6</v>
      </c>
      <c r="S268" s="400">
        <v>0.2</v>
      </c>
      <c r="T268" s="400">
        <v>0.2</v>
      </c>
      <c r="U268" s="400">
        <v>0.2</v>
      </c>
      <c r="V268" s="366"/>
      <c r="W268" s="366">
        <f t="shared" si="497"/>
        <v>0</v>
      </c>
      <c r="X268" s="404" t="s">
        <v>484</v>
      </c>
      <c r="Z268" s="410" t="s">
        <v>783</v>
      </c>
    </row>
    <row r="269" ht="105" spans="1:26">
      <c r="A269" s="366">
        <v>150</v>
      </c>
      <c r="B269" s="367" t="s">
        <v>835</v>
      </c>
      <c r="C269" s="367" t="s">
        <v>836</v>
      </c>
      <c r="D269" s="367" t="s">
        <v>837</v>
      </c>
      <c r="E269" s="376">
        <f t="shared" si="490"/>
        <v>25.28</v>
      </c>
      <c r="F269" s="377">
        <f t="shared" si="491"/>
        <v>6.4</v>
      </c>
      <c r="G269" s="377">
        <f t="shared" si="492"/>
        <v>9.6</v>
      </c>
      <c r="H269" s="376">
        <f t="shared" si="493"/>
        <v>2.88</v>
      </c>
      <c r="I269" s="376">
        <f t="shared" si="494"/>
        <v>6.4</v>
      </c>
      <c r="J269" s="376">
        <f t="shared" si="495"/>
        <v>0.143636363636364</v>
      </c>
      <c r="K269" s="24" t="s">
        <v>78</v>
      </c>
      <c r="L269" s="384" t="str">
        <f>IF(K269="","",VLOOKUP(K269,'Định nghĩa Loại Chức năng'!$B$4:$C$92,2,FALSE))</f>
        <v>Xử lý nghiệp vụ đơn giản</v>
      </c>
      <c r="M269" s="394" t="s">
        <v>287</v>
      </c>
      <c r="N269" s="395">
        <f>IF(K269="","",VLOOKUP(K269&amp;$N$7,CSDL_CN!$D$4:$E$264,2,FALSE))</f>
        <v>8</v>
      </c>
      <c r="O269" s="395">
        <f>IF(K269="","",VLOOKUP(K269&amp;$O$7,CSDL_CN!$D$4:$E$264,2,FALSE))</f>
        <v>12</v>
      </c>
      <c r="P269" s="395">
        <f t="shared" si="496"/>
        <v>3.6</v>
      </c>
      <c r="Q269" s="395">
        <f>IF(K269="","",VLOOKUP(K269&amp;$Q$7,CSDL_CN!$D$4:$E$264,2,FALSE))</f>
        <v>8</v>
      </c>
      <c r="R269" s="395">
        <f t="array" ref="R269">SUM(IFERROR(N269:Q269,0))</f>
        <v>31.6</v>
      </c>
      <c r="S269" s="400">
        <v>0.2</v>
      </c>
      <c r="T269" s="400">
        <v>0.2</v>
      </c>
      <c r="U269" s="400">
        <v>0.2</v>
      </c>
      <c r="V269" s="366"/>
      <c r="W269" s="366">
        <f t="shared" si="497"/>
        <v>0</v>
      </c>
      <c r="X269" s="404" t="s">
        <v>484</v>
      </c>
      <c r="Z269" s="410" t="s">
        <v>783</v>
      </c>
    </row>
    <row r="270" ht="105" spans="1:26">
      <c r="A270" s="366">
        <v>151</v>
      </c>
      <c r="B270" s="367" t="s">
        <v>838</v>
      </c>
      <c r="C270" s="367" t="s">
        <v>839</v>
      </c>
      <c r="D270" s="367" t="s">
        <v>840</v>
      </c>
      <c r="E270" s="376">
        <f t="shared" si="490"/>
        <v>25.28</v>
      </c>
      <c r="F270" s="377">
        <f t="shared" si="491"/>
        <v>6.4</v>
      </c>
      <c r="G270" s="377">
        <f t="shared" si="492"/>
        <v>9.6</v>
      </c>
      <c r="H270" s="376">
        <f t="shared" si="493"/>
        <v>2.88</v>
      </c>
      <c r="I270" s="376">
        <f t="shared" si="494"/>
        <v>6.4</v>
      </c>
      <c r="J270" s="376">
        <f t="shared" si="495"/>
        <v>0.143636363636364</v>
      </c>
      <c r="K270" s="24" t="s">
        <v>78</v>
      </c>
      <c r="L270" s="384" t="str">
        <f>IF(K270="","",VLOOKUP(K270,'Định nghĩa Loại Chức năng'!$B$4:$C$92,2,FALSE))</f>
        <v>Xử lý nghiệp vụ đơn giản</v>
      </c>
      <c r="M270" s="394" t="s">
        <v>287</v>
      </c>
      <c r="N270" s="395">
        <f>IF(K270="","",VLOOKUP(K270&amp;$N$7,CSDL_CN!$D$4:$E$264,2,FALSE))</f>
        <v>8</v>
      </c>
      <c r="O270" s="395">
        <f>IF(K270="","",VLOOKUP(K270&amp;$O$7,CSDL_CN!$D$4:$E$264,2,FALSE))</f>
        <v>12</v>
      </c>
      <c r="P270" s="395">
        <f t="shared" si="496"/>
        <v>3.6</v>
      </c>
      <c r="Q270" s="395">
        <f>IF(K270="","",VLOOKUP(K270&amp;$Q$7,CSDL_CN!$D$4:$E$264,2,FALSE))</f>
        <v>8</v>
      </c>
      <c r="R270" s="395">
        <f t="array" ref="R270">SUM(IFERROR(N270:Q270,0))</f>
        <v>31.6</v>
      </c>
      <c r="S270" s="400">
        <v>0.2</v>
      </c>
      <c r="T270" s="400">
        <v>0.2</v>
      </c>
      <c r="U270" s="400">
        <v>0.2</v>
      </c>
      <c r="V270" s="366"/>
      <c r="W270" s="366">
        <f t="shared" si="497"/>
        <v>0</v>
      </c>
      <c r="X270" s="404" t="s">
        <v>484</v>
      </c>
      <c r="Z270" s="410" t="s">
        <v>783</v>
      </c>
    </row>
    <row r="271" ht="105" spans="1:26">
      <c r="A271" s="366">
        <v>152</v>
      </c>
      <c r="B271" s="367" t="s">
        <v>841</v>
      </c>
      <c r="C271" s="367" t="s">
        <v>842</v>
      </c>
      <c r="D271" s="367" t="s">
        <v>843</v>
      </c>
      <c r="E271" s="376">
        <f t="shared" si="490"/>
        <v>25.28</v>
      </c>
      <c r="F271" s="377">
        <f t="shared" si="491"/>
        <v>6.4</v>
      </c>
      <c r="G271" s="377">
        <f t="shared" si="492"/>
        <v>9.6</v>
      </c>
      <c r="H271" s="376">
        <f t="shared" si="493"/>
        <v>2.88</v>
      </c>
      <c r="I271" s="376">
        <f t="shared" si="494"/>
        <v>6.4</v>
      </c>
      <c r="J271" s="376">
        <f t="shared" si="495"/>
        <v>0.143636363636364</v>
      </c>
      <c r="K271" s="24" t="s">
        <v>78</v>
      </c>
      <c r="L271" s="384" t="str">
        <f>IF(K271="","",VLOOKUP(K271,'Định nghĩa Loại Chức năng'!$B$4:$C$92,2,FALSE))</f>
        <v>Xử lý nghiệp vụ đơn giản</v>
      </c>
      <c r="M271" s="394" t="s">
        <v>287</v>
      </c>
      <c r="N271" s="395">
        <f>IF(K271="","",VLOOKUP(K271&amp;$N$7,CSDL_CN!$D$4:$E$264,2,FALSE))</f>
        <v>8</v>
      </c>
      <c r="O271" s="395">
        <f>IF(K271="","",VLOOKUP(K271&amp;$O$7,CSDL_CN!$D$4:$E$264,2,FALSE))</f>
        <v>12</v>
      </c>
      <c r="P271" s="395">
        <f t="shared" si="496"/>
        <v>3.6</v>
      </c>
      <c r="Q271" s="395">
        <f>IF(K271="","",VLOOKUP(K271&amp;$Q$7,CSDL_CN!$D$4:$E$264,2,FALSE))</f>
        <v>8</v>
      </c>
      <c r="R271" s="395">
        <f t="array" ref="R271">SUM(IFERROR(N271:Q271,0))</f>
        <v>31.6</v>
      </c>
      <c r="S271" s="400">
        <v>0.2</v>
      </c>
      <c r="T271" s="400">
        <v>0.2</v>
      </c>
      <c r="U271" s="400">
        <v>0.2</v>
      </c>
      <c r="V271" s="366"/>
      <c r="W271" s="366">
        <f t="shared" si="497"/>
        <v>0</v>
      </c>
      <c r="X271" s="404" t="s">
        <v>484</v>
      </c>
      <c r="Z271" s="410" t="s">
        <v>783</v>
      </c>
    </row>
    <row r="272" ht="105" spans="1:26">
      <c r="A272" s="366">
        <v>153</v>
      </c>
      <c r="B272" s="367" t="s">
        <v>844</v>
      </c>
      <c r="C272" s="367" t="s">
        <v>845</v>
      </c>
      <c r="D272" s="367" t="s">
        <v>846</v>
      </c>
      <c r="E272" s="376">
        <f t="shared" si="490"/>
        <v>25.28</v>
      </c>
      <c r="F272" s="377">
        <f t="shared" si="491"/>
        <v>6.4</v>
      </c>
      <c r="G272" s="377">
        <f t="shared" si="492"/>
        <v>9.6</v>
      </c>
      <c r="H272" s="376">
        <f t="shared" si="493"/>
        <v>2.88</v>
      </c>
      <c r="I272" s="376">
        <f t="shared" si="494"/>
        <v>6.4</v>
      </c>
      <c r="J272" s="376">
        <f t="shared" si="495"/>
        <v>0.143636363636364</v>
      </c>
      <c r="K272" s="24" t="s">
        <v>78</v>
      </c>
      <c r="L272" s="384" t="str">
        <f>IF(K272="","",VLOOKUP(K272,'Định nghĩa Loại Chức năng'!$B$4:$C$92,2,FALSE))</f>
        <v>Xử lý nghiệp vụ đơn giản</v>
      </c>
      <c r="M272" s="394" t="s">
        <v>287</v>
      </c>
      <c r="N272" s="395">
        <f>IF(K272="","",VLOOKUP(K272&amp;$N$7,CSDL_CN!$D$4:$E$264,2,FALSE))</f>
        <v>8</v>
      </c>
      <c r="O272" s="395">
        <f>IF(K272="","",VLOOKUP(K272&amp;$O$7,CSDL_CN!$D$4:$E$264,2,FALSE))</f>
        <v>12</v>
      </c>
      <c r="P272" s="395">
        <f t="shared" si="496"/>
        <v>3.6</v>
      </c>
      <c r="Q272" s="395">
        <f>IF(K272="","",VLOOKUP(K272&amp;$Q$7,CSDL_CN!$D$4:$E$264,2,FALSE))</f>
        <v>8</v>
      </c>
      <c r="R272" s="395">
        <f t="array" ref="R272">SUM(IFERROR(N272:Q272,0))</f>
        <v>31.6</v>
      </c>
      <c r="S272" s="400">
        <v>0.2</v>
      </c>
      <c r="T272" s="400">
        <v>0.2</v>
      </c>
      <c r="U272" s="400">
        <v>0.2</v>
      </c>
      <c r="V272" s="366"/>
      <c r="W272" s="366">
        <f t="shared" si="497"/>
        <v>0</v>
      </c>
      <c r="X272" s="404" t="s">
        <v>484</v>
      </c>
      <c r="Z272" s="410" t="s">
        <v>783</v>
      </c>
    </row>
    <row r="273" ht="105" spans="1:26">
      <c r="A273" s="366">
        <v>154</v>
      </c>
      <c r="B273" s="367" t="s">
        <v>847</v>
      </c>
      <c r="C273" s="367" t="s">
        <v>848</v>
      </c>
      <c r="D273" s="367" t="s">
        <v>849</v>
      </c>
      <c r="E273" s="376">
        <f t="shared" si="490"/>
        <v>25.28</v>
      </c>
      <c r="F273" s="377">
        <f t="shared" si="491"/>
        <v>6.4</v>
      </c>
      <c r="G273" s="377">
        <f t="shared" si="492"/>
        <v>9.6</v>
      </c>
      <c r="H273" s="376">
        <f t="shared" si="493"/>
        <v>2.88</v>
      </c>
      <c r="I273" s="376">
        <f t="shared" si="494"/>
        <v>6.4</v>
      </c>
      <c r="J273" s="376">
        <f t="shared" si="495"/>
        <v>0.143636363636364</v>
      </c>
      <c r="K273" s="24" t="s">
        <v>78</v>
      </c>
      <c r="L273" s="384" t="str">
        <f>IF(K273="","",VLOOKUP(K273,'Định nghĩa Loại Chức năng'!$B$4:$C$92,2,FALSE))</f>
        <v>Xử lý nghiệp vụ đơn giản</v>
      </c>
      <c r="M273" s="394" t="s">
        <v>287</v>
      </c>
      <c r="N273" s="395">
        <f>IF(K273="","",VLOOKUP(K273&amp;$N$7,CSDL_CN!$D$4:$E$264,2,FALSE))</f>
        <v>8</v>
      </c>
      <c r="O273" s="395">
        <f>IF(K273="","",VLOOKUP(K273&amp;$O$7,CSDL_CN!$D$4:$E$264,2,FALSE))</f>
        <v>12</v>
      </c>
      <c r="P273" s="395">
        <f t="shared" si="496"/>
        <v>3.6</v>
      </c>
      <c r="Q273" s="395">
        <f>IF(K273="","",VLOOKUP(K273&amp;$Q$7,CSDL_CN!$D$4:$E$264,2,FALSE))</f>
        <v>8</v>
      </c>
      <c r="R273" s="395">
        <f t="array" ref="R273">SUM(IFERROR(N273:Q273,0))</f>
        <v>31.6</v>
      </c>
      <c r="S273" s="400">
        <v>0.2</v>
      </c>
      <c r="T273" s="400">
        <v>0.2</v>
      </c>
      <c r="U273" s="400">
        <v>0.2</v>
      </c>
      <c r="V273" s="366"/>
      <c r="W273" s="366">
        <f t="shared" si="497"/>
        <v>0</v>
      </c>
      <c r="X273" s="404" t="s">
        <v>484</v>
      </c>
      <c r="Z273" s="410" t="s">
        <v>783</v>
      </c>
    </row>
    <row r="274" ht="105" spans="1:26">
      <c r="A274" s="366">
        <v>155</v>
      </c>
      <c r="B274" s="367" t="s">
        <v>850</v>
      </c>
      <c r="C274" s="367" t="s">
        <v>851</v>
      </c>
      <c r="D274" s="367" t="s">
        <v>852</v>
      </c>
      <c r="E274" s="376">
        <f t="shared" si="490"/>
        <v>25.28</v>
      </c>
      <c r="F274" s="377">
        <f t="shared" si="491"/>
        <v>6.4</v>
      </c>
      <c r="G274" s="377">
        <f t="shared" si="492"/>
        <v>9.6</v>
      </c>
      <c r="H274" s="376">
        <f t="shared" si="493"/>
        <v>2.88</v>
      </c>
      <c r="I274" s="376">
        <f t="shared" si="494"/>
        <v>6.4</v>
      </c>
      <c r="J274" s="376">
        <f t="shared" si="495"/>
        <v>0.143636363636364</v>
      </c>
      <c r="K274" s="24" t="s">
        <v>78</v>
      </c>
      <c r="L274" s="384" t="str">
        <f>IF(K274="","",VLOOKUP(K274,'Định nghĩa Loại Chức năng'!$B$4:$C$92,2,FALSE))</f>
        <v>Xử lý nghiệp vụ đơn giản</v>
      </c>
      <c r="M274" s="394" t="s">
        <v>287</v>
      </c>
      <c r="N274" s="395">
        <f>IF(K274="","",VLOOKUP(K274&amp;$N$7,CSDL_CN!$D$4:$E$264,2,FALSE))</f>
        <v>8</v>
      </c>
      <c r="O274" s="395">
        <f>IF(K274="","",VLOOKUP(K274&amp;$O$7,CSDL_CN!$D$4:$E$264,2,FALSE))</f>
        <v>12</v>
      </c>
      <c r="P274" s="395">
        <f t="shared" si="496"/>
        <v>3.6</v>
      </c>
      <c r="Q274" s="395">
        <f>IF(K274="","",VLOOKUP(K274&amp;$Q$7,CSDL_CN!$D$4:$E$264,2,FALSE))</f>
        <v>8</v>
      </c>
      <c r="R274" s="395">
        <f t="array" ref="R274">SUM(IFERROR(N274:Q274,0))</f>
        <v>31.6</v>
      </c>
      <c r="S274" s="400">
        <v>0.2</v>
      </c>
      <c r="T274" s="400">
        <v>0.2</v>
      </c>
      <c r="U274" s="400">
        <v>0.2</v>
      </c>
      <c r="V274" s="366"/>
      <c r="W274" s="366">
        <f t="shared" si="497"/>
        <v>0</v>
      </c>
      <c r="X274" s="404" t="s">
        <v>484</v>
      </c>
      <c r="Z274" s="410" t="s">
        <v>783</v>
      </c>
    </row>
    <row r="275" ht="105" spans="1:26">
      <c r="A275" s="366">
        <v>156</v>
      </c>
      <c r="B275" s="367" t="s">
        <v>853</v>
      </c>
      <c r="C275" s="367" t="s">
        <v>854</v>
      </c>
      <c r="D275" s="367" t="s">
        <v>855</v>
      </c>
      <c r="E275" s="376">
        <f t="shared" si="490"/>
        <v>25.28</v>
      </c>
      <c r="F275" s="377">
        <f t="shared" si="491"/>
        <v>6.4</v>
      </c>
      <c r="G275" s="377">
        <f t="shared" si="492"/>
        <v>9.6</v>
      </c>
      <c r="H275" s="376">
        <f t="shared" si="493"/>
        <v>2.88</v>
      </c>
      <c r="I275" s="376">
        <f t="shared" si="494"/>
        <v>6.4</v>
      </c>
      <c r="J275" s="376">
        <f t="shared" si="495"/>
        <v>0.143636363636364</v>
      </c>
      <c r="K275" s="24" t="s">
        <v>78</v>
      </c>
      <c r="L275" s="384" t="str">
        <f>IF(K275="","",VLOOKUP(K275,'Định nghĩa Loại Chức năng'!$B$4:$C$92,2,FALSE))</f>
        <v>Xử lý nghiệp vụ đơn giản</v>
      </c>
      <c r="M275" s="394" t="s">
        <v>287</v>
      </c>
      <c r="N275" s="395">
        <f>IF(K275="","",VLOOKUP(K275&amp;$N$7,CSDL_CN!$D$4:$E$264,2,FALSE))</f>
        <v>8</v>
      </c>
      <c r="O275" s="395">
        <f>IF(K275="","",VLOOKUP(K275&amp;$O$7,CSDL_CN!$D$4:$E$264,2,FALSE))</f>
        <v>12</v>
      </c>
      <c r="P275" s="395">
        <f t="shared" si="496"/>
        <v>3.6</v>
      </c>
      <c r="Q275" s="395">
        <f>IF(K275="","",VLOOKUP(K275&amp;$Q$7,CSDL_CN!$D$4:$E$264,2,FALSE))</f>
        <v>8</v>
      </c>
      <c r="R275" s="395">
        <f t="array" ref="R275">SUM(IFERROR(N275:Q275,0))</f>
        <v>31.6</v>
      </c>
      <c r="S275" s="400">
        <v>0.2</v>
      </c>
      <c r="T275" s="400">
        <v>0.2</v>
      </c>
      <c r="U275" s="400">
        <v>0.2</v>
      </c>
      <c r="V275" s="366"/>
      <c r="W275" s="366">
        <f t="shared" si="497"/>
        <v>0</v>
      </c>
      <c r="X275" s="404" t="s">
        <v>484</v>
      </c>
      <c r="Z275" s="410" t="s">
        <v>783</v>
      </c>
    </row>
    <row r="276" ht="105" spans="1:26">
      <c r="A276" s="366">
        <v>157</v>
      </c>
      <c r="B276" s="367" t="s">
        <v>856</v>
      </c>
      <c r="C276" s="367" t="s">
        <v>857</v>
      </c>
      <c r="D276" s="367" t="s">
        <v>858</v>
      </c>
      <c r="E276" s="376">
        <f t="shared" si="490"/>
        <v>25.28</v>
      </c>
      <c r="F276" s="377">
        <f t="shared" si="491"/>
        <v>6.4</v>
      </c>
      <c r="G276" s="377">
        <f t="shared" si="492"/>
        <v>9.6</v>
      </c>
      <c r="H276" s="376">
        <f t="shared" si="493"/>
        <v>2.88</v>
      </c>
      <c r="I276" s="376">
        <f t="shared" si="494"/>
        <v>6.4</v>
      </c>
      <c r="J276" s="376">
        <f t="shared" si="495"/>
        <v>0.143636363636364</v>
      </c>
      <c r="K276" s="24" t="s">
        <v>78</v>
      </c>
      <c r="L276" s="384" t="str">
        <f>IF(K276="","",VLOOKUP(K276,'Định nghĩa Loại Chức năng'!$B$4:$C$92,2,FALSE))</f>
        <v>Xử lý nghiệp vụ đơn giản</v>
      </c>
      <c r="M276" s="394" t="s">
        <v>287</v>
      </c>
      <c r="N276" s="395">
        <f>IF(K276="","",VLOOKUP(K276&amp;$N$7,CSDL_CN!$D$4:$E$264,2,FALSE))</f>
        <v>8</v>
      </c>
      <c r="O276" s="395">
        <f>IF(K276="","",VLOOKUP(K276&amp;$O$7,CSDL_CN!$D$4:$E$264,2,FALSE))</f>
        <v>12</v>
      </c>
      <c r="P276" s="395">
        <f t="shared" si="496"/>
        <v>3.6</v>
      </c>
      <c r="Q276" s="395">
        <f>IF(K276="","",VLOOKUP(K276&amp;$Q$7,CSDL_CN!$D$4:$E$264,2,FALSE))</f>
        <v>8</v>
      </c>
      <c r="R276" s="395">
        <f t="array" ref="R276">SUM(IFERROR(N276:Q276,0))</f>
        <v>31.6</v>
      </c>
      <c r="S276" s="400">
        <v>0.2</v>
      </c>
      <c r="T276" s="400">
        <v>0.2</v>
      </c>
      <c r="U276" s="400">
        <v>0.2</v>
      </c>
      <c r="V276" s="366"/>
      <c r="W276" s="366">
        <f t="shared" si="497"/>
        <v>0</v>
      </c>
      <c r="X276" s="404" t="s">
        <v>484</v>
      </c>
      <c r="Z276" s="410" t="s">
        <v>783</v>
      </c>
    </row>
    <row r="277" ht="105" spans="1:26">
      <c r="A277" s="366">
        <v>158</v>
      </c>
      <c r="B277" s="367" t="s">
        <v>859</v>
      </c>
      <c r="C277" s="367" t="s">
        <v>860</v>
      </c>
      <c r="D277" s="367" t="s">
        <v>861</v>
      </c>
      <c r="E277" s="376">
        <f t="shared" si="490"/>
        <v>25.28</v>
      </c>
      <c r="F277" s="377">
        <f t="shared" si="491"/>
        <v>6.4</v>
      </c>
      <c r="G277" s="377">
        <f t="shared" si="492"/>
        <v>9.6</v>
      </c>
      <c r="H277" s="376">
        <f t="shared" si="493"/>
        <v>2.88</v>
      </c>
      <c r="I277" s="376">
        <f t="shared" si="494"/>
        <v>6.4</v>
      </c>
      <c r="J277" s="376">
        <f t="shared" si="495"/>
        <v>0.143636363636364</v>
      </c>
      <c r="K277" s="24" t="s">
        <v>78</v>
      </c>
      <c r="L277" s="384" t="str">
        <f>IF(K277="","",VLOOKUP(K277,'Định nghĩa Loại Chức năng'!$B$4:$C$92,2,FALSE))</f>
        <v>Xử lý nghiệp vụ đơn giản</v>
      </c>
      <c r="M277" s="394" t="s">
        <v>287</v>
      </c>
      <c r="N277" s="395">
        <f>IF(K277="","",VLOOKUP(K277&amp;$N$7,CSDL_CN!$D$4:$E$264,2,FALSE))</f>
        <v>8</v>
      </c>
      <c r="O277" s="395">
        <f>IF(K277="","",VLOOKUP(K277&amp;$O$7,CSDL_CN!$D$4:$E$264,2,FALSE))</f>
        <v>12</v>
      </c>
      <c r="P277" s="395">
        <f t="shared" si="496"/>
        <v>3.6</v>
      </c>
      <c r="Q277" s="395">
        <f>IF(K277="","",VLOOKUP(K277&amp;$Q$7,CSDL_CN!$D$4:$E$264,2,FALSE))</f>
        <v>8</v>
      </c>
      <c r="R277" s="395">
        <f t="array" ref="R277">SUM(IFERROR(N277:Q277,0))</f>
        <v>31.6</v>
      </c>
      <c r="S277" s="400">
        <v>0.2</v>
      </c>
      <c r="T277" s="400">
        <v>0.2</v>
      </c>
      <c r="U277" s="400">
        <v>0.2</v>
      </c>
      <c r="V277" s="366"/>
      <c r="W277" s="366">
        <f t="shared" si="497"/>
        <v>0</v>
      </c>
      <c r="X277" s="404" t="s">
        <v>484</v>
      </c>
      <c r="Z277" s="410" t="s">
        <v>783</v>
      </c>
    </row>
    <row r="278" ht="105" spans="1:26">
      <c r="A278" s="366">
        <v>159</v>
      </c>
      <c r="B278" s="367" t="s">
        <v>862</v>
      </c>
      <c r="C278" s="367" t="s">
        <v>863</v>
      </c>
      <c r="D278" s="367" t="s">
        <v>864</v>
      </c>
      <c r="E278" s="376">
        <f t="shared" si="490"/>
        <v>25.28</v>
      </c>
      <c r="F278" s="377">
        <f t="shared" si="491"/>
        <v>6.4</v>
      </c>
      <c r="G278" s="377">
        <f t="shared" si="492"/>
        <v>9.6</v>
      </c>
      <c r="H278" s="376">
        <f t="shared" si="493"/>
        <v>2.88</v>
      </c>
      <c r="I278" s="376">
        <f t="shared" si="494"/>
        <v>6.4</v>
      </c>
      <c r="J278" s="376">
        <f t="shared" si="495"/>
        <v>0.143636363636364</v>
      </c>
      <c r="K278" s="24" t="s">
        <v>78</v>
      </c>
      <c r="L278" s="384" t="str">
        <f>IF(K278="","",VLOOKUP(K278,'Định nghĩa Loại Chức năng'!$B$4:$C$92,2,FALSE))</f>
        <v>Xử lý nghiệp vụ đơn giản</v>
      </c>
      <c r="M278" s="394" t="s">
        <v>287</v>
      </c>
      <c r="N278" s="395">
        <f>IF(K278="","",VLOOKUP(K278&amp;$N$7,CSDL_CN!$D$4:$E$264,2,FALSE))</f>
        <v>8</v>
      </c>
      <c r="O278" s="395">
        <f>IF(K278="","",VLOOKUP(K278&amp;$O$7,CSDL_CN!$D$4:$E$264,2,FALSE))</f>
        <v>12</v>
      </c>
      <c r="P278" s="395">
        <f t="shared" si="496"/>
        <v>3.6</v>
      </c>
      <c r="Q278" s="395">
        <f>IF(K278="","",VLOOKUP(K278&amp;$Q$7,CSDL_CN!$D$4:$E$264,2,FALSE))</f>
        <v>8</v>
      </c>
      <c r="R278" s="395">
        <f t="array" ref="R278">SUM(IFERROR(N278:Q278,0))</f>
        <v>31.6</v>
      </c>
      <c r="S278" s="400">
        <v>0.2</v>
      </c>
      <c r="T278" s="400">
        <v>0.2</v>
      </c>
      <c r="U278" s="400">
        <v>0.2</v>
      </c>
      <c r="V278" s="366"/>
      <c r="W278" s="366">
        <f t="shared" si="497"/>
        <v>0</v>
      </c>
      <c r="X278" s="404" t="s">
        <v>484</v>
      </c>
      <c r="Z278" s="410" t="s">
        <v>783</v>
      </c>
    </row>
    <row r="279" ht="105" spans="1:26">
      <c r="A279" s="366">
        <v>160</v>
      </c>
      <c r="B279" s="367" t="s">
        <v>865</v>
      </c>
      <c r="C279" s="367" t="s">
        <v>866</v>
      </c>
      <c r="D279" s="367" t="s">
        <v>867</v>
      </c>
      <c r="E279" s="376">
        <f t="shared" si="490"/>
        <v>25.28</v>
      </c>
      <c r="F279" s="377">
        <f t="shared" si="491"/>
        <v>6.4</v>
      </c>
      <c r="G279" s="377">
        <f t="shared" si="492"/>
        <v>9.6</v>
      </c>
      <c r="H279" s="376">
        <f t="shared" si="493"/>
        <v>2.88</v>
      </c>
      <c r="I279" s="376">
        <f t="shared" si="494"/>
        <v>6.4</v>
      </c>
      <c r="J279" s="376">
        <f t="shared" si="495"/>
        <v>0.143636363636364</v>
      </c>
      <c r="K279" s="24" t="s">
        <v>78</v>
      </c>
      <c r="L279" s="384" t="str">
        <f>IF(K279="","",VLOOKUP(K279,'Định nghĩa Loại Chức năng'!$B$4:$C$92,2,FALSE))</f>
        <v>Xử lý nghiệp vụ đơn giản</v>
      </c>
      <c r="M279" s="394" t="s">
        <v>287</v>
      </c>
      <c r="N279" s="395">
        <f>IF(K279="","",VLOOKUP(K279&amp;$N$7,CSDL_CN!$D$4:$E$264,2,FALSE))</f>
        <v>8</v>
      </c>
      <c r="O279" s="395">
        <f>IF(K279="","",VLOOKUP(K279&amp;$O$7,CSDL_CN!$D$4:$E$264,2,FALSE))</f>
        <v>12</v>
      </c>
      <c r="P279" s="395">
        <f t="shared" si="496"/>
        <v>3.6</v>
      </c>
      <c r="Q279" s="395">
        <f>IF(K279="","",VLOOKUP(K279&amp;$Q$7,CSDL_CN!$D$4:$E$264,2,FALSE))</f>
        <v>8</v>
      </c>
      <c r="R279" s="395">
        <f t="array" ref="R279">SUM(IFERROR(N279:Q279,0))</f>
        <v>31.6</v>
      </c>
      <c r="S279" s="400">
        <v>0.2</v>
      </c>
      <c r="T279" s="400">
        <v>0.2</v>
      </c>
      <c r="U279" s="400">
        <v>0.2</v>
      </c>
      <c r="V279" s="366"/>
      <c r="W279" s="366">
        <f t="shared" si="497"/>
        <v>0</v>
      </c>
      <c r="X279" s="404" t="s">
        <v>484</v>
      </c>
      <c r="Z279" s="410" t="s">
        <v>783</v>
      </c>
    </row>
    <row r="280" ht="105" spans="1:26">
      <c r="A280" s="366">
        <v>161</v>
      </c>
      <c r="B280" s="367" t="s">
        <v>868</v>
      </c>
      <c r="C280" s="367" t="s">
        <v>869</v>
      </c>
      <c r="D280" s="367" t="s">
        <v>870</v>
      </c>
      <c r="E280" s="376">
        <f t="shared" si="490"/>
        <v>25.28</v>
      </c>
      <c r="F280" s="377">
        <f t="shared" si="491"/>
        <v>6.4</v>
      </c>
      <c r="G280" s="377">
        <f t="shared" si="492"/>
        <v>9.6</v>
      </c>
      <c r="H280" s="376">
        <f t="shared" si="493"/>
        <v>2.88</v>
      </c>
      <c r="I280" s="376">
        <f t="shared" si="494"/>
        <v>6.4</v>
      </c>
      <c r="J280" s="376">
        <f t="shared" si="495"/>
        <v>0.143636363636364</v>
      </c>
      <c r="K280" s="24" t="s">
        <v>78</v>
      </c>
      <c r="L280" s="384" t="str">
        <f>IF(K280="","",VLOOKUP(K280,'Định nghĩa Loại Chức năng'!$B$4:$C$92,2,FALSE))</f>
        <v>Xử lý nghiệp vụ đơn giản</v>
      </c>
      <c r="M280" s="394" t="s">
        <v>287</v>
      </c>
      <c r="N280" s="395">
        <f>IF(K280="","",VLOOKUP(K280&amp;$N$7,CSDL_CN!$D$4:$E$264,2,FALSE))</f>
        <v>8</v>
      </c>
      <c r="O280" s="395">
        <f>IF(K280="","",VLOOKUP(K280&amp;$O$7,CSDL_CN!$D$4:$E$264,2,FALSE))</f>
        <v>12</v>
      </c>
      <c r="P280" s="395">
        <f t="shared" si="496"/>
        <v>3.6</v>
      </c>
      <c r="Q280" s="395">
        <f>IF(K280="","",VLOOKUP(K280&amp;$Q$7,CSDL_CN!$D$4:$E$264,2,FALSE))</f>
        <v>8</v>
      </c>
      <c r="R280" s="395">
        <f t="array" ref="R280">SUM(IFERROR(N280:Q280,0))</f>
        <v>31.6</v>
      </c>
      <c r="S280" s="400">
        <v>0.2</v>
      </c>
      <c r="T280" s="400">
        <v>0.2</v>
      </c>
      <c r="U280" s="400">
        <v>0.2</v>
      </c>
      <c r="V280" s="366"/>
      <c r="W280" s="366">
        <f t="shared" si="497"/>
        <v>0</v>
      </c>
      <c r="X280" s="404" t="s">
        <v>484</v>
      </c>
      <c r="Z280" s="410" t="s">
        <v>783</v>
      </c>
    </row>
    <row r="281" ht="105" spans="1:26">
      <c r="A281" s="366">
        <v>162</v>
      </c>
      <c r="B281" s="367" t="s">
        <v>871</v>
      </c>
      <c r="C281" s="367" t="s">
        <v>872</v>
      </c>
      <c r="D281" s="367" t="s">
        <v>873</v>
      </c>
      <c r="E281" s="376">
        <f t="shared" si="490"/>
        <v>25.28</v>
      </c>
      <c r="F281" s="377">
        <f t="shared" si="491"/>
        <v>6.4</v>
      </c>
      <c r="G281" s="377">
        <f t="shared" si="492"/>
        <v>9.6</v>
      </c>
      <c r="H281" s="376">
        <f t="shared" si="493"/>
        <v>2.88</v>
      </c>
      <c r="I281" s="376">
        <f t="shared" si="494"/>
        <v>6.4</v>
      </c>
      <c r="J281" s="376">
        <f t="shared" si="495"/>
        <v>0.143636363636364</v>
      </c>
      <c r="K281" s="24" t="s">
        <v>78</v>
      </c>
      <c r="L281" s="384" t="str">
        <f>IF(K281="","",VLOOKUP(K281,'Định nghĩa Loại Chức năng'!$B$4:$C$92,2,FALSE))</f>
        <v>Xử lý nghiệp vụ đơn giản</v>
      </c>
      <c r="M281" s="394" t="s">
        <v>287</v>
      </c>
      <c r="N281" s="395">
        <f>IF(K281="","",VLOOKUP(K281&amp;$N$7,CSDL_CN!$D$4:$E$264,2,FALSE))</f>
        <v>8</v>
      </c>
      <c r="O281" s="395">
        <f>IF(K281="","",VLOOKUP(K281&amp;$O$7,CSDL_CN!$D$4:$E$264,2,FALSE))</f>
        <v>12</v>
      </c>
      <c r="P281" s="395">
        <f t="shared" si="496"/>
        <v>3.6</v>
      </c>
      <c r="Q281" s="395">
        <f>IF(K281="","",VLOOKUP(K281&amp;$Q$7,CSDL_CN!$D$4:$E$264,2,FALSE))</f>
        <v>8</v>
      </c>
      <c r="R281" s="395">
        <f t="array" ref="R281">SUM(IFERROR(N281:Q281,0))</f>
        <v>31.6</v>
      </c>
      <c r="S281" s="400">
        <v>0.2</v>
      </c>
      <c r="T281" s="400">
        <v>0.2</v>
      </c>
      <c r="U281" s="400">
        <v>0.2</v>
      </c>
      <c r="V281" s="366"/>
      <c r="W281" s="366">
        <f t="shared" si="497"/>
        <v>0</v>
      </c>
      <c r="X281" s="404" t="s">
        <v>484</v>
      </c>
      <c r="Z281" s="410" t="s">
        <v>783</v>
      </c>
    </row>
    <row r="282" ht="105" spans="1:26">
      <c r="A282" s="366">
        <v>163</v>
      </c>
      <c r="B282" s="367" t="s">
        <v>874</v>
      </c>
      <c r="C282" s="367" t="s">
        <v>875</v>
      </c>
      <c r="D282" s="367" t="s">
        <v>876</v>
      </c>
      <c r="E282" s="376">
        <f t="shared" si="490"/>
        <v>25.28</v>
      </c>
      <c r="F282" s="377">
        <f t="shared" si="491"/>
        <v>6.4</v>
      </c>
      <c r="G282" s="377">
        <f t="shared" si="492"/>
        <v>9.6</v>
      </c>
      <c r="H282" s="376">
        <f t="shared" si="493"/>
        <v>2.88</v>
      </c>
      <c r="I282" s="376">
        <f t="shared" si="494"/>
        <v>6.4</v>
      </c>
      <c r="J282" s="376">
        <f t="shared" si="495"/>
        <v>0.143636363636364</v>
      </c>
      <c r="K282" s="24" t="s">
        <v>78</v>
      </c>
      <c r="L282" s="384" t="str">
        <f>IF(K282="","",VLOOKUP(K282,'Định nghĩa Loại Chức năng'!$B$4:$C$92,2,FALSE))</f>
        <v>Xử lý nghiệp vụ đơn giản</v>
      </c>
      <c r="M282" s="394" t="s">
        <v>287</v>
      </c>
      <c r="N282" s="395">
        <f>IF(K282="","",VLOOKUP(K282&amp;$N$7,CSDL_CN!$D$4:$E$264,2,FALSE))</f>
        <v>8</v>
      </c>
      <c r="O282" s="395">
        <f>IF(K282="","",VLOOKUP(K282&amp;$O$7,CSDL_CN!$D$4:$E$264,2,FALSE))</f>
        <v>12</v>
      </c>
      <c r="P282" s="395">
        <f t="shared" si="496"/>
        <v>3.6</v>
      </c>
      <c r="Q282" s="395">
        <f>IF(K282="","",VLOOKUP(K282&amp;$Q$7,CSDL_CN!$D$4:$E$264,2,FALSE))</f>
        <v>8</v>
      </c>
      <c r="R282" s="395">
        <f t="array" ref="R282">SUM(IFERROR(N282:Q282,0))</f>
        <v>31.6</v>
      </c>
      <c r="S282" s="400">
        <v>0.2</v>
      </c>
      <c r="T282" s="400">
        <v>0.2</v>
      </c>
      <c r="U282" s="400">
        <v>0.2</v>
      </c>
      <c r="V282" s="366"/>
      <c r="W282" s="366">
        <f t="shared" si="497"/>
        <v>0</v>
      </c>
      <c r="X282" s="404" t="s">
        <v>484</v>
      </c>
      <c r="Z282" s="410" t="s">
        <v>783</v>
      </c>
    </row>
    <row r="283" ht="105" spans="1:26">
      <c r="A283" s="366">
        <v>164</v>
      </c>
      <c r="B283" s="367" t="s">
        <v>877</v>
      </c>
      <c r="C283" s="367" t="s">
        <v>878</v>
      </c>
      <c r="D283" s="367" t="s">
        <v>879</v>
      </c>
      <c r="E283" s="376">
        <f t="shared" si="490"/>
        <v>25.28</v>
      </c>
      <c r="F283" s="377">
        <f t="shared" si="491"/>
        <v>6.4</v>
      </c>
      <c r="G283" s="377">
        <f t="shared" si="492"/>
        <v>9.6</v>
      </c>
      <c r="H283" s="376">
        <f t="shared" si="493"/>
        <v>2.88</v>
      </c>
      <c r="I283" s="376">
        <f t="shared" si="494"/>
        <v>6.4</v>
      </c>
      <c r="J283" s="376">
        <f t="shared" si="495"/>
        <v>0.143636363636364</v>
      </c>
      <c r="K283" s="24" t="s">
        <v>78</v>
      </c>
      <c r="L283" s="384" t="str">
        <f>IF(K283="","",VLOOKUP(K283,'Định nghĩa Loại Chức năng'!$B$4:$C$92,2,FALSE))</f>
        <v>Xử lý nghiệp vụ đơn giản</v>
      </c>
      <c r="M283" s="394" t="s">
        <v>287</v>
      </c>
      <c r="N283" s="395">
        <f>IF(K283="","",VLOOKUP(K283&amp;$N$7,CSDL_CN!$D$4:$E$264,2,FALSE))</f>
        <v>8</v>
      </c>
      <c r="O283" s="395">
        <f>IF(K283="","",VLOOKUP(K283&amp;$O$7,CSDL_CN!$D$4:$E$264,2,FALSE))</f>
        <v>12</v>
      </c>
      <c r="P283" s="395">
        <f t="shared" si="496"/>
        <v>3.6</v>
      </c>
      <c r="Q283" s="395">
        <f>IF(K283="","",VLOOKUP(K283&amp;$Q$7,CSDL_CN!$D$4:$E$264,2,FALSE))</f>
        <v>8</v>
      </c>
      <c r="R283" s="395">
        <f t="array" ref="R283">SUM(IFERROR(N283:Q283,0))</f>
        <v>31.6</v>
      </c>
      <c r="S283" s="400">
        <v>0.2</v>
      </c>
      <c r="T283" s="400">
        <v>0.2</v>
      </c>
      <c r="U283" s="400">
        <v>0.2</v>
      </c>
      <c r="V283" s="366"/>
      <c r="W283" s="366">
        <f t="shared" si="497"/>
        <v>0</v>
      </c>
      <c r="X283" s="404" t="s">
        <v>484</v>
      </c>
      <c r="Z283" s="410" t="s">
        <v>783</v>
      </c>
    </row>
    <row r="284" ht="105" spans="1:26">
      <c r="A284" s="366">
        <v>165</v>
      </c>
      <c r="B284" s="367" t="s">
        <v>880</v>
      </c>
      <c r="C284" s="367" t="s">
        <v>881</v>
      </c>
      <c r="D284" s="367" t="s">
        <v>882</v>
      </c>
      <c r="E284" s="376">
        <f t="shared" ref="E284" si="498">SUM(F284:I284)</f>
        <v>25.28</v>
      </c>
      <c r="F284" s="377">
        <f t="shared" ref="F284" si="499">N284*(1-$S284)</f>
        <v>6.4</v>
      </c>
      <c r="G284" s="377">
        <f t="shared" ref="G284" si="500">O284*(1-$T284)</f>
        <v>9.6</v>
      </c>
      <c r="H284" s="376">
        <f t="shared" ref="H284" si="501">P284*(1-$T284)</f>
        <v>2.88</v>
      </c>
      <c r="I284" s="376">
        <f t="shared" ref="I284" si="502">Q284*(1-$U284)</f>
        <v>6.4</v>
      </c>
      <c r="J284" s="376">
        <f t="shared" ref="J284" si="503">E284/22/8</f>
        <v>0.143636363636364</v>
      </c>
      <c r="K284" s="24" t="s">
        <v>78</v>
      </c>
      <c r="L284" s="384" t="str">
        <f>IF(K284="","",VLOOKUP(K284,'Định nghĩa Loại Chức năng'!$B$4:$C$92,2,FALSE))</f>
        <v>Xử lý nghiệp vụ đơn giản</v>
      </c>
      <c r="M284" s="394" t="s">
        <v>287</v>
      </c>
      <c r="N284" s="395">
        <f>IF(K284="","",VLOOKUP(K284&amp;$N$7,CSDL_CN!$D$4:$E$264,2,FALSE))</f>
        <v>8</v>
      </c>
      <c r="O284" s="395">
        <f>IF(K284="","",VLOOKUP(K284&amp;$O$7,CSDL_CN!$D$4:$E$264,2,FALSE))</f>
        <v>12</v>
      </c>
      <c r="P284" s="395">
        <f t="shared" ref="P284" si="504">IF(M284="Có",O284*30%,0)</f>
        <v>3.6</v>
      </c>
      <c r="Q284" s="395">
        <f>IF(K284="","",VLOOKUP(K284&amp;$Q$7,CSDL_CN!$D$4:$E$264,2,FALSE))</f>
        <v>8</v>
      </c>
      <c r="R284" s="395">
        <f t="array" ref="R284">SUM(IFERROR(N284:Q284,0))</f>
        <v>31.6</v>
      </c>
      <c r="S284" s="400">
        <v>0.2</v>
      </c>
      <c r="T284" s="400">
        <v>0.2</v>
      </c>
      <c r="U284" s="400">
        <v>0.2</v>
      </c>
      <c r="V284" s="366"/>
      <c r="W284" s="366">
        <f t="shared" ref="W284" si="505">IF(X284="OS",E284,0)</f>
        <v>0</v>
      </c>
      <c r="X284" s="404" t="s">
        <v>484</v>
      </c>
      <c r="Z284" s="410" t="s">
        <v>783</v>
      </c>
    </row>
    <row r="285" ht="90" spans="1:26">
      <c r="A285" s="366">
        <v>166</v>
      </c>
      <c r="B285" s="367" t="s">
        <v>883</v>
      </c>
      <c r="C285" s="367" t="s">
        <v>884</v>
      </c>
      <c r="D285" s="367" t="s">
        <v>885</v>
      </c>
      <c r="E285" s="376">
        <f t="shared" ref="E285" si="506">SUM(F285:I285)</f>
        <v>25.28</v>
      </c>
      <c r="F285" s="377">
        <f t="shared" ref="F285" si="507">N285*(1-$S285)</f>
        <v>6.4</v>
      </c>
      <c r="G285" s="377">
        <f t="shared" ref="G285" si="508">O285*(1-$T285)</f>
        <v>9.6</v>
      </c>
      <c r="H285" s="376">
        <f t="shared" ref="H285" si="509">P285*(1-$T285)</f>
        <v>2.88</v>
      </c>
      <c r="I285" s="376">
        <f t="shared" ref="I285" si="510">Q285*(1-$U285)</f>
        <v>6.4</v>
      </c>
      <c r="J285" s="376">
        <f t="shared" ref="J285" si="511">E285/22/8</f>
        <v>0.143636363636364</v>
      </c>
      <c r="K285" s="24" t="s">
        <v>78</v>
      </c>
      <c r="L285" s="384" t="str">
        <f>IF(K285="","",VLOOKUP(K285,'Định nghĩa Loại Chức năng'!$B$4:$C$92,2,FALSE))</f>
        <v>Xử lý nghiệp vụ đơn giản</v>
      </c>
      <c r="M285" s="394" t="s">
        <v>287</v>
      </c>
      <c r="N285" s="395">
        <f>IF(K285="","",VLOOKUP(K285&amp;$N$7,CSDL_CN!$D$4:$E$264,2,FALSE))</f>
        <v>8</v>
      </c>
      <c r="O285" s="395">
        <f>IF(K285="","",VLOOKUP(K285&amp;$O$7,CSDL_CN!$D$4:$E$264,2,FALSE))</f>
        <v>12</v>
      </c>
      <c r="P285" s="395">
        <f t="shared" ref="P285" si="512">IF(M285="Có",O285*30%,0)</f>
        <v>3.6</v>
      </c>
      <c r="Q285" s="395">
        <f>IF(K285="","",VLOOKUP(K285&amp;$Q$7,CSDL_CN!$D$4:$E$264,2,FALSE))</f>
        <v>8</v>
      </c>
      <c r="R285" s="395">
        <f t="array" ref="R285">SUM(IFERROR(N285:Q285,0))</f>
        <v>31.6</v>
      </c>
      <c r="S285" s="400">
        <v>0.2</v>
      </c>
      <c r="T285" s="400">
        <v>0.2</v>
      </c>
      <c r="U285" s="400">
        <v>0.2</v>
      </c>
      <c r="V285" s="366"/>
      <c r="W285" s="366">
        <f t="shared" ref="W285" si="513">IF(X285="OS",E285,0)</f>
        <v>0</v>
      </c>
      <c r="X285" s="404" t="s">
        <v>484</v>
      </c>
      <c r="Z285" s="410" t="s">
        <v>783</v>
      </c>
    </row>
    <row r="286" ht="90" spans="1:26">
      <c r="A286" s="366">
        <v>167</v>
      </c>
      <c r="B286" s="367" t="s">
        <v>886</v>
      </c>
      <c r="C286" s="367" t="s">
        <v>887</v>
      </c>
      <c r="D286" s="367" t="s">
        <v>888</v>
      </c>
      <c r="E286" s="376">
        <f t="shared" si="490"/>
        <v>25.28</v>
      </c>
      <c r="F286" s="377">
        <f t="shared" si="491"/>
        <v>6.4</v>
      </c>
      <c r="G286" s="377">
        <f t="shared" si="492"/>
        <v>9.6</v>
      </c>
      <c r="H286" s="376">
        <f t="shared" si="493"/>
        <v>2.88</v>
      </c>
      <c r="I286" s="376">
        <f t="shared" si="494"/>
        <v>6.4</v>
      </c>
      <c r="J286" s="376">
        <f t="shared" si="495"/>
        <v>0.143636363636364</v>
      </c>
      <c r="K286" s="24" t="s">
        <v>78</v>
      </c>
      <c r="L286" s="384" t="str">
        <f>IF(K286="","",VLOOKUP(K286,'Định nghĩa Loại Chức năng'!$B$4:$C$92,2,FALSE))</f>
        <v>Xử lý nghiệp vụ đơn giản</v>
      </c>
      <c r="M286" s="394" t="s">
        <v>287</v>
      </c>
      <c r="N286" s="395">
        <f>IF(K286="","",VLOOKUP(K286&amp;$N$7,CSDL_CN!$D$4:$E$264,2,FALSE))</f>
        <v>8</v>
      </c>
      <c r="O286" s="395">
        <f>IF(K286="","",VLOOKUP(K286&amp;$O$7,CSDL_CN!$D$4:$E$264,2,FALSE))</f>
        <v>12</v>
      </c>
      <c r="P286" s="395">
        <f t="shared" si="496"/>
        <v>3.6</v>
      </c>
      <c r="Q286" s="395">
        <f>IF(K286="","",VLOOKUP(K286&amp;$Q$7,CSDL_CN!$D$4:$E$264,2,FALSE))</f>
        <v>8</v>
      </c>
      <c r="R286" s="395">
        <f t="array" ref="R286">SUM(IFERROR(N286:Q286,0))</f>
        <v>31.6</v>
      </c>
      <c r="S286" s="400">
        <v>0.2</v>
      </c>
      <c r="T286" s="400">
        <v>0.2</v>
      </c>
      <c r="U286" s="400">
        <v>0.2</v>
      </c>
      <c r="V286" s="366"/>
      <c r="W286" s="366">
        <f t="shared" si="497"/>
        <v>0</v>
      </c>
      <c r="X286" s="404" t="s">
        <v>484</v>
      </c>
      <c r="Z286" s="410" t="s">
        <v>783</v>
      </c>
    </row>
    <row r="287" ht="195" spans="1:26">
      <c r="A287" s="366">
        <v>75</v>
      </c>
      <c r="B287" s="367" t="s">
        <v>595</v>
      </c>
      <c r="C287" s="367" t="s">
        <v>488</v>
      </c>
      <c r="D287" s="367" t="s">
        <v>489</v>
      </c>
      <c r="E287" s="376">
        <f t="shared" si="490"/>
        <v>58.24</v>
      </c>
      <c r="F287" s="377">
        <f t="shared" si="491"/>
        <v>12.8</v>
      </c>
      <c r="G287" s="377">
        <f t="shared" si="492"/>
        <v>20.8</v>
      </c>
      <c r="H287" s="376">
        <f t="shared" si="493"/>
        <v>6.24</v>
      </c>
      <c r="I287" s="376">
        <f t="shared" si="494"/>
        <v>18.4</v>
      </c>
      <c r="J287" s="376">
        <f t="shared" si="495"/>
        <v>0.330909090909091</v>
      </c>
      <c r="K287" s="24" t="s">
        <v>87</v>
      </c>
      <c r="L287" s="384" t="str">
        <f>IF(K287="","",VLOOKUP(K287,'Định nghĩa Loại Chức năng'!$B$4:$C$92,2,FALSE))</f>
        <v>Xử lý nghiệp vụ phức tạp</v>
      </c>
      <c r="M287" s="394" t="s">
        <v>287</v>
      </c>
      <c r="N287" s="395">
        <f>IF(K287="","",VLOOKUP(K287&amp;$N$7,CSDL_CN!$D$4:$E$264,2,FALSE))</f>
        <v>16</v>
      </c>
      <c r="O287" s="395">
        <f>IF(K287="","",VLOOKUP(K287&amp;$O$7,CSDL_CN!$D$4:$E$264,2,FALSE))</f>
        <v>26</v>
      </c>
      <c r="P287" s="395">
        <f t="shared" si="496"/>
        <v>7.8</v>
      </c>
      <c r="Q287" s="395">
        <f>IF(K287="","",VLOOKUP(K287&amp;$Q$7,CSDL_CN!$D$4:$E$264,2,FALSE))</f>
        <v>23</v>
      </c>
      <c r="R287" s="395">
        <f t="array" ref="R287">SUM(IFERROR(N287:Q287,0))</f>
        <v>72.8</v>
      </c>
      <c r="S287" s="400">
        <v>0.2</v>
      </c>
      <c r="T287" s="400">
        <v>0.2</v>
      </c>
      <c r="U287" s="400">
        <v>0.2</v>
      </c>
      <c r="V287" s="366"/>
      <c r="W287" s="366">
        <f t="shared" si="497"/>
        <v>0</v>
      </c>
      <c r="X287" s="404" t="s">
        <v>484</v>
      </c>
      <c r="Y287" s="440"/>
      <c r="Z287" s="441"/>
    </row>
    <row r="288" ht="195" spans="1:26">
      <c r="A288" s="366">
        <v>75</v>
      </c>
      <c r="B288" s="367" t="s">
        <v>595</v>
      </c>
      <c r="C288" s="438" t="s">
        <v>493</v>
      </c>
      <c r="D288" s="367" t="s">
        <v>494</v>
      </c>
      <c r="E288" s="376">
        <f t="shared" si="490"/>
        <v>58.24</v>
      </c>
      <c r="F288" s="377">
        <f t="shared" si="491"/>
        <v>12.8</v>
      </c>
      <c r="G288" s="377">
        <f t="shared" si="492"/>
        <v>20.8</v>
      </c>
      <c r="H288" s="376">
        <f t="shared" si="493"/>
        <v>6.24</v>
      </c>
      <c r="I288" s="376">
        <f t="shared" si="494"/>
        <v>18.4</v>
      </c>
      <c r="J288" s="376">
        <f t="shared" si="495"/>
        <v>0.330909090909091</v>
      </c>
      <c r="K288" s="24" t="s">
        <v>87</v>
      </c>
      <c r="L288" s="384" t="str">
        <f>IF(K288="","",VLOOKUP(K288,'Định nghĩa Loại Chức năng'!$B$4:$C$92,2,FALSE))</f>
        <v>Xử lý nghiệp vụ phức tạp</v>
      </c>
      <c r="M288" s="394" t="s">
        <v>287</v>
      </c>
      <c r="N288" s="395">
        <f>IF(K288="","",VLOOKUP(K288&amp;$N$7,CSDL_CN!$D$4:$E$264,2,FALSE))</f>
        <v>16</v>
      </c>
      <c r="O288" s="395">
        <f>IF(K288="","",VLOOKUP(K288&amp;$O$7,CSDL_CN!$D$4:$E$264,2,FALSE))</f>
        <v>26</v>
      </c>
      <c r="P288" s="395">
        <f t="shared" si="496"/>
        <v>7.8</v>
      </c>
      <c r="Q288" s="395">
        <f>IF(K288="","",VLOOKUP(K288&amp;$Q$7,CSDL_CN!$D$4:$E$264,2,FALSE))</f>
        <v>23</v>
      </c>
      <c r="R288" s="395">
        <f t="array" ref="R288">SUM(IFERROR(N288:Q288,0))</f>
        <v>72.8</v>
      </c>
      <c r="S288" s="400">
        <v>0.2</v>
      </c>
      <c r="T288" s="400">
        <v>0.2</v>
      </c>
      <c r="U288" s="400">
        <v>0.2</v>
      </c>
      <c r="V288" s="366"/>
      <c r="W288" s="366">
        <f t="shared" si="497"/>
        <v>0</v>
      </c>
      <c r="X288" s="404" t="s">
        <v>484</v>
      </c>
      <c r="Y288" s="440"/>
      <c r="Z288" s="441"/>
    </row>
    <row r="289" ht="195" spans="1:26">
      <c r="A289" s="366">
        <v>75</v>
      </c>
      <c r="B289" s="367" t="s">
        <v>595</v>
      </c>
      <c r="C289" s="439" t="s">
        <v>889</v>
      </c>
      <c r="D289" s="367" t="s">
        <v>496</v>
      </c>
      <c r="E289" s="376">
        <f t="shared" si="490"/>
        <v>58.24</v>
      </c>
      <c r="F289" s="377">
        <f t="shared" si="491"/>
        <v>12.8</v>
      </c>
      <c r="G289" s="377">
        <f t="shared" si="492"/>
        <v>20.8</v>
      </c>
      <c r="H289" s="376">
        <f t="shared" si="493"/>
        <v>6.24</v>
      </c>
      <c r="I289" s="376">
        <f t="shared" si="494"/>
        <v>18.4</v>
      </c>
      <c r="J289" s="376">
        <f t="shared" si="495"/>
        <v>0.330909090909091</v>
      </c>
      <c r="K289" s="24" t="s">
        <v>87</v>
      </c>
      <c r="L289" s="384" t="str">
        <f>IF(K289="","",VLOOKUP(K289,'Định nghĩa Loại Chức năng'!$B$4:$C$92,2,FALSE))</f>
        <v>Xử lý nghiệp vụ phức tạp</v>
      </c>
      <c r="M289" s="394" t="s">
        <v>287</v>
      </c>
      <c r="N289" s="395">
        <f>IF(K289="","",VLOOKUP(K289&amp;$N$7,CSDL_CN!$D$4:$E$264,2,FALSE))</f>
        <v>16</v>
      </c>
      <c r="O289" s="395">
        <f>IF(K289="","",VLOOKUP(K289&amp;$O$7,CSDL_CN!$D$4:$E$264,2,FALSE))</f>
        <v>26</v>
      </c>
      <c r="P289" s="395">
        <f t="shared" si="496"/>
        <v>7.8</v>
      </c>
      <c r="Q289" s="395">
        <f>IF(K289="","",VLOOKUP(K289&amp;$Q$7,CSDL_CN!$D$4:$E$264,2,FALSE))</f>
        <v>23</v>
      </c>
      <c r="R289" s="395">
        <f t="array" ref="R289">SUM(IFERROR(N289:Q289,0))</f>
        <v>72.8</v>
      </c>
      <c r="S289" s="400">
        <v>0.2</v>
      </c>
      <c r="T289" s="400">
        <v>0.2</v>
      </c>
      <c r="U289" s="400">
        <v>0.2</v>
      </c>
      <c r="V289" s="366"/>
      <c r="W289" s="366">
        <f t="shared" si="497"/>
        <v>0</v>
      </c>
      <c r="X289" s="404" t="s">
        <v>484</v>
      </c>
      <c r="Y289" s="440"/>
      <c r="Z289" s="441"/>
    </row>
    <row r="290" ht="120" spans="1:26">
      <c r="A290" s="366">
        <v>75</v>
      </c>
      <c r="B290" s="367" t="s">
        <v>595</v>
      </c>
      <c r="C290" s="367" t="s">
        <v>890</v>
      </c>
      <c r="D290" s="367" t="s">
        <v>508</v>
      </c>
      <c r="E290" s="376">
        <f t="shared" si="490"/>
        <v>40</v>
      </c>
      <c r="F290" s="377">
        <f t="shared" si="491"/>
        <v>8</v>
      </c>
      <c r="G290" s="377">
        <f t="shared" si="492"/>
        <v>16</v>
      </c>
      <c r="H290" s="376">
        <f t="shared" si="493"/>
        <v>4.8</v>
      </c>
      <c r="I290" s="376">
        <f t="shared" si="494"/>
        <v>11.2</v>
      </c>
      <c r="J290" s="376">
        <f t="shared" si="495"/>
        <v>0.227272727272727</v>
      </c>
      <c r="K290" s="24" t="s">
        <v>83</v>
      </c>
      <c r="L290" s="384" t="str">
        <f>IF(K290="","",VLOOKUP(K290,'Định nghĩa Loại Chức năng'!$B$4:$C$92,2,FALSE))</f>
        <v>Xử lý nghiệp vụ trung bình</v>
      </c>
      <c r="M290" s="394" t="s">
        <v>287</v>
      </c>
      <c r="N290" s="395">
        <f>IF(K290="","",VLOOKUP(K290&amp;$N$7,CSDL_CN!$D$4:$E$264,2,FALSE))</f>
        <v>10</v>
      </c>
      <c r="O290" s="395">
        <f>IF(K290="","",VLOOKUP(K290&amp;$O$7,CSDL_CN!$D$4:$E$264,2,FALSE))</f>
        <v>20</v>
      </c>
      <c r="P290" s="395">
        <f t="shared" si="496"/>
        <v>6</v>
      </c>
      <c r="Q290" s="395">
        <f>IF(K290="","",VLOOKUP(K290&amp;$Q$7,CSDL_CN!$D$4:$E$264,2,FALSE))</f>
        <v>14</v>
      </c>
      <c r="R290" s="395">
        <f t="array" ref="R290">SUM(IFERROR(N290:Q290,0))</f>
        <v>50</v>
      </c>
      <c r="S290" s="400">
        <v>0.2</v>
      </c>
      <c r="T290" s="400">
        <v>0.2</v>
      </c>
      <c r="U290" s="400">
        <v>0.2</v>
      </c>
      <c r="V290" s="366"/>
      <c r="W290" s="366">
        <f t="shared" si="497"/>
        <v>0</v>
      </c>
      <c r="X290" s="404" t="s">
        <v>484</v>
      </c>
      <c r="Y290" s="440"/>
      <c r="Z290" s="441"/>
    </row>
    <row r="291" ht="135" spans="1:26">
      <c r="A291" s="366">
        <v>75</v>
      </c>
      <c r="B291" s="367" t="s">
        <v>595</v>
      </c>
      <c r="C291" s="367" t="s">
        <v>891</v>
      </c>
      <c r="D291" s="367" t="s">
        <v>511</v>
      </c>
      <c r="E291" s="376">
        <f t="shared" si="490"/>
        <v>40</v>
      </c>
      <c r="F291" s="377">
        <f t="shared" si="491"/>
        <v>8</v>
      </c>
      <c r="G291" s="377">
        <f t="shared" si="492"/>
        <v>16</v>
      </c>
      <c r="H291" s="376">
        <f t="shared" si="493"/>
        <v>4.8</v>
      </c>
      <c r="I291" s="376">
        <f t="shared" si="494"/>
        <v>11.2</v>
      </c>
      <c r="J291" s="376">
        <f t="shared" si="495"/>
        <v>0.227272727272727</v>
      </c>
      <c r="K291" s="24" t="s">
        <v>83</v>
      </c>
      <c r="L291" s="384" t="str">
        <f>IF(K291="","",VLOOKUP(K291,'Định nghĩa Loại Chức năng'!$B$4:$C$92,2,FALSE))</f>
        <v>Xử lý nghiệp vụ trung bình</v>
      </c>
      <c r="M291" s="394" t="s">
        <v>287</v>
      </c>
      <c r="N291" s="395">
        <f>IF(K291="","",VLOOKUP(K291&amp;$N$7,CSDL_CN!$D$4:$E$264,2,FALSE))</f>
        <v>10</v>
      </c>
      <c r="O291" s="395">
        <f>IF(K291="","",VLOOKUP(K291&amp;$O$7,CSDL_CN!$D$4:$E$264,2,FALSE))</f>
        <v>20</v>
      </c>
      <c r="P291" s="395">
        <f t="shared" si="496"/>
        <v>6</v>
      </c>
      <c r="Q291" s="395">
        <f>IF(K291="","",VLOOKUP(K291&amp;$Q$7,CSDL_CN!$D$4:$E$264,2,FALSE))</f>
        <v>14</v>
      </c>
      <c r="R291" s="395">
        <f t="array" ref="R291">SUM(IFERROR(N291:Q291,0))</f>
        <v>50</v>
      </c>
      <c r="S291" s="400">
        <v>0.2</v>
      </c>
      <c r="T291" s="400">
        <v>0.2</v>
      </c>
      <c r="U291" s="400">
        <v>0.2</v>
      </c>
      <c r="V291" s="366"/>
      <c r="W291" s="366">
        <f t="shared" si="497"/>
        <v>0</v>
      </c>
      <c r="X291" s="404" t="s">
        <v>484</v>
      </c>
      <c r="Y291" s="440"/>
      <c r="Z291" s="441"/>
    </row>
    <row r="292" ht="135" spans="1:26">
      <c r="A292" s="366">
        <v>75</v>
      </c>
      <c r="B292" s="367" t="s">
        <v>595</v>
      </c>
      <c r="C292" s="367" t="s">
        <v>892</v>
      </c>
      <c r="D292" s="367" t="s">
        <v>513</v>
      </c>
      <c r="E292" s="376">
        <f t="shared" si="490"/>
        <v>40</v>
      </c>
      <c r="F292" s="377">
        <f t="shared" si="491"/>
        <v>8</v>
      </c>
      <c r="G292" s="377">
        <f t="shared" si="492"/>
        <v>16</v>
      </c>
      <c r="H292" s="376">
        <f t="shared" si="493"/>
        <v>4.8</v>
      </c>
      <c r="I292" s="376">
        <f t="shared" si="494"/>
        <v>11.2</v>
      </c>
      <c r="J292" s="376">
        <f t="shared" si="495"/>
        <v>0.227272727272727</v>
      </c>
      <c r="K292" s="24" t="s">
        <v>83</v>
      </c>
      <c r="L292" s="384" t="str">
        <f>IF(K292="","",VLOOKUP(K292,'Định nghĩa Loại Chức năng'!$B$4:$C$92,2,FALSE))</f>
        <v>Xử lý nghiệp vụ trung bình</v>
      </c>
      <c r="M292" s="394" t="s">
        <v>287</v>
      </c>
      <c r="N292" s="395">
        <f>IF(K292="","",VLOOKUP(K292&amp;$N$7,CSDL_CN!$D$4:$E$264,2,FALSE))</f>
        <v>10</v>
      </c>
      <c r="O292" s="395">
        <f>IF(K292="","",VLOOKUP(K292&amp;$O$7,CSDL_CN!$D$4:$E$264,2,FALSE))</f>
        <v>20</v>
      </c>
      <c r="P292" s="395">
        <f t="shared" si="496"/>
        <v>6</v>
      </c>
      <c r="Q292" s="395">
        <f>IF(K292="","",VLOOKUP(K292&amp;$Q$7,CSDL_CN!$D$4:$E$264,2,FALSE))</f>
        <v>14</v>
      </c>
      <c r="R292" s="395">
        <f t="array" ref="R292">SUM(IFERROR(N292:Q292,0))</f>
        <v>50</v>
      </c>
      <c r="S292" s="400">
        <v>0.2</v>
      </c>
      <c r="T292" s="400">
        <v>0.2</v>
      </c>
      <c r="U292" s="400">
        <v>0.2</v>
      </c>
      <c r="V292" s="366"/>
      <c r="W292" s="366">
        <f t="shared" si="497"/>
        <v>0</v>
      </c>
      <c r="X292" s="404" t="s">
        <v>484</v>
      </c>
      <c r="Y292" s="440"/>
      <c r="Z292" s="441"/>
    </row>
    <row r="293" ht="120" spans="1:26">
      <c r="A293" s="366">
        <v>75</v>
      </c>
      <c r="B293" s="367" t="s">
        <v>595</v>
      </c>
      <c r="C293" s="367" t="s">
        <v>893</v>
      </c>
      <c r="D293" s="367" t="s">
        <v>517</v>
      </c>
      <c r="E293" s="376">
        <f t="shared" si="490"/>
        <v>40</v>
      </c>
      <c r="F293" s="377">
        <f t="shared" si="491"/>
        <v>8</v>
      </c>
      <c r="G293" s="377">
        <f t="shared" si="492"/>
        <v>16</v>
      </c>
      <c r="H293" s="376">
        <f t="shared" si="493"/>
        <v>4.8</v>
      </c>
      <c r="I293" s="376">
        <f t="shared" si="494"/>
        <v>11.2</v>
      </c>
      <c r="J293" s="376">
        <f t="shared" si="495"/>
        <v>0.227272727272727</v>
      </c>
      <c r="K293" s="24" t="s">
        <v>83</v>
      </c>
      <c r="L293" s="384" t="str">
        <f>IF(K293="","",VLOOKUP(K293,'Định nghĩa Loại Chức năng'!$B$4:$C$92,2,FALSE))</f>
        <v>Xử lý nghiệp vụ trung bình</v>
      </c>
      <c r="M293" s="394" t="s">
        <v>287</v>
      </c>
      <c r="N293" s="395">
        <f>IF(K293="","",VLOOKUP(K293&amp;$N$7,CSDL_CN!$D$4:$E$264,2,FALSE))</f>
        <v>10</v>
      </c>
      <c r="O293" s="395">
        <f>IF(K293="","",VLOOKUP(K293&amp;$O$7,CSDL_CN!$D$4:$E$264,2,FALSE))</f>
        <v>20</v>
      </c>
      <c r="P293" s="395">
        <f t="shared" si="496"/>
        <v>6</v>
      </c>
      <c r="Q293" s="395">
        <f>IF(K293="","",VLOOKUP(K293&amp;$Q$7,CSDL_CN!$D$4:$E$264,2,FALSE))</f>
        <v>14</v>
      </c>
      <c r="R293" s="395">
        <f t="array" ref="R293">SUM(IFERROR(N293:Q293,0))</f>
        <v>50</v>
      </c>
      <c r="S293" s="400">
        <v>0.2</v>
      </c>
      <c r="T293" s="400">
        <v>0.2</v>
      </c>
      <c r="U293" s="400">
        <v>0.2</v>
      </c>
      <c r="V293" s="366"/>
      <c r="W293" s="366">
        <f t="shared" si="497"/>
        <v>0</v>
      </c>
      <c r="X293" s="404" t="s">
        <v>484</v>
      </c>
      <c r="Y293" s="440"/>
      <c r="Z293" s="441"/>
    </row>
    <row r="294" ht="135" spans="1:26">
      <c r="A294" s="366">
        <v>75</v>
      </c>
      <c r="B294" s="367" t="s">
        <v>595</v>
      </c>
      <c r="C294" s="367" t="s">
        <v>894</v>
      </c>
      <c r="D294" s="367" t="s">
        <v>511</v>
      </c>
      <c r="E294" s="376">
        <f t="shared" si="490"/>
        <v>40</v>
      </c>
      <c r="F294" s="377">
        <f t="shared" si="491"/>
        <v>8</v>
      </c>
      <c r="G294" s="377">
        <f t="shared" si="492"/>
        <v>16</v>
      </c>
      <c r="H294" s="376">
        <f t="shared" si="493"/>
        <v>4.8</v>
      </c>
      <c r="I294" s="376">
        <f t="shared" si="494"/>
        <v>11.2</v>
      </c>
      <c r="J294" s="376">
        <f t="shared" si="495"/>
        <v>0.227272727272727</v>
      </c>
      <c r="K294" s="24" t="s">
        <v>83</v>
      </c>
      <c r="L294" s="384" t="str">
        <f>IF(K294="","",VLOOKUP(K294,'Định nghĩa Loại Chức năng'!$B$4:$C$92,2,FALSE))</f>
        <v>Xử lý nghiệp vụ trung bình</v>
      </c>
      <c r="M294" s="394" t="s">
        <v>287</v>
      </c>
      <c r="N294" s="395">
        <f>IF(K294="","",VLOOKUP(K294&amp;$N$7,CSDL_CN!$D$4:$E$264,2,FALSE))</f>
        <v>10</v>
      </c>
      <c r="O294" s="395">
        <f>IF(K294="","",VLOOKUP(K294&amp;$O$7,CSDL_CN!$D$4:$E$264,2,FALSE))</f>
        <v>20</v>
      </c>
      <c r="P294" s="395">
        <f t="shared" si="496"/>
        <v>6</v>
      </c>
      <c r="Q294" s="395">
        <f>IF(K294="","",VLOOKUP(K294&amp;$Q$7,CSDL_CN!$D$4:$E$264,2,FALSE))</f>
        <v>14</v>
      </c>
      <c r="R294" s="395">
        <f t="array" ref="R294">SUM(IFERROR(N294:Q294,0))</f>
        <v>50</v>
      </c>
      <c r="S294" s="400">
        <v>0.2</v>
      </c>
      <c r="T294" s="400">
        <v>0.2</v>
      </c>
      <c r="U294" s="400">
        <v>0.2</v>
      </c>
      <c r="V294" s="366"/>
      <c r="W294" s="366">
        <f t="shared" si="497"/>
        <v>0</v>
      </c>
      <c r="X294" s="404" t="s">
        <v>484</v>
      </c>
      <c r="Y294" s="440"/>
      <c r="Z294" s="441"/>
    </row>
    <row r="295" ht="135" spans="1:26">
      <c r="A295" s="366">
        <v>75</v>
      </c>
      <c r="B295" s="367" t="s">
        <v>595</v>
      </c>
      <c r="C295" s="367" t="s">
        <v>895</v>
      </c>
      <c r="D295" s="367" t="s">
        <v>513</v>
      </c>
      <c r="E295" s="376">
        <f t="shared" si="490"/>
        <v>40</v>
      </c>
      <c r="F295" s="377">
        <f t="shared" si="491"/>
        <v>8</v>
      </c>
      <c r="G295" s="377">
        <f t="shared" si="492"/>
        <v>16</v>
      </c>
      <c r="H295" s="376">
        <f t="shared" si="493"/>
        <v>4.8</v>
      </c>
      <c r="I295" s="376">
        <f t="shared" si="494"/>
        <v>11.2</v>
      </c>
      <c r="J295" s="376">
        <f t="shared" si="495"/>
        <v>0.227272727272727</v>
      </c>
      <c r="K295" s="24" t="s">
        <v>83</v>
      </c>
      <c r="L295" s="384" t="str">
        <f>IF(K295="","",VLOOKUP(K295,'Định nghĩa Loại Chức năng'!$B$4:$C$92,2,FALSE))</f>
        <v>Xử lý nghiệp vụ trung bình</v>
      </c>
      <c r="M295" s="394" t="s">
        <v>287</v>
      </c>
      <c r="N295" s="395">
        <f>IF(K295="","",VLOOKUP(K295&amp;$N$7,CSDL_CN!$D$4:$E$264,2,FALSE))</f>
        <v>10</v>
      </c>
      <c r="O295" s="395">
        <f>IF(K295="","",VLOOKUP(K295&amp;$O$7,CSDL_CN!$D$4:$E$264,2,FALSE))</f>
        <v>20</v>
      </c>
      <c r="P295" s="395">
        <f t="shared" si="496"/>
        <v>6</v>
      </c>
      <c r="Q295" s="395">
        <f>IF(K295="","",VLOOKUP(K295&amp;$Q$7,CSDL_CN!$D$4:$E$264,2,FALSE))</f>
        <v>14</v>
      </c>
      <c r="R295" s="395">
        <f t="array" ref="R295">SUM(IFERROR(N295:Q295,0))</f>
        <v>50</v>
      </c>
      <c r="S295" s="400">
        <v>0.2</v>
      </c>
      <c r="T295" s="400">
        <v>0.2</v>
      </c>
      <c r="U295" s="400">
        <v>0.2</v>
      </c>
      <c r="V295" s="366"/>
      <c r="W295" s="366">
        <f t="shared" si="497"/>
        <v>0</v>
      </c>
      <c r="X295" s="404" t="s">
        <v>484</v>
      </c>
      <c r="Y295" s="440"/>
      <c r="Z295" s="441"/>
    </row>
    <row r="296" ht="120" spans="1:26">
      <c r="A296" s="366">
        <v>75</v>
      </c>
      <c r="B296" s="367" t="s">
        <v>595</v>
      </c>
      <c r="C296" s="367" t="s">
        <v>896</v>
      </c>
      <c r="D296" s="367" t="s">
        <v>520</v>
      </c>
      <c r="E296" s="376">
        <f t="shared" si="490"/>
        <v>40</v>
      </c>
      <c r="F296" s="377">
        <f t="shared" si="491"/>
        <v>8</v>
      </c>
      <c r="G296" s="377">
        <f t="shared" si="492"/>
        <v>16</v>
      </c>
      <c r="H296" s="376">
        <f t="shared" si="493"/>
        <v>4.8</v>
      </c>
      <c r="I296" s="376">
        <f t="shared" si="494"/>
        <v>11.2</v>
      </c>
      <c r="J296" s="376">
        <f t="shared" si="495"/>
        <v>0.227272727272727</v>
      </c>
      <c r="K296" s="24" t="s">
        <v>83</v>
      </c>
      <c r="L296" s="384" t="str">
        <f>IF(K296="","",VLOOKUP(K296,'Định nghĩa Loại Chức năng'!$B$4:$C$92,2,FALSE))</f>
        <v>Xử lý nghiệp vụ trung bình</v>
      </c>
      <c r="M296" s="394" t="s">
        <v>287</v>
      </c>
      <c r="N296" s="395">
        <f>IF(K296="","",VLOOKUP(K296&amp;$N$7,CSDL_CN!$D$4:$E$264,2,FALSE))</f>
        <v>10</v>
      </c>
      <c r="O296" s="395">
        <f>IF(K296="","",VLOOKUP(K296&amp;$O$7,CSDL_CN!$D$4:$E$264,2,FALSE))</f>
        <v>20</v>
      </c>
      <c r="P296" s="395">
        <f t="shared" si="496"/>
        <v>6</v>
      </c>
      <c r="Q296" s="395">
        <f>IF(K296="","",VLOOKUP(K296&amp;$Q$7,CSDL_CN!$D$4:$E$264,2,FALSE))</f>
        <v>14</v>
      </c>
      <c r="R296" s="395">
        <f t="array" ref="R296">SUM(IFERROR(N296:Q296,0))</f>
        <v>50</v>
      </c>
      <c r="S296" s="400">
        <v>0.2</v>
      </c>
      <c r="T296" s="400">
        <v>0.2</v>
      </c>
      <c r="U296" s="400">
        <v>0.2</v>
      </c>
      <c r="V296" s="366"/>
      <c r="W296" s="366">
        <f t="shared" si="497"/>
        <v>0</v>
      </c>
      <c r="X296" s="404" t="s">
        <v>484</v>
      </c>
      <c r="Y296" s="440"/>
      <c r="Z296" s="441"/>
    </row>
    <row r="297" ht="135" spans="1:26">
      <c r="A297" s="366">
        <v>75</v>
      </c>
      <c r="B297" s="367" t="s">
        <v>595</v>
      </c>
      <c r="C297" s="367" t="s">
        <v>897</v>
      </c>
      <c r="D297" s="367" t="s">
        <v>511</v>
      </c>
      <c r="E297" s="376">
        <f t="shared" ref="E297" si="514">SUM(F297:I297)</f>
        <v>40</v>
      </c>
      <c r="F297" s="377">
        <f t="shared" ref="F297" si="515">N297*(1-$S297)</f>
        <v>8</v>
      </c>
      <c r="G297" s="377">
        <f t="shared" ref="G297" si="516">O297*(1-$T297)</f>
        <v>16</v>
      </c>
      <c r="H297" s="376">
        <f t="shared" ref="H297" si="517">P297*(1-$T297)</f>
        <v>4.8</v>
      </c>
      <c r="I297" s="376">
        <f t="shared" ref="I297" si="518">Q297*(1-$U297)</f>
        <v>11.2</v>
      </c>
      <c r="J297" s="376">
        <f t="shared" ref="J297" si="519">E297/22/8</f>
        <v>0.227272727272727</v>
      </c>
      <c r="K297" s="24" t="s">
        <v>83</v>
      </c>
      <c r="L297" s="384" t="str">
        <f>IF(K297="","",VLOOKUP(K297,'Định nghĩa Loại Chức năng'!$B$4:$C$92,2,FALSE))</f>
        <v>Xử lý nghiệp vụ trung bình</v>
      </c>
      <c r="M297" s="394" t="s">
        <v>287</v>
      </c>
      <c r="N297" s="395">
        <f>IF(K297="","",VLOOKUP(K297&amp;$N$7,CSDL_CN!$D$4:$E$264,2,FALSE))</f>
        <v>10</v>
      </c>
      <c r="O297" s="395">
        <f>IF(K297="","",VLOOKUP(K297&amp;$O$7,CSDL_CN!$D$4:$E$264,2,FALSE))</f>
        <v>20</v>
      </c>
      <c r="P297" s="395">
        <f t="shared" ref="P297" si="520">IF(M297="Có",O297*30%,0)</f>
        <v>6</v>
      </c>
      <c r="Q297" s="395">
        <f>IF(K297="","",VLOOKUP(K297&amp;$Q$7,CSDL_CN!$D$4:$E$264,2,FALSE))</f>
        <v>14</v>
      </c>
      <c r="R297" s="395">
        <f t="array" ref="R297">SUM(IFERROR(N297:Q297,0))</f>
        <v>50</v>
      </c>
      <c r="S297" s="400">
        <v>0.2</v>
      </c>
      <c r="T297" s="400">
        <v>0.2</v>
      </c>
      <c r="U297" s="400">
        <v>0.2</v>
      </c>
      <c r="V297" s="366"/>
      <c r="W297" s="366">
        <f t="shared" ref="W297" si="521">IF(X297="OS",E297,0)</f>
        <v>0</v>
      </c>
      <c r="X297" s="404" t="s">
        <v>484</v>
      </c>
      <c r="Y297" s="440"/>
      <c r="Z297" s="441"/>
    </row>
    <row r="298" ht="135" spans="1:26">
      <c r="A298" s="366">
        <v>75</v>
      </c>
      <c r="B298" s="367" t="s">
        <v>595</v>
      </c>
      <c r="C298" s="367" t="s">
        <v>898</v>
      </c>
      <c r="D298" s="367" t="s">
        <v>513</v>
      </c>
      <c r="E298" s="376">
        <f t="shared" ref="E298:E307" si="522">SUM(F298:I298)</f>
        <v>40</v>
      </c>
      <c r="F298" s="377">
        <f t="shared" ref="F298:F307" si="523">N298*(1-$S298)</f>
        <v>8</v>
      </c>
      <c r="G298" s="377">
        <f t="shared" ref="G298:G307" si="524">O298*(1-$T298)</f>
        <v>16</v>
      </c>
      <c r="H298" s="376">
        <f t="shared" ref="H298:H307" si="525">P298*(1-$T298)</f>
        <v>4.8</v>
      </c>
      <c r="I298" s="376">
        <f t="shared" ref="I298:I307" si="526">Q298*(1-$U298)</f>
        <v>11.2</v>
      </c>
      <c r="J298" s="376">
        <f t="shared" ref="J298:J307" si="527">E298/22/8</f>
        <v>0.227272727272727</v>
      </c>
      <c r="K298" s="24" t="s">
        <v>83</v>
      </c>
      <c r="L298" s="384" t="str">
        <f>IF(K298="","",VLOOKUP(K298,'Định nghĩa Loại Chức năng'!$B$4:$C$92,2,FALSE))</f>
        <v>Xử lý nghiệp vụ trung bình</v>
      </c>
      <c r="M298" s="394" t="s">
        <v>287</v>
      </c>
      <c r="N298" s="395">
        <f>IF(K298="","",VLOOKUP(K298&amp;$N$7,CSDL_CN!$D$4:$E$264,2,FALSE))</f>
        <v>10</v>
      </c>
      <c r="O298" s="395">
        <f>IF(K298="","",VLOOKUP(K298&amp;$O$7,CSDL_CN!$D$4:$E$264,2,FALSE))</f>
        <v>20</v>
      </c>
      <c r="P298" s="395">
        <f t="shared" ref="P298:P307" si="528">IF(M298="Có",O298*30%,0)</f>
        <v>6</v>
      </c>
      <c r="Q298" s="395">
        <f>IF(K298="","",VLOOKUP(K298&amp;$Q$7,CSDL_CN!$D$4:$E$264,2,FALSE))</f>
        <v>14</v>
      </c>
      <c r="R298" s="395">
        <f t="array" ref="R298">SUM(IFERROR(N298:Q298,0))</f>
        <v>50</v>
      </c>
      <c r="S298" s="400">
        <v>0.2</v>
      </c>
      <c r="T298" s="400">
        <v>0.2</v>
      </c>
      <c r="U298" s="400">
        <v>0.2</v>
      </c>
      <c r="V298" s="366"/>
      <c r="W298" s="366">
        <f t="shared" ref="W298:W307" si="529">IF(X298="OS",E298,0)</f>
        <v>0</v>
      </c>
      <c r="X298" s="404" t="s">
        <v>484</v>
      </c>
      <c r="Y298" s="440"/>
      <c r="Z298" s="441"/>
    </row>
    <row r="299" ht="120" spans="1:26">
      <c r="A299" s="366">
        <v>75</v>
      </c>
      <c r="B299" s="367" t="s">
        <v>595</v>
      </c>
      <c r="C299" s="367" t="s">
        <v>899</v>
      </c>
      <c r="D299" s="367" t="s">
        <v>508</v>
      </c>
      <c r="E299" s="376">
        <f t="shared" si="522"/>
        <v>40</v>
      </c>
      <c r="F299" s="377">
        <f t="shared" si="523"/>
        <v>8</v>
      </c>
      <c r="G299" s="377">
        <f t="shared" si="524"/>
        <v>16</v>
      </c>
      <c r="H299" s="376">
        <f t="shared" si="525"/>
        <v>4.8</v>
      </c>
      <c r="I299" s="376">
        <f t="shared" si="526"/>
        <v>11.2</v>
      </c>
      <c r="J299" s="376">
        <f t="shared" si="527"/>
        <v>0.227272727272727</v>
      </c>
      <c r="K299" s="24" t="s">
        <v>83</v>
      </c>
      <c r="L299" s="384" t="str">
        <f>IF(K299="","",VLOOKUP(K299,'Định nghĩa Loại Chức năng'!$B$4:$C$92,2,FALSE))</f>
        <v>Xử lý nghiệp vụ trung bình</v>
      </c>
      <c r="M299" s="394" t="s">
        <v>287</v>
      </c>
      <c r="N299" s="395">
        <f>IF(K299="","",VLOOKUP(K299&amp;$N$7,CSDL_CN!$D$4:$E$264,2,FALSE))</f>
        <v>10</v>
      </c>
      <c r="O299" s="395">
        <f>IF(K299="","",VLOOKUP(K299&amp;$O$7,CSDL_CN!$D$4:$E$264,2,FALSE))</f>
        <v>20</v>
      </c>
      <c r="P299" s="395">
        <f t="shared" si="528"/>
        <v>6</v>
      </c>
      <c r="Q299" s="395">
        <f>IF(K299="","",VLOOKUP(K299&amp;$Q$7,CSDL_CN!$D$4:$E$264,2,FALSE))</f>
        <v>14</v>
      </c>
      <c r="R299" s="395">
        <f t="array" ref="R299">SUM(IFERROR(N299:Q299,0))</f>
        <v>50</v>
      </c>
      <c r="S299" s="400">
        <v>0.2</v>
      </c>
      <c r="T299" s="400">
        <v>0.2</v>
      </c>
      <c r="U299" s="400">
        <v>0.2</v>
      </c>
      <c r="V299" s="366"/>
      <c r="W299" s="366">
        <f t="shared" si="529"/>
        <v>0</v>
      </c>
      <c r="X299" s="404" t="s">
        <v>484</v>
      </c>
      <c r="Y299" s="440"/>
      <c r="Z299" s="441"/>
    </row>
    <row r="300" ht="135" spans="1:26">
      <c r="A300" s="366">
        <v>75</v>
      </c>
      <c r="B300" s="367" t="s">
        <v>595</v>
      </c>
      <c r="C300" s="367" t="s">
        <v>900</v>
      </c>
      <c r="D300" s="367" t="s">
        <v>511</v>
      </c>
      <c r="E300" s="376">
        <f t="shared" si="522"/>
        <v>40</v>
      </c>
      <c r="F300" s="377">
        <f t="shared" si="523"/>
        <v>8</v>
      </c>
      <c r="G300" s="377">
        <f t="shared" si="524"/>
        <v>16</v>
      </c>
      <c r="H300" s="376">
        <f t="shared" si="525"/>
        <v>4.8</v>
      </c>
      <c r="I300" s="376">
        <f t="shared" si="526"/>
        <v>11.2</v>
      </c>
      <c r="J300" s="376">
        <f t="shared" si="527"/>
        <v>0.227272727272727</v>
      </c>
      <c r="K300" s="24" t="s">
        <v>83</v>
      </c>
      <c r="L300" s="384" t="str">
        <f>IF(K300="","",VLOOKUP(K300,'Định nghĩa Loại Chức năng'!$B$4:$C$92,2,FALSE))</f>
        <v>Xử lý nghiệp vụ trung bình</v>
      </c>
      <c r="M300" s="394" t="s">
        <v>287</v>
      </c>
      <c r="N300" s="395">
        <f>IF(K300="","",VLOOKUP(K300&amp;$N$7,CSDL_CN!$D$4:$E$264,2,FALSE))</f>
        <v>10</v>
      </c>
      <c r="O300" s="395">
        <f>IF(K300="","",VLOOKUP(K300&amp;$O$7,CSDL_CN!$D$4:$E$264,2,FALSE))</f>
        <v>20</v>
      </c>
      <c r="P300" s="395">
        <f t="shared" si="528"/>
        <v>6</v>
      </c>
      <c r="Q300" s="395">
        <f>IF(K300="","",VLOOKUP(K300&amp;$Q$7,CSDL_CN!$D$4:$E$264,2,FALSE))</f>
        <v>14</v>
      </c>
      <c r="R300" s="395">
        <f t="array" ref="R300">SUM(IFERROR(N300:Q300,0))</f>
        <v>50</v>
      </c>
      <c r="S300" s="400">
        <v>0.2</v>
      </c>
      <c r="T300" s="400">
        <v>0.2</v>
      </c>
      <c r="U300" s="400">
        <v>0.2</v>
      </c>
      <c r="V300" s="366"/>
      <c r="W300" s="366">
        <f t="shared" si="529"/>
        <v>0</v>
      </c>
      <c r="X300" s="404" t="s">
        <v>484</v>
      </c>
      <c r="Y300" s="440"/>
      <c r="Z300" s="441"/>
    </row>
    <row r="301" ht="135" spans="1:26">
      <c r="A301" s="366">
        <v>75</v>
      </c>
      <c r="B301" s="367" t="s">
        <v>595</v>
      </c>
      <c r="C301" s="367" t="s">
        <v>901</v>
      </c>
      <c r="D301" s="367" t="s">
        <v>513</v>
      </c>
      <c r="E301" s="376">
        <f t="shared" si="522"/>
        <v>40</v>
      </c>
      <c r="F301" s="377">
        <f t="shared" si="523"/>
        <v>8</v>
      </c>
      <c r="G301" s="377">
        <f t="shared" si="524"/>
        <v>16</v>
      </c>
      <c r="H301" s="376">
        <f t="shared" si="525"/>
        <v>4.8</v>
      </c>
      <c r="I301" s="376">
        <f t="shared" si="526"/>
        <v>11.2</v>
      </c>
      <c r="J301" s="376">
        <f t="shared" si="527"/>
        <v>0.227272727272727</v>
      </c>
      <c r="K301" s="24" t="s">
        <v>83</v>
      </c>
      <c r="L301" s="384" t="str">
        <f>IF(K301="","",VLOOKUP(K301,'Định nghĩa Loại Chức năng'!$B$4:$C$92,2,FALSE))</f>
        <v>Xử lý nghiệp vụ trung bình</v>
      </c>
      <c r="M301" s="394" t="s">
        <v>287</v>
      </c>
      <c r="N301" s="395">
        <f>IF(K301="","",VLOOKUP(K301&amp;$N$7,CSDL_CN!$D$4:$E$264,2,FALSE))</f>
        <v>10</v>
      </c>
      <c r="O301" s="395">
        <f>IF(K301="","",VLOOKUP(K301&amp;$O$7,CSDL_CN!$D$4:$E$264,2,FALSE))</f>
        <v>20</v>
      </c>
      <c r="P301" s="395">
        <f t="shared" si="528"/>
        <v>6</v>
      </c>
      <c r="Q301" s="395">
        <f>IF(K301="","",VLOOKUP(K301&amp;$Q$7,CSDL_CN!$D$4:$E$264,2,FALSE))</f>
        <v>14</v>
      </c>
      <c r="R301" s="395">
        <f t="array" ref="R301">SUM(IFERROR(N301:Q301,0))</f>
        <v>50</v>
      </c>
      <c r="S301" s="400">
        <v>0.2</v>
      </c>
      <c r="T301" s="400">
        <v>0.2</v>
      </c>
      <c r="U301" s="400">
        <v>0.2</v>
      </c>
      <c r="V301" s="366"/>
      <c r="W301" s="366">
        <f t="shared" si="529"/>
        <v>0</v>
      </c>
      <c r="X301" s="404" t="s">
        <v>484</v>
      </c>
      <c r="Y301" s="440"/>
      <c r="Z301" s="441"/>
    </row>
    <row r="302" ht="120" spans="1:26">
      <c r="A302" s="366">
        <v>75</v>
      </c>
      <c r="B302" s="367" t="s">
        <v>595</v>
      </c>
      <c r="C302" s="367" t="s">
        <v>687</v>
      </c>
      <c r="D302" s="367" t="s">
        <v>517</v>
      </c>
      <c r="E302" s="376">
        <f t="shared" si="522"/>
        <v>40</v>
      </c>
      <c r="F302" s="377">
        <f t="shared" si="523"/>
        <v>8</v>
      </c>
      <c r="G302" s="377">
        <f t="shared" si="524"/>
        <v>16</v>
      </c>
      <c r="H302" s="376">
        <f t="shared" si="525"/>
        <v>4.8</v>
      </c>
      <c r="I302" s="376">
        <f t="shared" si="526"/>
        <v>11.2</v>
      </c>
      <c r="J302" s="376">
        <f t="shared" si="527"/>
        <v>0.227272727272727</v>
      </c>
      <c r="K302" s="24" t="s">
        <v>83</v>
      </c>
      <c r="L302" s="384" t="str">
        <f>IF(K302="","",VLOOKUP(K302,'Định nghĩa Loại Chức năng'!$B$4:$C$92,2,FALSE))</f>
        <v>Xử lý nghiệp vụ trung bình</v>
      </c>
      <c r="M302" s="394" t="s">
        <v>287</v>
      </c>
      <c r="N302" s="395">
        <f>IF(K302="","",VLOOKUP(K302&amp;$N$7,CSDL_CN!$D$4:$E$264,2,FALSE))</f>
        <v>10</v>
      </c>
      <c r="O302" s="395">
        <f>IF(K302="","",VLOOKUP(K302&amp;$O$7,CSDL_CN!$D$4:$E$264,2,FALSE))</f>
        <v>20</v>
      </c>
      <c r="P302" s="395">
        <f t="shared" si="528"/>
        <v>6</v>
      </c>
      <c r="Q302" s="395">
        <f>IF(K302="","",VLOOKUP(K302&amp;$Q$7,CSDL_CN!$D$4:$E$264,2,FALSE))</f>
        <v>14</v>
      </c>
      <c r="R302" s="395">
        <f t="array" ref="R302">SUM(IFERROR(N302:Q302,0))</f>
        <v>50</v>
      </c>
      <c r="S302" s="400">
        <v>0.2</v>
      </c>
      <c r="T302" s="400">
        <v>0.2</v>
      </c>
      <c r="U302" s="400">
        <v>0.2</v>
      </c>
      <c r="V302" s="366"/>
      <c r="W302" s="366">
        <f t="shared" si="529"/>
        <v>0</v>
      </c>
      <c r="X302" s="404" t="s">
        <v>484</v>
      </c>
      <c r="Y302" s="440"/>
      <c r="Z302" s="441"/>
    </row>
    <row r="303" ht="135" spans="1:26">
      <c r="A303" s="366">
        <v>75</v>
      </c>
      <c r="B303" s="367" t="s">
        <v>595</v>
      </c>
      <c r="C303" s="367" t="s">
        <v>691</v>
      </c>
      <c r="D303" s="367" t="s">
        <v>511</v>
      </c>
      <c r="E303" s="376">
        <f t="shared" si="522"/>
        <v>40</v>
      </c>
      <c r="F303" s="377">
        <f t="shared" si="523"/>
        <v>8</v>
      </c>
      <c r="G303" s="377">
        <f t="shared" si="524"/>
        <v>16</v>
      </c>
      <c r="H303" s="376">
        <f t="shared" si="525"/>
        <v>4.8</v>
      </c>
      <c r="I303" s="376">
        <f t="shared" si="526"/>
        <v>11.2</v>
      </c>
      <c r="J303" s="376">
        <f t="shared" si="527"/>
        <v>0.227272727272727</v>
      </c>
      <c r="K303" s="24" t="s">
        <v>83</v>
      </c>
      <c r="L303" s="384" t="str">
        <f>IF(K303="","",VLOOKUP(K303,'Định nghĩa Loại Chức năng'!$B$4:$C$92,2,FALSE))</f>
        <v>Xử lý nghiệp vụ trung bình</v>
      </c>
      <c r="M303" s="394" t="s">
        <v>287</v>
      </c>
      <c r="N303" s="395">
        <f>IF(K303="","",VLOOKUP(K303&amp;$N$7,CSDL_CN!$D$4:$E$264,2,FALSE))</f>
        <v>10</v>
      </c>
      <c r="O303" s="395">
        <f>IF(K303="","",VLOOKUP(K303&amp;$O$7,CSDL_CN!$D$4:$E$264,2,FALSE))</f>
        <v>20</v>
      </c>
      <c r="P303" s="395">
        <f t="shared" si="528"/>
        <v>6</v>
      </c>
      <c r="Q303" s="395">
        <f>IF(K303="","",VLOOKUP(K303&amp;$Q$7,CSDL_CN!$D$4:$E$264,2,FALSE))</f>
        <v>14</v>
      </c>
      <c r="R303" s="395">
        <f t="array" ref="R303">SUM(IFERROR(N303:Q303,0))</f>
        <v>50</v>
      </c>
      <c r="S303" s="400">
        <v>0.2</v>
      </c>
      <c r="T303" s="400">
        <v>0.2</v>
      </c>
      <c r="U303" s="400">
        <v>0.2</v>
      </c>
      <c r="V303" s="366"/>
      <c r="W303" s="366">
        <f t="shared" si="529"/>
        <v>0</v>
      </c>
      <c r="X303" s="404" t="s">
        <v>484</v>
      </c>
      <c r="Y303" s="440"/>
      <c r="Z303" s="441"/>
    </row>
    <row r="304" ht="135" spans="1:26">
      <c r="A304" s="366">
        <v>75</v>
      </c>
      <c r="B304" s="367" t="s">
        <v>595</v>
      </c>
      <c r="C304" s="367" t="s">
        <v>695</v>
      </c>
      <c r="D304" s="367" t="s">
        <v>513</v>
      </c>
      <c r="E304" s="376">
        <f t="shared" si="522"/>
        <v>40</v>
      </c>
      <c r="F304" s="377">
        <f t="shared" si="523"/>
        <v>8</v>
      </c>
      <c r="G304" s="377">
        <f t="shared" si="524"/>
        <v>16</v>
      </c>
      <c r="H304" s="376">
        <f t="shared" si="525"/>
        <v>4.8</v>
      </c>
      <c r="I304" s="376">
        <f t="shared" si="526"/>
        <v>11.2</v>
      </c>
      <c r="J304" s="376">
        <f t="shared" si="527"/>
        <v>0.227272727272727</v>
      </c>
      <c r="K304" s="24" t="s">
        <v>83</v>
      </c>
      <c r="L304" s="384" t="str">
        <f>IF(K304="","",VLOOKUP(K304,'Định nghĩa Loại Chức năng'!$B$4:$C$92,2,FALSE))</f>
        <v>Xử lý nghiệp vụ trung bình</v>
      </c>
      <c r="M304" s="394" t="s">
        <v>287</v>
      </c>
      <c r="N304" s="395">
        <f>IF(K304="","",VLOOKUP(K304&amp;$N$7,CSDL_CN!$D$4:$E$264,2,FALSE))</f>
        <v>10</v>
      </c>
      <c r="O304" s="395">
        <f>IF(K304="","",VLOOKUP(K304&amp;$O$7,CSDL_CN!$D$4:$E$264,2,FALSE))</f>
        <v>20</v>
      </c>
      <c r="P304" s="395">
        <f t="shared" si="528"/>
        <v>6</v>
      </c>
      <c r="Q304" s="395">
        <f>IF(K304="","",VLOOKUP(K304&amp;$Q$7,CSDL_CN!$D$4:$E$264,2,FALSE))</f>
        <v>14</v>
      </c>
      <c r="R304" s="395">
        <f t="array" ref="R304">SUM(IFERROR(N304:Q304,0))</f>
        <v>50</v>
      </c>
      <c r="S304" s="400">
        <v>0.2</v>
      </c>
      <c r="T304" s="400">
        <v>0.2</v>
      </c>
      <c r="U304" s="400">
        <v>0.2</v>
      </c>
      <c r="V304" s="366"/>
      <c r="W304" s="366">
        <f t="shared" si="529"/>
        <v>0</v>
      </c>
      <c r="X304" s="404" t="s">
        <v>484</v>
      </c>
      <c r="Y304" s="440"/>
      <c r="Z304" s="441"/>
    </row>
    <row r="305" ht="120" spans="1:26">
      <c r="A305" s="366">
        <v>75</v>
      </c>
      <c r="B305" s="367" t="s">
        <v>595</v>
      </c>
      <c r="C305" s="367" t="s">
        <v>699</v>
      </c>
      <c r="D305" s="367" t="s">
        <v>554</v>
      </c>
      <c r="E305" s="376">
        <f t="shared" si="522"/>
        <v>40</v>
      </c>
      <c r="F305" s="377">
        <f t="shared" si="523"/>
        <v>8</v>
      </c>
      <c r="G305" s="377">
        <f t="shared" si="524"/>
        <v>16</v>
      </c>
      <c r="H305" s="376">
        <f t="shared" si="525"/>
        <v>4.8</v>
      </c>
      <c r="I305" s="376">
        <f t="shared" si="526"/>
        <v>11.2</v>
      </c>
      <c r="J305" s="376">
        <f t="shared" si="527"/>
        <v>0.227272727272727</v>
      </c>
      <c r="K305" s="24" t="s">
        <v>83</v>
      </c>
      <c r="L305" s="384" t="str">
        <f>IF(K305="","",VLOOKUP(K305,'Định nghĩa Loại Chức năng'!$B$4:$C$92,2,FALSE))</f>
        <v>Xử lý nghiệp vụ trung bình</v>
      </c>
      <c r="M305" s="394" t="s">
        <v>287</v>
      </c>
      <c r="N305" s="395">
        <f>IF(K305="","",VLOOKUP(K305&amp;$N$7,CSDL_CN!$D$4:$E$264,2,FALSE))</f>
        <v>10</v>
      </c>
      <c r="O305" s="395">
        <f>IF(K305="","",VLOOKUP(K305&amp;$O$7,CSDL_CN!$D$4:$E$264,2,FALSE))</f>
        <v>20</v>
      </c>
      <c r="P305" s="395">
        <f t="shared" si="528"/>
        <v>6</v>
      </c>
      <c r="Q305" s="395">
        <f>IF(K305="","",VLOOKUP(K305&amp;$Q$7,CSDL_CN!$D$4:$E$264,2,FALSE))</f>
        <v>14</v>
      </c>
      <c r="R305" s="395">
        <f t="array" ref="R305">SUM(IFERROR(N305:Q305,0))</f>
        <v>50</v>
      </c>
      <c r="S305" s="400">
        <v>0.2</v>
      </c>
      <c r="T305" s="400">
        <v>0.2</v>
      </c>
      <c r="U305" s="400">
        <v>0.2</v>
      </c>
      <c r="V305" s="366"/>
      <c r="W305" s="366">
        <f t="shared" si="529"/>
        <v>0</v>
      </c>
      <c r="X305" s="404" t="s">
        <v>484</v>
      </c>
      <c r="Y305" s="440"/>
      <c r="Z305" s="441"/>
    </row>
    <row r="306" ht="120" spans="1:26">
      <c r="A306" s="366">
        <v>75</v>
      </c>
      <c r="B306" s="367" t="s">
        <v>595</v>
      </c>
      <c r="C306" s="367" t="s">
        <v>703</v>
      </c>
      <c r="D306" s="367" t="s">
        <v>555</v>
      </c>
      <c r="E306" s="376">
        <f t="shared" si="522"/>
        <v>40</v>
      </c>
      <c r="F306" s="377">
        <f t="shared" si="523"/>
        <v>8</v>
      </c>
      <c r="G306" s="377">
        <f t="shared" si="524"/>
        <v>16</v>
      </c>
      <c r="H306" s="376">
        <f t="shared" si="525"/>
        <v>4.8</v>
      </c>
      <c r="I306" s="376">
        <f t="shared" si="526"/>
        <v>11.2</v>
      </c>
      <c r="J306" s="376">
        <f t="shared" si="527"/>
        <v>0.227272727272727</v>
      </c>
      <c r="K306" s="24" t="s">
        <v>83</v>
      </c>
      <c r="L306" s="384" t="str">
        <f>IF(K306="","",VLOOKUP(K306,'Định nghĩa Loại Chức năng'!$B$4:$C$92,2,FALSE))</f>
        <v>Xử lý nghiệp vụ trung bình</v>
      </c>
      <c r="M306" s="394" t="s">
        <v>287</v>
      </c>
      <c r="N306" s="395">
        <f>IF(K306="","",VLOOKUP(K306&amp;$N$7,CSDL_CN!$D$4:$E$264,2,FALSE))</f>
        <v>10</v>
      </c>
      <c r="O306" s="395">
        <f>IF(K306="","",VLOOKUP(K306&amp;$O$7,CSDL_CN!$D$4:$E$264,2,FALSE))</f>
        <v>20</v>
      </c>
      <c r="P306" s="395">
        <f t="shared" si="528"/>
        <v>6</v>
      </c>
      <c r="Q306" s="395">
        <f>IF(K306="","",VLOOKUP(K306&amp;$Q$7,CSDL_CN!$D$4:$E$264,2,FALSE))</f>
        <v>14</v>
      </c>
      <c r="R306" s="395">
        <f t="array" ref="R306">SUM(IFERROR(N306:Q306,0))</f>
        <v>50</v>
      </c>
      <c r="S306" s="400">
        <v>0.2</v>
      </c>
      <c r="T306" s="400">
        <v>0.2</v>
      </c>
      <c r="U306" s="400">
        <v>0.2</v>
      </c>
      <c r="V306" s="366"/>
      <c r="W306" s="366">
        <f t="shared" si="529"/>
        <v>0</v>
      </c>
      <c r="X306" s="404" t="s">
        <v>484</v>
      </c>
      <c r="Y306" s="440"/>
      <c r="Z306" s="441"/>
    </row>
    <row r="307" ht="135" spans="1:26">
      <c r="A307" s="366">
        <v>75</v>
      </c>
      <c r="B307" s="367" t="s">
        <v>595</v>
      </c>
      <c r="C307" s="367" t="s">
        <v>706</v>
      </c>
      <c r="D307" s="367" t="s">
        <v>513</v>
      </c>
      <c r="E307" s="376">
        <f t="shared" si="522"/>
        <v>40</v>
      </c>
      <c r="F307" s="377">
        <f t="shared" si="523"/>
        <v>8</v>
      </c>
      <c r="G307" s="377">
        <f t="shared" si="524"/>
        <v>16</v>
      </c>
      <c r="H307" s="376">
        <f t="shared" si="525"/>
        <v>4.8</v>
      </c>
      <c r="I307" s="376">
        <f t="shared" si="526"/>
        <v>11.2</v>
      </c>
      <c r="J307" s="376">
        <f t="shared" si="527"/>
        <v>0.227272727272727</v>
      </c>
      <c r="K307" s="24" t="s">
        <v>83</v>
      </c>
      <c r="L307" s="384" t="str">
        <f>IF(K307="","",VLOOKUP(K307,'Định nghĩa Loại Chức năng'!$B$4:$C$92,2,FALSE))</f>
        <v>Xử lý nghiệp vụ trung bình</v>
      </c>
      <c r="M307" s="394" t="s">
        <v>287</v>
      </c>
      <c r="N307" s="395">
        <f>IF(K307="","",VLOOKUP(K307&amp;$N$7,CSDL_CN!$D$4:$E$264,2,FALSE))</f>
        <v>10</v>
      </c>
      <c r="O307" s="395">
        <f>IF(K307="","",VLOOKUP(K307&amp;$O$7,CSDL_CN!$D$4:$E$264,2,FALSE))</f>
        <v>20</v>
      </c>
      <c r="P307" s="395">
        <f t="shared" si="528"/>
        <v>6</v>
      </c>
      <c r="Q307" s="395">
        <f>IF(K307="","",VLOOKUP(K307&amp;$Q$7,CSDL_CN!$D$4:$E$264,2,FALSE))</f>
        <v>14</v>
      </c>
      <c r="R307" s="395">
        <f t="array" ref="R307">SUM(IFERROR(N307:Q307,0))</f>
        <v>50</v>
      </c>
      <c r="S307" s="400">
        <v>0.2</v>
      </c>
      <c r="T307" s="400">
        <v>0.2</v>
      </c>
      <c r="U307" s="400">
        <v>0.2</v>
      </c>
      <c r="V307" s="366"/>
      <c r="W307" s="366">
        <f t="shared" si="529"/>
        <v>0</v>
      </c>
      <c r="X307" s="404" t="s">
        <v>484</v>
      </c>
      <c r="Y307" s="440"/>
      <c r="Z307" s="441"/>
    </row>
    <row r="308" ht="120" spans="1:26">
      <c r="A308" s="366">
        <v>75</v>
      </c>
      <c r="B308" s="367" t="s">
        <v>595</v>
      </c>
      <c r="C308" s="367" t="s">
        <v>709</v>
      </c>
      <c r="D308" s="367" t="s">
        <v>554</v>
      </c>
      <c r="E308" s="376">
        <f t="shared" ref="E308:E322" si="530">SUM(F308:I308)</f>
        <v>40</v>
      </c>
      <c r="F308" s="377">
        <f t="shared" ref="F308:F322" si="531">N308*(1-$S308)</f>
        <v>8</v>
      </c>
      <c r="G308" s="377">
        <f t="shared" ref="G308:G322" si="532">O308*(1-$T308)</f>
        <v>16</v>
      </c>
      <c r="H308" s="376">
        <f t="shared" ref="H308:H322" si="533">P308*(1-$T308)</f>
        <v>4.8</v>
      </c>
      <c r="I308" s="376">
        <f t="shared" ref="I308:I322" si="534">Q308*(1-$U308)</f>
        <v>11.2</v>
      </c>
      <c r="J308" s="376">
        <f t="shared" ref="J308:J322" si="535">E308/22/8</f>
        <v>0.227272727272727</v>
      </c>
      <c r="K308" s="24" t="s">
        <v>83</v>
      </c>
      <c r="L308" s="384" t="str">
        <f>IF(K308="","",VLOOKUP(K308,'Định nghĩa Loại Chức năng'!$B$4:$C$92,2,FALSE))</f>
        <v>Xử lý nghiệp vụ trung bình</v>
      </c>
      <c r="M308" s="394" t="s">
        <v>287</v>
      </c>
      <c r="N308" s="395">
        <f>IF(K308="","",VLOOKUP(K308&amp;$N$7,CSDL_CN!$D$4:$E$264,2,FALSE))</f>
        <v>10</v>
      </c>
      <c r="O308" s="395">
        <f>IF(K308="","",VLOOKUP(K308&amp;$O$7,CSDL_CN!$D$4:$E$264,2,FALSE))</f>
        <v>20</v>
      </c>
      <c r="P308" s="395">
        <f t="shared" ref="P308:P322" si="536">IF(M308="Có",O308*30%,0)</f>
        <v>6</v>
      </c>
      <c r="Q308" s="395">
        <f>IF(K308="","",VLOOKUP(K308&amp;$Q$7,CSDL_CN!$D$4:$E$264,2,FALSE))</f>
        <v>14</v>
      </c>
      <c r="R308" s="395">
        <f t="array" ref="R308">SUM(IFERROR(N308:Q308,0))</f>
        <v>50</v>
      </c>
      <c r="S308" s="400">
        <v>0.2</v>
      </c>
      <c r="T308" s="400">
        <v>0.2</v>
      </c>
      <c r="U308" s="400">
        <v>0.2</v>
      </c>
      <c r="V308" s="366"/>
      <c r="W308" s="366">
        <f t="shared" ref="W308:W322" si="537">IF(X308="OS",E308,0)</f>
        <v>0</v>
      </c>
      <c r="X308" s="404" t="s">
        <v>484</v>
      </c>
      <c r="Y308" s="440"/>
      <c r="Z308" s="441"/>
    </row>
    <row r="309" ht="120" spans="1:26">
      <c r="A309" s="366">
        <v>75</v>
      </c>
      <c r="B309" s="367" t="s">
        <v>595</v>
      </c>
      <c r="C309" s="367" t="s">
        <v>712</v>
      </c>
      <c r="D309" s="367" t="s">
        <v>555</v>
      </c>
      <c r="E309" s="376">
        <f t="shared" si="530"/>
        <v>40</v>
      </c>
      <c r="F309" s="377">
        <f t="shared" si="531"/>
        <v>8</v>
      </c>
      <c r="G309" s="377">
        <f t="shared" si="532"/>
        <v>16</v>
      </c>
      <c r="H309" s="376">
        <f t="shared" si="533"/>
        <v>4.8</v>
      </c>
      <c r="I309" s="376">
        <f t="shared" si="534"/>
        <v>11.2</v>
      </c>
      <c r="J309" s="376">
        <f t="shared" si="535"/>
        <v>0.227272727272727</v>
      </c>
      <c r="K309" s="24" t="s">
        <v>83</v>
      </c>
      <c r="L309" s="384" t="str">
        <f>IF(K309="","",VLOOKUP(K309,'Định nghĩa Loại Chức năng'!$B$4:$C$92,2,FALSE))</f>
        <v>Xử lý nghiệp vụ trung bình</v>
      </c>
      <c r="M309" s="394" t="s">
        <v>287</v>
      </c>
      <c r="N309" s="395">
        <f>IF(K309="","",VLOOKUP(K309&amp;$N$7,CSDL_CN!$D$4:$E$264,2,FALSE))</f>
        <v>10</v>
      </c>
      <c r="O309" s="395">
        <f>IF(K309="","",VLOOKUP(K309&amp;$O$7,CSDL_CN!$D$4:$E$264,2,FALSE))</f>
        <v>20</v>
      </c>
      <c r="P309" s="395">
        <f t="shared" si="536"/>
        <v>6</v>
      </c>
      <c r="Q309" s="395">
        <f>IF(K309="","",VLOOKUP(K309&amp;$Q$7,CSDL_CN!$D$4:$E$264,2,FALSE))</f>
        <v>14</v>
      </c>
      <c r="R309" s="395">
        <f t="array" ref="R309">SUM(IFERROR(N309:Q309,0))</f>
        <v>50</v>
      </c>
      <c r="S309" s="400">
        <v>0.2</v>
      </c>
      <c r="T309" s="400">
        <v>0.2</v>
      </c>
      <c r="U309" s="400">
        <v>0.2</v>
      </c>
      <c r="V309" s="366"/>
      <c r="W309" s="366">
        <f t="shared" si="537"/>
        <v>0</v>
      </c>
      <c r="X309" s="404" t="s">
        <v>484</v>
      </c>
      <c r="Y309" s="440"/>
      <c r="Z309" s="441"/>
    </row>
    <row r="310" ht="135" spans="1:26">
      <c r="A310" s="366">
        <v>75</v>
      </c>
      <c r="B310" s="367" t="s">
        <v>595</v>
      </c>
      <c r="C310" s="367" t="s">
        <v>715</v>
      </c>
      <c r="D310" s="367" t="s">
        <v>513</v>
      </c>
      <c r="E310" s="376">
        <f t="shared" si="530"/>
        <v>40</v>
      </c>
      <c r="F310" s="377">
        <f t="shared" si="531"/>
        <v>8</v>
      </c>
      <c r="G310" s="377">
        <f t="shared" si="532"/>
        <v>16</v>
      </c>
      <c r="H310" s="376">
        <f t="shared" si="533"/>
        <v>4.8</v>
      </c>
      <c r="I310" s="376">
        <f t="shared" si="534"/>
        <v>11.2</v>
      </c>
      <c r="J310" s="376">
        <f t="shared" si="535"/>
        <v>0.227272727272727</v>
      </c>
      <c r="K310" s="24" t="s">
        <v>83</v>
      </c>
      <c r="L310" s="384" t="str">
        <f>IF(K310="","",VLOOKUP(K310,'Định nghĩa Loại Chức năng'!$B$4:$C$92,2,FALSE))</f>
        <v>Xử lý nghiệp vụ trung bình</v>
      </c>
      <c r="M310" s="394" t="s">
        <v>287</v>
      </c>
      <c r="N310" s="395">
        <f>IF(K310="","",VLOOKUP(K310&amp;$N$7,CSDL_CN!$D$4:$E$264,2,FALSE))</f>
        <v>10</v>
      </c>
      <c r="O310" s="395">
        <f>IF(K310="","",VLOOKUP(K310&amp;$O$7,CSDL_CN!$D$4:$E$264,2,FALSE))</f>
        <v>20</v>
      </c>
      <c r="P310" s="395">
        <f t="shared" si="536"/>
        <v>6</v>
      </c>
      <c r="Q310" s="395">
        <f>IF(K310="","",VLOOKUP(K310&amp;$Q$7,CSDL_CN!$D$4:$E$264,2,FALSE))</f>
        <v>14</v>
      </c>
      <c r="R310" s="395">
        <f t="array" ref="R310">SUM(IFERROR(N310:Q310,0))</f>
        <v>50</v>
      </c>
      <c r="S310" s="400">
        <v>0.2</v>
      </c>
      <c r="T310" s="400">
        <v>0.2</v>
      </c>
      <c r="U310" s="400">
        <v>0.2</v>
      </c>
      <c r="V310" s="366"/>
      <c r="W310" s="366">
        <f t="shared" si="537"/>
        <v>0</v>
      </c>
      <c r="X310" s="404" t="s">
        <v>484</v>
      </c>
      <c r="Y310" s="440"/>
      <c r="Z310" s="441"/>
    </row>
    <row r="311" ht="120" spans="1:26">
      <c r="A311" s="366">
        <v>75</v>
      </c>
      <c r="B311" s="367" t="s">
        <v>595</v>
      </c>
      <c r="C311" s="367" t="s">
        <v>718</v>
      </c>
      <c r="D311" s="367" t="s">
        <v>554</v>
      </c>
      <c r="E311" s="376">
        <f t="shared" si="530"/>
        <v>40</v>
      </c>
      <c r="F311" s="377">
        <f t="shared" si="531"/>
        <v>8</v>
      </c>
      <c r="G311" s="377">
        <f t="shared" si="532"/>
        <v>16</v>
      </c>
      <c r="H311" s="376">
        <f t="shared" si="533"/>
        <v>4.8</v>
      </c>
      <c r="I311" s="376">
        <f t="shared" si="534"/>
        <v>11.2</v>
      </c>
      <c r="J311" s="376">
        <f t="shared" si="535"/>
        <v>0.227272727272727</v>
      </c>
      <c r="K311" s="24" t="s">
        <v>83</v>
      </c>
      <c r="L311" s="384" t="str">
        <f>IF(K311="","",VLOOKUP(K311,'Định nghĩa Loại Chức năng'!$B$4:$C$92,2,FALSE))</f>
        <v>Xử lý nghiệp vụ trung bình</v>
      </c>
      <c r="M311" s="394" t="s">
        <v>287</v>
      </c>
      <c r="N311" s="395">
        <f>IF(K311="","",VLOOKUP(K311&amp;$N$7,CSDL_CN!$D$4:$E$264,2,FALSE))</f>
        <v>10</v>
      </c>
      <c r="O311" s="395">
        <f>IF(K311="","",VLOOKUP(K311&amp;$O$7,CSDL_CN!$D$4:$E$264,2,FALSE))</f>
        <v>20</v>
      </c>
      <c r="P311" s="395">
        <f t="shared" si="536"/>
        <v>6</v>
      </c>
      <c r="Q311" s="395">
        <f>IF(K311="","",VLOOKUP(K311&amp;$Q$7,CSDL_CN!$D$4:$E$264,2,FALSE))</f>
        <v>14</v>
      </c>
      <c r="R311" s="395">
        <f t="array" ref="R311">SUM(IFERROR(N311:Q311,0))</f>
        <v>50</v>
      </c>
      <c r="S311" s="400">
        <v>0.2</v>
      </c>
      <c r="T311" s="400">
        <v>0.2</v>
      </c>
      <c r="U311" s="400">
        <v>0.2</v>
      </c>
      <c r="V311" s="366"/>
      <c r="W311" s="366">
        <f t="shared" si="537"/>
        <v>0</v>
      </c>
      <c r="X311" s="404" t="s">
        <v>484</v>
      </c>
      <c r="Y311" s="440"/>
      <c r="Z311" s="441"/>
    </row>
    <row r="312" ht="120" spans="1:26">
      <c r="A312" s="366">
        <v>75</v>
      </c>
      <c r="B312" s="367" t="s">
        <v>595</v>
      </c>
      <c r="C312" s="367" t="s">
        <v>721</v>
      </c>
      <c r="D312" s="367" t="s">
        <v>555</v>
      </c>
      <c r="E312" s="376">
        <f t="shared" si="530"/>
        <v>40</v>
      </c>
      <c r="F312" s="377">
        <f t="shared" si="531"/>
        <v>8</v>
      </c>
      <c r="G312" s="377">
        <f t="shared" si="532"/>
        <v>16</v>
      </c>
      <c r="H312" s="376">
        <f t="shared" si="533"/>
        <v>4.8</v>
      </c>
      <c r="I312" s="376">
        <f t="shared" si="534"/>
        <v>11.2</v>
      </c>
      <c r="J312" s="376">
        <f t="shared" si="535"/>
        <v>0.227272727272727</v>
      </c>
      <c r="K312" s="24" t="s">
        <v>83</v>
      </c>
      <c r="L312" s="384" t="str">
        <f>IF(K312="","",VLOOKUP(K312,'Định nghĩa Loại Chức năng'!$B$4:$C$92,2,FALSE))</f>
        <v>Xử lý nghiệp vụ trung bình</v>
      </c>
      <c r="M312" s="394" t="s">
        <v>287</v>
      </c>
      <c r="N312" s="395">
        <f>IF(K312="","",VLOOKUP(K312&amp;$N$7,CSDL_CN!$D$4:$E$264,2,FALSE))</f>
        <v>10</v>
      </c>
      <c r="O312" s="395">
        <f>IF(K312="","",VLOOKUP(K312&amp;$O$7,CSDL_CN!$D$4:$E$264,2,FALSE))</f>
        <v>20</v>
      </c>
      <c r="P312" s="395">
        <f t="shared" si="536"/>
        <v>6</v>
      </c>
      <c r="Q312" s="395">
        <f>IF(K312="","",VLOOKUP(K312&amp;$Q$7,CSDL_CN!$D$4:$E$264,2,FALSE))</f>
        <v>14</v>
      </c>
      <c r="R312" s="395">
        <f t="array" ref="R312">SUM(IFERROR(N312:Q312,0))</f>
        <v>50</v>
      </c>
      <c r="S312" s="400">
        <v>0.2</v>
      </c>
      <c r="T312" s="400">
        <v>0.2</v>
      </c>
      <c r="U312" s="400">
        <v>0.2</v>
      </c>
      <c r="V312" s="366"/>
      <c r="W312" s="366">
        <f t="shared" si="537"/>
        <v>0</v>
      </c>
      <c r="X312" s="404" t="s">
        <v>484</v>
      </c>
      <c r="Y312" s="440"/>
      <c r="Z312" s="441"/>
    </row>
    <row r="313" ht="135" spans="1:26">
      <c r="A313" s="366">
        <v>75</v>
      </c>
      <c r="B313" s="367" t="s">
        <v>595</v>
      </c>
      <c r="C313" s="367" t="s">
        <v>724</v>
      </c>
      <c r="D313" s="367" t="s">
        <v>513</v>
      </c>
      <c r="E313" s="376">
        <f t="shared" si="530"/>
        <v>40</v>
      </c>
      <c r="F313" s="377">
        <f t="shared" si="531"/>
        <v>8</v>
      </c>
      <c r="G313" s="377">
        <f t="shared" si="532"/>
        <v>16</v>
      </c>
      <c r="H313" s="376">
        <f t="shared" si="533"/>
        <v>4.8</v>
      </c>
      <c r="I313" s="376">
        <f t="shared" si="534"/>
        <v>11.2</v>
      </c>
      <c r="J313" s="376">
        <f t="shared" si="535"/>
        <v>0.227272727272727</v>
      </c>
      <c r="K313" s="24" t="s">
        <v>83</v>
      </c>
      <c r="L313" s="384" t="str">
        <f>IF(K313="","",VLOOKUP(K313,'Định nghĩa Loại Chức năng'!$B$4:$C$92,2,FALSE))</f>
        <v>Xử lý nghiệp vụ trung bình</v>
      </c>
      <c r="M313" s="394" t="s">
        <v>287</v>
      </c>
      <c r="N313" s="395">
        <f>IF(K313="","",VLOOKUP(K313&amp;$N$7,CSDL_CN!$D$4:$E$264,2,FALSE))</f>
        <v>10</v>
      </c>
      <c r="O313" s="395">
        <f>IF(K313="","",VLOOKUP(K313&amp;$O$7,CSDL_CN!$D$4:$E$264,2,FALSE))</f>
        <v>20</v>
      </c>
      <c r="P313" s="395">
        <f t="shared" si="536"/>
        <v>6</v>
      </c>
      <c r="Q313" s="395">
        <f>IF(K313="","",VLOOKUP(K313&amp;$Q$7,CSDL_CN!$D$4:$E$264,2,FALSE))</f>
        <v>14</v>
      </c>
      <c r="R313" s="395">
        <f t="array" ref="R313">SUM(IFERROR(N313:Q313,0))</f>
        <v>50</v>
      </c>
      <c r="S313" s="400">
        <v>0.2</v>
      </c>
      <c r="T313" s="400">
        <v>0.2</v>
      </c>
      <c r="U313" s="400">
        <v>0.2</v>
      </c>
      <c r="V313" s="366"/>
      <c r="W313" s="366">
        <f t="shared" si="537"/>
        <v>0</v>
      </c>
      <c r="X313" s="404" t="s">
        <v>484</v>
      </c>
      <c r="Y313" s="440"/>
      <c r="Z313" s="441"/>
    </row>
    <row r="314" ht="60" spans="1:26">
      <c r="A314" s="366">
        <v>75</v>
      </c>
      <c r="B314" s="367" t="s">
        <v>595</v>
      </c>
      <c r="C314" s="367" t="s">
        <v>600</v>
      </c>
      <c r="D314" s="367" t="s">
        <v>601</v>
      </c>
      <c r="E314" s="376">
        <f t="shared" si="530"/>
        <v>25.28</v>
      </c>
      <c r="F314" s="377">
        <f t="shared" si="531"/>
        <v>6.4</v>
      </c>
      <c r="G314" s="377">
        <f t="shared" si="532"/>
        <v>9.6</v>
      </c>
      <c r="H314" s="376">
        <f t="shared" si="533"/>
        <v>2.88</v>
      </c>
      <c r="I314" s="376">
        <f t="shared" si="534"/>
        <v>6.4</v>
      </c>
      <c r="J314" s="376">
        <f t="shared" si="535"/>
        <v>0.143636363636364</v>
      </c>
      <c r="K314" s="24" t="s">
        <v>78</v>
      </c>
      <c r="L314" s="384" t="str">
        <f>IF(K314="","",VLOOKUP(K314,'Định nghĩa Loại Chức năng'!$B$4:$C$92,2,FALSE))</f>
        <v>Xử lý nghiệp vụ đơn giản</v>
      </c>
      <c r="M314" s="394" t="s">
        <v>287</v>
      </c>
      <c r="N314" s="395">
        <f>IF(K314="","",VLOOKUP(K314&amp;$N$7,CSDL_CN!$D$4:$E$264,2,FALSE))</f>
        <v>8</v>
      </c>
      <c r="O314" s="395">
        <f>IF(K314="","",VLOOKUP(K314&amp;$O$7,CSDL_CN!$D$4:$E$264,2,FALSE))</f>
        <v>12</v>
      </c>
      <c r="P314" s="395">
        <f t="shared" si="536"/>
        <v>3.6</v>
      </c>
      <c r="Q314" s="395">
        <f>IF(K314="","",VLOOKUP(K314&amp;$Q$7,CSDL_CN!$D$4:$E$264,2,FALSE))</f>
        <v>8</v>
      </c>
      <c r="R314" s="395">
        <f t="array" ref="R314">SUM(IFERROR(N314:Q314,0))</f>
        <v>31.6</v>
      </c>
      <c r="S314" s="400">
        <v>0.2</v>
      </c>
      <c r="T314" s="400">
        <v>0.2</v>
      </c>
      <c r="U314" s="400">
        <v>0.2</v>
      </c>
      <c r="V314" s="366"/>
      <c r="W314" s="366">
        <f t="shared" si="537"/>
        <v>0</v>
      </c>
      <c r="X314" s="404" t="s">
        <v>484</v>
      </c>
      <c r="Y314" s="440"/>
      <c r="Z314" s="441"/>
    </row>
    <row r="315" ht="75" spans="1:26">
      <c r="A315" s="366">
        <v>75</v>
      </c>
      <c r="B315" s="367" t="s">
        <v>595</v>
      </c>
      <c r="C315" s="367" t="s">
        <v>604</v>
      </c>
      <c r="D315" s="367" t="s">
        <v>605</v>
      </c>
      <c r="E315" s="376">
        <f t="shared" si="530"/>
        <v>25.28</v>
      </c>
      <c r="F315" s="377">
        <f t="shared" si="531"/>
        <v>6.4</v>
      </c>
      <c r="G315" s="377">
        <f t="shared" si="532"/>
        <v>9.6</v>
      </c>
      <c r="H315" s="376">
        <f t="shared" si="533"/>
        <v>2.88</v>
      </c>
      <c r="I315" s="376">
        <f t="shared" si="534"/>
        <v>6.4</v>
      </c>
      <c r="J315" s="376">
        <f t="shared" si="535"/>
        <v>0.143636363636364</v>
      </c>
      <c r="K315" s="24" t="s">
        <v>78</v>
      </c>
      <c r="L315" s="384" t="str">
        <f>IF(K315="","",VLOOKUP(K315,'Định nghĩa Loại Chức năng'!$B$4:$C$92,2,FALSE))</f>
        <v>Xử lý nghiệp vụ đơn giản</v>
      </c>
      <c r="M315" s="394" t="s">
        <v>287</v>
      </c>
      <c r="N315" s="395">
        <f>IF(K315="","",VLOOKUP(K315&amp;$N$7,CSDL_CN!$D$4:$E$264,2,FALSE))</f>
        <v>8</v>
      </c>
      <c r="O315" s="395">
        <f>IF(K315="","",VLOOKUP(K315&amp;$O$7,CSDL_CN!$D$4:$E$264,2,FALSE))</f>
        <v>12</v>
      </c>
      <c r="P315" s="395">
        <f t="shared" si="536"/>
        <v>3.6</v>
      </c>
      <c r="Q315" s="395">
        <f>IF(K315="","",VLOOKUP(K315&amp;$Q$7,CSDL_CN!$D$4:$E$264,2,FALSE))</f>
        <v>8</v>
      </c>
      <c r="R315" s="395">
        <f t="array" ref="R315">SUM(IFERROR(N315:Q315,0))</f>
        <v>31.6</v>
      </c>
      <c r="S315" s="400">
        <v>0.2</v>
      </c>
      <c r="T315" s="400">
        <v>0.2</v>
      </c>
      <c r="U315" s="400">
        <v>0.2</v>
      </c>
      <c r="V315" s="366"/>
      <c r="W315" s="366">
        <f t="shared" si="537"/>
        <v>0</v>
      </c>
      <c r="X315" s="404" t="s">
        <v>484</v>
      </c>
      <c r="Y315" s="440"/>
      <c r="Z315" s="441"/>
    </row>
    <row r="316" ht="60" spans="1:26">
      <c r="A316" s="366">
        <v>75</v>
      </c>
      <c r="B316" s="367" t="s">
        <v>595</v>
      </c>
      <c r="C316" s="367" t="s">
        <v>608</v>
      </c>
      <c r="D316" s="367" t="s">
        <v>609</v>
      </c>
      <c r="E316" s="376">
        <f t="shared" si="530"/>
        <v>25.28</v>
      </c>
      <c r="F316" s="377">
        <f t="shared" si="531"/>
        <v>6.4</v>
      </c>
      <c r="G316" s="377">
        <f t="shared" si="532"/>
        <v>9.6</v>
      </c>
      <c r="H316" s="376">
        <f t="shared" si="533"/>
        <v>2.88</v>
      </c>
      <c r="I316" s="376">
        <f t="shared" si="534"/>
        <v>6.4</v>
      </c>
      <c r="J316" s="376">
        <f t="shared" si="535"/>
        <v>0.143636363636364</v>
      </c>
      <c r="K316" s="24" t="s">
        <v>78</v>
      </c>
      <c r="L316" s="384" t="str">
        <f>IF(K316="","",VLOOKUP(K316,'Định nghĩa Loại Chức năng'!$B$4:$C$92,2,FALSE))</f>
        <v>Xử lý nghiệp vụ đơn giản</v>
      </c>
      <c r="M316" s="394" t="s">
        <v>287</v>
      </c>
      <c r="N316" s="395">
        <f>IF(K316="","",VLOOKUP(K316&amp;$N$7,CSDL_CN!$D$4:$E$264,2,FALSE))</f>
        <v>8</v>
      </c>
      <c r="O316" s="395">
        <f>IF(K316="","",VLOOKUP(K316&amp;$O$7,CSDL_CN!$D$4:$E$264,2,FALSE))</f>
        <v>12</v>
      </c>
      <c r="P316" s="395">
        <f t="shared" si="536"/>
        <v>3.6</v>
      </c>
      <c r="Q316" s="395">
        <f>IF(K316="","",VLOOKUP(K316&amp;$Q$7,CSDL_CN!$D$4:$E$264,2,FALSE))</f>
        <v>8</v>
      </c>
      <c r="R316" s="395">
        <f t="array" ref="R316">SUM(IFERROR(N316:Q316,0))</f>
        <v>31.6</v>
      </c>
      <c r="S316" s="400">
        <v>0.2</v>
      </c>
      <c r="T316" s="400">
        <v>0.2</v>
      </c>
      <c r="U316" s="400">
        <v>0.2</v>
      </c>
      <c r="V316" s="366"/>
      <c r="W316" s="366">
        <f t="shared" si="537"/>
        <v>0</v>
      </c>
      <c r="X316" s="404" t="s">
        <v>484</v>
      </c>
      <c r="Y316" s="440"/>
      <c r="Z316" s="441"/>
    </row>
    <row r="317" ht="75" spans="1:26">
      <c r="A317" s="366">
        <v>75</v>
      </c>
      <c r="B317" s="367" t="s">
        <v>595</v>
      </c>
      <c r="C317" s="367" t="s">
        <v>612</v>
      </c>
      <c r="D317" s="367" t="s">
        <v>613</v>
      </c>
      <c r="E317" s="376">
        <f t="shared" si="530"/>
        <v>25.28</v>
      </c>
      <c r="F317" s="377">
        <f t="shared" si="531"/>
        <v>6.4</v>
      </c>
      <c r="G317" s="377">
        <f t="shared" si="532"/>
        <v>9.6</v>
      </c>
      <c r="H317" s="376">
        <f t="shared" si="533"/>
        <v>2.88</v>
      </c>
      <c r="I317" s="376">
        <f t="shared" si="534"/>
        <v>6.4</v>
      </c>
      <c r="J317" s="376">
        <f t="shared" si="535"/>
        <v>0.143636363636364</v>
      </c>
      <c r="K317" s="24" t="s">
        <v>78</v>
      </c>
      <c r="L317" s="384" t="str">
        <f>IF(K317="","",VLOOKUP(K317,'Định nghĩa Loại Chức năng'!$B$4:$C$92,2,FALSE))</f>
        <v>Xử lý nghiệp vụ đơn giản</v>
      </c>
      <c r="M317" s="394" t="s">
        <v>287</v>
      </c>
      <c r="N317" s="395">
        <f>IF(K317="","",VLOOKUP(K317&amp;$N$7,CSDL_CN!$D$4:$E$264,2,FALSE))</f>
        <v>8</v>
      </c>
      <c r="O317" s="395">
        <f>IF(K317="","",VLOOKUP(K317&amp;$O$7,CSDL_CN!$D$4:$E$264,2,FALSE))</f>
        <v>12</v>
      </c>
      <c r="P317" s="395">
        <f t="shared" si="536"/>
        <v>3.6</v>
      </c>
      <c r="Q317" s="395">
        <f>IF(K317="","",VLOOKUP(K317&amp;$Q$7,CSDL_CN!$D$4:$E$264,2,FALSE))</f>
        <v>8</v>
      </c>
      <c r="R317" s="395">
        <f t="array" ref="R317">SUM(IFERROR(N317:Q317,0))</f>
        <v>31.6</v>
      </c>
      <c r="S317" s="400">
        <v>0.2</v>
      </c>
      <c r="T317" s="400">
        <v>0.2</v>
      </c>
      <c r="U317" s="400">
        <v>0.2</v>
      </c>
      <c r="V317" s="366"/>
      <c r="W317" s="366">
        <f t="shared" si="537"/>
        <v>0</v>
      </c>
      <c r="X317" s="404" t="s">
        <v>484</v>
      </c>
      <c r="Y317" s="440"/>
      <c r="Z317" s="441"/>
    </row>
    <row r="318" ht="45" spans="1:26">
      <c r="A318" s="366">
        <v>75</v>
      </c>
      <c r="B318" s="367" t="s">
        <v>595</v>
      </c>
      <c r="C318" s="367" t="s">
        <v>615</v>
      </c>
      <c r="D318" s="367" t="s">
        <v>616</v>
      </c>
      <c r="E318" s="376">
        <f t="shared" si="530"/>
        <v>25.28</v>
      </c>
      <c r="F318" s="377">
        <f t="shared" si="531"/>
        <v>6.4</v>
      </c>
      <c r="G318" s="377">
        <f t="shared" si="532"/>
        <v>9.6</v>
      </c>
      <c r="H318" s="376">
        <f t="shared" si="533"/>
        <v>2.88</v>
      </c>
      <c r="I318" s="376">
        <f t="shared" si="534"/>
        <v>6.4</v>
      </c>
      <c r="J318" s="376">
        <f t="shared" si="535"/>
        <v>0.143636363636364</v>
      </c>
      <c r="K318" s="24" t="s">
        <v>78</v>
      </c>
      <c r="L318" s="384" t="str">
        <f>IF(K318="","",VLOOKUP(K318,'Định nghĩa Loại Chức năng'!$B$4:$C$92,2,FALSE))</f>
        <v>Xử lý nghiệp vụ đơn giản</v>
      </c>
      <c r="M318" s="394" t="s">
        <v>287</v>
      </c>
      <c r="N318" s="395">
        <f>IF(K318="","",VLOOKUP(K318&amp;$N$7,CSDL_CN!$D$4:$E$264,2,FALSE))</f>
        <v>8</v>
      </c>
      <c r="O318" s="395">
        <f>IF(K318="","",VLOOKUP(K318&amp;$O$7,CSDL_CN!$D$4:$E$264,2,FALSE))</f>
        <v>12</v>
      </c>
      <c r="P318" s="395">
        <f t="shared" si="536"/>
        <v>3.6</v>
      </c>
      <c r="Q318" s="395">
        <f>IF(K318="","",VLOOKUP(K318&amp;$Q$7,CSDL_CN!$D$4:$E$264,2,FALSE))</f>
        <v>8</v>
      </c>
      <c r="R318" s="395">
        <f t="array" ref="R318">SUM(IFERROR(N318:Q318,0))</f>
        <v>31.6</v>
      </c>
      <c r="S318" s="400">
        <v>0.2</v>
      </c>
      <c r="T318" s="400">
        <v>0.2</v>
      </c>
      <c r="U318" s="400">
        <v>0.2</v>
      </c>
      <c r="V318" s="366"/>
      <c r="W318" s="366">
        <f t="shared" si="537"/>
        <v>0</v>
      </c>
      <c r="X318" s="404" t="s">
        <v>484</v>
      </c>
      <c r="Y318" s="440"/>
      <c r="Z318" s="441"/>
    </row>
    <row r="319" ht="60" spans="1:26">
      <c r="A319" s="366">
        <v>75</v>
      </c>
      <c r="B319" s="367" t="s">
        <v>595</v>
      </c>
      <c r="C319" s="367" t="s">
        <v>619</v>
      </c>
      <c r="D319" s="367" t="s">
        <v>620</v>
      </c>
      <c r="E319" s="376">
        <f t="shared" si="530"/>
        <v>25.28</v>
      </c>
      <c r="F319" s="377">
        <f t="shared" si="531"/>
        <v>6.4</v>
      </c>
      <c r="G319" s="377">
        <f t="shared" si="532"/>
        <v>9.6</v>
      </c>
      <c r="H319" s="376">
        <f t="shared" si="533"/>
        <v>2.88</v>
      </c>
      <c r="I319" s="376">
        <f t="shared" si="534"/>
        <v>6.4</v>
      </c>
      <c r="J319" s="376">
        <f t="shared" si="535"/>
        <v>0.143636363636364</v>
      </c>
      <c r="K319" s="24" t="s">
        <v>78</v>
      </c>
      <c r="L319" s="384" t="str">
        <f>IF(K319="","",VLOOKUP(K319,'Định nghĩa Loại Chức năng'!$B$4:$C$92,2,FALSE))</f>
        <v>Xử lý nghiệp vụ đơn giản</v>
      </c>
      <c r="M319" s="394" t="s">
        <v>287</v>
      </c>
      <c r="N319" s="395">
        <f>IF(K319="","",VLOOKUP(K319&amp;$N$7,CSDL_CN!$D$4:$E$264,2,FALSE))</f>
        <v>8</v>
      </c>
      <c r="O319" s="395">
        <f>IF(K319="","",VLOOKUP(K319&amp;$O$7,CSDL_CN!$D$4:$E$264,2,FALSE))</f>
        <v>12</v>
      </c>
      <c r="P319" s="395">
        <f t="shared" si="536"/>
        <v>3.6</v>
      </c>
      <c r="Q319" s="395">
        <f>IF(K319="","",VLOOKUP(K319&amp;$Q$7,CSDL_CN!$D$4:$E$264,2,FALSE))</f>
        <v>8</v>
      </c>
      <c r="R319" s="395">
        <f t="array" ref="R319">SUM(IFERROR(N319:Q319,0))</f>
        <v>31.6</v>
      </c>
      <c r="S319" s="400">
        <v>0.2</v>
      </c>
      <c r="T319" s="400">
        <v>0.2</v>
      </c>
      <c r="U319" s="400">
        <v>0.2</v>
      </c>
      <c r="V319" s="366"/>
      <c r="W319" s="366">
        <f t="shared" si="537"/>
        <v>0</v>
      </c>
      <c r="X319" s="404" t="s">
        <v>484</v>
      </c>
      <c r="Y319" s="440"/>
      <c r="Z319" s="441"/>
    </row>
    <row r="320" ht="45" spans="1:26">
      <c r="A320" s="366">
        <v>75</v>
      </c>
      <c r="B320" s="367" t="s">
        <v>595</v>
      </c>
      <c r="C320" s="367" t="s">
        <v>623</v>
      </c>
      <c r="D320" s="367" t="s">
        <v>624</v>
      </c>
      <c r="E320" s="376">
        <f t="shared" si="530"/>
        <v>25.28</v>
      </c>
      <c r="F320" s="377">
        <f t="shared" si="531"/>
        <v>6.4</v>
      </c>
      <c r="G320" s="377">
        <f t="shared" si="532"/>
        <v>9.6</v>
      </c>
      <c r="H320" s="376">
        <f t="shared" si="533"/>
        <v>2.88</v>
      </c>
      <c r="I320" s="376">
        <f t="shared" si="534"/>
        <v>6.4</v>
      </c>
      <c r="J320" s="376">
        <f t="shared" si="535"/>
        <v>0.143636363636364</v>
      </c>
      <c r="K320" s="24" t="s">
        <v>78</v>
      </c>
      <c r="L320" s="384" t="str">
        <f>IF(K320="","",VLOOKUP(K320,'Định nghĩa Loại Chức năng'!$B$4:$C$92,2,FALSE))</f>
        <v>Xử lý nghiệp vụ đơn giản</v>
      </c>
      <c r="M320" s="394" t="s">
        <v>287</v>
      </c>
      <c r="N320" s="395">
        <f>IF(K320="","",VLOOKUP(K320&amp;$N$7,CSDL_CN!$D$4:$E$264,2,FALSE))</f>
        <v>8</v>
      </c>
      <c r="O320" s="395">
        <f>IF(K320="","",VLOOKUP(K320&amp;$O$7,CSDL_CN!$D$4:$E$264,2,FALSE))</f>
        <v>12</v>
      </c>
      <c r="P320" s="395">
        <f t="shared" si="536"/>
        <v>3.6</v>
      </c>
      <c r="Q320" s="395">
        <f>IF(K320="","",VLOOKUP(K320&amp;$Q$7,CSDL_CN!$D$4:$E$264,2,FALSE))</f>
        <v>8</v>
      </c>
      <c r="R320" s="395">
        <f t="array" ref="R320">SUM(IFERROR(N320:Q320,0))</f>
        <v>31.6</v>
      </c>
      <c r="S320" s="400">
        <v>0.2</v>
      </c>
      <c r="T320" s="400">
        <v>0.2</v>
      </c>
      <c r="U320" s="400">
        <v>0.2</v>
      </c>
      <c r="V320" s="366"/>
      <c r="W320" s="366">
        <f t="shared" si="537"/>
        <v>0</v>
      </c>
      <c r="X320" s="404" t="s">
        <v>484</v>
      </c>
      <c r="Y320" s="440"/>
      <c r="Z320" s="441"/>
    </row>
    <row r="321" ht="45" spans="1:26">
      <c r="A321" s="366">
        <v>75</v>
      </c>
      <c r="B321" s="367" t="s">
        <v>595</v>
      </c>
      <c r="C321" s="367" t="s">
        <v>627</v>
      </c>
      <c r="D321" s="367" t="s">
        <v>628</v>
      </c>
      <c r="E321" s="376">
        <f t="shared" si="530"/>
        <v>25.28</v>
      </c>
      <c r="F321" s="377">
        <f t="shared" si="531"/>
        <v>6.4</v>
      </c>
      <c r="G321" s="377">
        <f t="shared" si="532"/>
        <v>9.6</v>
      </c>
      <c r="H321" s="376">
        <f t="shared" si="533"/>
        <v>2.88</v>
      </c>
      <c r="I321" s="376">
        <f t="shared" si="534"/>
        <v>6.4</v>
      </c>
      <c r="J321" s="376">
        <f t="shared" si="535"/>
        <v>0.143636363636364</v>
      </c>
      <c r="K321" s="24" t="s">
        <v>78</v>
      </c>
      <c r="L321" s="384" t="str">
        <f>IF(K321="","",VLOOKUP(K321,'Định nghĩa Loại Chức năng'!$B$4:$C$92,2,FALSE))</f>
        <v>Xử lý nghiệp vụ đơn giản</v>
      </c>
      <c r="M321" s="394" t="s">
        <v>287</v>
      </c>
      <c r="N321" s="395">
        <f>IF(K321="","",VLOOKUP(K321&amp;$N$7,CSDL_CN!$D$4:$E$264,2,FALSE))</f>
        <v>8</v>
      </c>
      <c r="O321" s="395">
        <f>IF(K321="","",VLOOKUP(K321&amp;$O$7,CSDL_CN!$D$4:$E$264,2,FALSE))</f>
        <v>12</v>
      </c>
      <c r="P321" s="395">
        <f t="shared" si="536"/>
        <v>3.6</v>
      </c>
      <c r="Q321" s="395">
        <f>IF(K321="","",VLOOKUP(K321&amp;$Q$7,CSDL_CN!$D$4:$E$264,2,FALSE))</f>
        <v>8</v>
      </c>
      <c r="R321" s="395">
        <f t="array" ref="R321">SUM(IFERROR(N321:Q321,0))</f>
        <v>31.6</v>
      </c>
      <c r="S321" s="400">
        <v>0.2</v>
      </c>
      <c r="T321" s="400">
        <v>0.2</v>
      </c>
      <c r="U321" s="400">
        <v>0.2</v>
      </c>
      <c r="V321" s="366"/>
      <c r="W321" s="366">
        <f t="shared" si="537"/>
        <v>0</v>
      </c>
      <c r="X321" s="404" t="s">
        <v>484</v>
      </c>
      <c r="Y321" s="440"/>
      <c r="Z321" s="441"/>
    </row>
    <row r="322" ht="75" spans="1:26">
      <c r="A322" s="366">
        <v>75</v>
      </c>
      <c r="B322" s="367" t="s">
        <v>595</v>
      </c>
      <c r="C322" s="367" t="s">
        <v>631</v>
      </c>
      <c r="D322" s="367" t="s">
        <v>632</v>
      </c>
      <c r="E322" s="376">
        <f t="shared" si="530"/>
        <v>25.28</v>
      </c>
      <c r="F322" s="377">
        <f t="shared" si="531"/>
        <v>6.4</v>
      </c>
      <c r="G322" s="377">
        <f t="shared" si="532"/>
        <v>9.6</v>
      </c>
      <c r="H322" s="376">
        <f t="shared" si="533"/>
        <v>2.88</v>
      </c>
      <c r="I322" s="376">
        <f t="shared" si="534"/>
        <v>6.4</v>
      </c>
      <c r="J322" s="376">
        <f t="shared" si="535"/>
        <v>0.143636363636364</v>
      </c>
      <c r="K322" s="24" t="s">
        <v>78</v>
      </c>
      <c r="L322" s="384" t="str">
        <f>IF(K322="","",VLOOKUP(K322,'Định nghĩa Loại Chức năng'!$B$4:$C$92,2,FALSE))</f>
        <v>Xử lý nghiệp vụ đơn giản</v>
      </c>
      <c r="M322" s="394" t="s">
        <v>287</v>
      </c>
      <c r="N322" s="395">
        <f>IF(K322="","",VLOOKUP(K322&amp;$N$7,CSDL_CN!$D$4:$E$264,2,FALSE))</f>
        <v>8</v>
      </c>
      <c r="O322" s="395">
        <f>IF(K322="","",VLOOKUP(K322&amp;$O$7,CSDL_CN!$D$4:$E$264,2,FALSE))</f>
        <v>12</v>
      </c>
      <c r="P322" s="395">
        <f t="shared" si="536"/>
        <v>3.6</v>
      </c>
      <c r="Q322" s="395">
        <f>IF(K322="","",VLOOKUP(K322&amp;$Q$7,CSDL_CN!$D$4:$E$264,2,FALSE))</f>
        <v>8</v>
      </c>
      <c r="R322" s="395">
        <f t="array" ref="R322">SUM(IFERROR(N322:Q322,0))</f>
        <v>31.6</v>
      </c>
      <c r="S322" s="400">
        <v>0.2</v>
      </c>
      <c r="T322" s="400">
        <v>0.2</v>
      </c>
      <c r="U322" s="400">
        <v>0.2</v>
      </c>
      <c r="V322" s="366"/>
      <c r="W322" s="366">
        <f t="shared" si="537"/>
        <v>0</v>
      </c>
      <c r="X322" s="404" t="s">
        <v>484</v>
      </c>
      <c r="Y322" s="440"/>
      <c r="Z322" s="441"/>
    </row>
    <row r="323" ht="60" spans="1:26">
      <c r="A323" s="366">
        <v>75</v>
      </c>
      <c r="B323" s="367" t="s">
        <v>595</v>
      </c>
      <c r="C323" s="367" t="s">
        <v>635</v>
      </c>
      <c r="D323" s="367" t="s">
        <v>636</v>
      </c>
      <c r="E323" s="376">
        <f t="shared" ref="E323" si="538">SUM(F323:I323)</f>
        <v>25.28</v>
      </c>
      <c r="F323" s="377">
        <f t="shared" ref="F323" si="539">N323*(1-$S323)</f>
        <v>6.4</v>
      </c>
      <c r="G323" s="377">
        <f t="shared" ref="G323" si="540">O323*(1-$T323)</f>
        <v>9.6</v>
      </c>
      <c r="H323" s="376">
        <f t="shared" ref="H323" si="541">P323*(1-$T323)</f>
        <v>2.88</v>
      </c>
      <c r="I323" s="376">
        <f t="shared" ref="I323" si="542">Q323*(1-$U323)</f>
        <v>6.4</v>
      </c>
      <c r="J323" s="376">
        <f t="shared" ref="J323" si="543">E323/22/8</f>
        <v>0.143636363636364</v>
      </c>
      <c r="K323" s="24" t="s">
        <v>78</v>
      </c>
      <c r="L323" s="384" t="str">
        <f>IF(K323="","",VLOOKUP(K323,'Định nghĩa Loại Chức năng'!$B$4:$C$92,2,FALSE))</f>
        <v>Xử lý nghiệp vụ đơn giản</v>
      </c>
      <c r="M323" s="394" t="s">
        <v>287</v>
      </c>
      <c r="N323" s="395">
        <f>IF(K323="","",VLOOKUP(K323&amp;$N$7,CSDL_CN!$D$4:$E$264,2,FALSE))</f>
        <v>8</v>
      </c>
      <c r="O323" s="395">
        <f>IF(K323="","",VLOOKUP(K323&amp;$O$7,CSDL_CN!$D$4:$E$264,2,FALSE))</f>
        <v>12</v>
      </c>
      <c r="P323" s="395">
        <f t="shared" ref="P323" si="544">IF(M323="Có",O323*30%,0)</f>
        <v>3.6</v>
      </c>
      <c r="Q323" s="395">
        <f>IF(K323="","",VLOOKUP(K323&amp;$Q$7,CSDL_CN!$D$4:$E$264,2,FALSE))</f>
        <v>8</v>
      </c>
      <c r="R323" s="395">
        <f t="array" ref="R323">SUM(IFERROR(N323:Q323,0))</f>
        <v>31.6</v>
      </c>
      <c r="S323" s="400">
        <v>0.2</v>
      </c>
      <c r="T323" s="400">
        <v>0.2</v>
      </c>
      <c r="U323" s="400">
        <v>0.2</v>
      </c>
      <c r="V323" s="366"/>
      <c r="W323" s="366">
        <f t="shared" ref="W323" si="545">IF(X323="OS",E323,0)</f>
        <v>0</v>
      </c>
      <c r="X323" s="404" t="s">
        <v>484</v>
      </c>
      <c r="Y323" s="440"/>
      <c r="Z323" s="441"/>
    </row>
    <row r="324" ht="75" spans="1:26">
      <c r="A324" s="366">
        <v>75</v>
      </c>
      <c r="B324" s="367" t="s">
        <v>595</v>
      </c>
      <c r="C324" s="367" t="s">
        <v>638</v>
      </c>
      <c r="D324" s="367" t="s">
        <v>639</v>
      </c>
      <c r="E324" s="376">
        <f t="shared" ref="E324:E329" si="546">SUM(F324:I324)</f>
        <v>25.28</v>
      </c>
      <c r="F324" s="377">
        <f t="shared" ref="F324:F329" si="547">N324*(1-$S324)</f>
        <v>6.4</v>
      </c>
      <c r="G324" s="377">
        <f t="shared" ref="G324:G329" si="548">O324*(1-$T324)</f>
        <v>9.6</v>
      </c>
      <c r="H324" s="376">
        <f t="shared" ref="H324:H329" si="549">P324*(1-$T324)</f>
        <v>2.88</v>
      </c>
      <c r="I324" s="376">
        <f t="shared" ref="I324:I329" si="550">Q324*(1-$U324)</f>
        <v>6.4</v>
      </c>
      <c r="J324" s="376">
        <f t="shared" ref="J324:J329" si="551">E324/22/8</f>
        <v>0.143636363636364</v>
      </c>
      <c r="K324" s="24" t="s">
        <v>78</v>
      </c>
      <c r="L324" s="384" t="str">
        <f>IF(K324="","",VLOOKUP(K324,'Định nghĩa Loại Chức năng'!$B$4:$C$92,2,FALSE))</f>
        <v>Xử lý nghiệp vụ đơn giản</v>
      </c>
      <c r="M324" s="394" t="s">
        <v>287</v>
      </c>
      <c r="N324" s="395">
        <f>IF(K324="","",VLOOKUP(K324&amp;$N$7,CSDL_CN!$D$4:$E$264,2,FALSE))</f>
        <v>8</v>
      </c>
      <c r="O324" s="395">
        <f>IF(K324="","",VLOOKUP(K324&amp;$O$7,CSDL_CN!$D$4:$E$264,2,FALSE))</f>
        <v>12</v>
      </c>
      <c r="P324" s="395">
        <f t="shared" ref="P324:P329" si="552">IF(M324="Có",O324*30%,0)</f>
        <v>3.6</v>
      </c>
      <c r="Q324" s="395">
        <f>IF(K324="","",VLOOKUP(K324&amp;$Q$7,CSDL_CN!$D$4:$E$264,2,FALSE))</f>
        <v>8</v>
      </c>
      <c r="R324" s="395">
        <f t="array" ref="R324">SUM(IFERROR(N324:Q324,0))</f>
        <v>31.6</v>
      </c>
      <c r="S324" s="400">
        <v>0.2</v>
      </c>
      <c r="T324" s="400">
        <v>0.2</v>
      </c>
      <c r="U324" s="400">
        <v>0.2</v>
      </c>
      <c r="V324" s="366"/>
      <c r="W324" s="366">
        <f t="shared" ref="W324:W329" si="553">IF(X324="OS",E324,0)</f>
        <v>0</v>
      </c>
      <c r="X324" s="404" t="s">
        <v>484</v>
      </c>
      <c r="Y324" s="440"/>
      <c r="Z324" s="441"/>
    </row>
    <row r="325" ht="60" spans="1:26">
      <c r="A325" s="366">
        <v>75</v>
      </c>
      <c r="B325" s="367" t="s">
        <v>595</v>
      </c>
      <c r="C325" s="367" t="s">
        <v>641</v>
      </c>
      <c r="D325" s="367" t="s">
        <v>642</v>
      </c>
      <c r="E325" s="376">
        <f t="shared" si="546"/>
        <v>25.28</v>
      </c>
      <c r="F325" s="377">
        <f t="shared" si="547"/>
        <v>6.4</v>
      </c>
      <c r="G325" s="377">
        <f t="shared" si="548"/>
        <v>9.6</v>
      </c>
      <c r="H325" s="376">
        <f t="shared" si="549"/>
        <v>2.88</v>
      </c>
      <c r="I325" s="376">
        <f t="shared" si="550"/>
        <v>6.4</v>
      </c>
      <c r="J325" s="376">
        <f t="shared" si="551"/>
        <v>0.143636363636364</v>
      </c>
      <c r="K325" s="24" t="s">
        <v>78</v>
      </c>
      <c r="L325" s="384" t="str">
        <f>IF(K325="","",VLOOKUP(K325,'Định nghĩa Loại Chức năng'!$B$4:$C$92,2,FALSE))</f>
        <v>Xử lý nghiệp vụ đơn giản</v>
      </c>
      <c r="M325" s="394" t="s">
        <v>287</v>
      </c>
      <c r="N325" s="395">
        <f>IF(K325="","",VLOOKUP(K325&amp;$N$7,CSDL_CN!$D$4:$E$264,2,FALSE))</f>
        <v>8</v>
      </c>
      <c r="O325" s="395">
        <f>IF(K325="","",VLOOKUP(K325&amp;$O$7,CSDL_CN!$D$4:$E$264,2,FALSE))</f>
        <v>12</v>
      </c>
      <c r="P325" s="395">
        <f t="shared" si="552"/>
        <v>3.6</v>
      </c>
      <c r="Q325" s="395">
        <f>IF(K325="","",VLOOKUP(K325&amp;$Q$7,CSDL_CN!$D$4:$E$264,2,FALSE))</f>
        <v>8</v>
      </c>
      <c r="R325" s="395">
        <f t="array" ref="R325">SUM(IFERROR(N325:Q325,0))</f>
        <v>31.6</v>
      </c>
      <c r="S325" s="400">
        <v>0.2</v>
      </c>
      <c r="T325" s="400">
        <v>0.2</v>
      </c>
      <c r="U325" s="400">
        <v>0.2</v>
      </c>
      <c r="V325" s="366"/>
      <c r="W325" s="366">
        <f t="shared" si="553"/>
        <v>0</v>
      </c>
      <c r="X325" s="404" t="s">
        <v>484</v>
      </c>
      <c r="Y325" s="440"/>
      <c r="Z325" s="441"/>
    </row>
    <row r="326" ht="60" spans="1:26">
      <c r="A326" s="366">
        <v>75</v>
      </c>
      <c r="B326" s="367" t="s">
        <v>595</v>
      </c>
      <c r="C326" s="367" t="s">
        <v>644</v>
      </c>
      <c r="D326" s="367" t="s">
        <v>645</v>
      </c>
      <c r="E326" s="376">
        <f t="shared" si="546"/>
        <v>25.28</v>
      </c>
      <c r="F326" s="377">
        <f t="shared" si="547"/>
        <v>6.4</v>
      </c>
      <c r="G326" s="377">
        <f t="shared" si="548"/>
        <v>9.6</v>
      </c>
      <c r="H326" s="376">
        <f t="shared" si="549"/>
        <v>2.88</v>
      </c>
      <c r="I326" s="376">
        <f t="shared" si="550"/>
        <v>6.4</v>
      </c>
      <c r="J326" s="376">
        <f t="shared" si="551"/>
        <v>0.143636363636364</v>
      </c>
      <c r="K326" s="24" t="s">
        <v>78</v>
      </c>
      <c r="L326" s="384" t="str">
        <f>IF(K326="","",VLOOKUP(K326,'Định nghĩa Loại Chức năng'!$B$4:$C$92,2,FALSE))</f>
        <v>Xử lý nghiệp vụ đơn giản</v>
      </c>
      <c r="M326" s="394" t="s">
        <v>287</v>
      </c>
      <c r="N326" s="395">
        <f>IF(K326="","",VLOOKUP(K326&amp;$N$7,CSDL_CN!$D$4:$E$264,2,FALSE))</f>
        <v>8</v>
      </c>
      <c r="O326" s="395">
        <f>IF(K326="","",VLOOKUP(K326&amp;$O$7,CSDL_CN!$D$4:$E$264,2,FALSE))</f>
        <v>12</v>
      </c>
      <c r="P326" s="395">
        <f t="shared" si="552"/>
        <v>3.6</v>
      </c>
      <c r="Q326" s="395">
        <f>IF(K326="","",VLOOKUP(K326&amp;$Q$7,CSDL_CN!$D$4:$E$264,2,FALSE))</f>
        <v>8</v>
      </c>
      <c r="R326" s="395">
        <f t="array" ref="R326">SUM(IFERROR(N326:Q326,0))</f>
        <v>31.6</v>
      </c>
      <c r="S326" s="400">
        <v>0.2</v>
      </c>
      <c r="T326" s="400">
        <v>0.2</v>
      </c>
      <c r="U326" s="400">
        <v>0.2</v>
      </c>
      <c r="V326" s="366"/>
      <c r="W326" s="366">
        <f t="shared" si="553"/>
        <v>0</v>
      </c>
      <c r="X326" s="404" t="s">
        <v>484</v>
      </c>
      <c r="Y326" s="440"/>
      <c r="Z326" s="441"/>
    </row>
    <row r="327" ht="75" spans="1:26">
      <c r="A327" s="366">
        <v>75</v>
      </c>
      <c r="B327" s="367" t="s">
        <v>595</v>
      </c>
      <c r="C327" s="367" t="s">
        <v>647</v>
      </c>
      <c r="D327" s="367" t="s">
        <v>648</v>
      </c>
      <c r="E327" s="376">
        <f t="shared" si="546"/>
        <v>25.28</v>
      </c>
      <c r="F327" s="377">
        <f t="shared" si="547"/>
        <v>6.4</v>
      </c>
      <c r="G327" s="377">
        <f t="shared" si="548"/>
        <v>9.6</v>
      </c>
      <c r="H327" s="376">
        <f t="shared" si="549"/>
        <v>2.88</v>
      </c>
      <c r="I327" s="376">
        <f t="shared" si="550"/>
        <v>6.4</v>
      </c>
      <c r="J327" s="376">
        <f t="shared" si="551"/>
        <v>0.143636363636364</v>
      </c>
      <c r="K327" s="24" t="s">
        <v>78</v>
      </c>
      <c r="L327" s="384" t="str">
        <f>IF(K327="","",VLOOKUP(K327,'Định nghĩa Loại Chức năng'!$B$4:$C$92,2,FALSE))</f>
        <v>Xử lý nghiệp vụ đơn giản</v>
      </c>
      <c r="M327" s="394" t="s">
        <v>287</v>
      </c>
      <c r="N327" s="395">
        <f>IF(K327="","",VLOOKUP(K327&amp;$N$7,CSDL_CN!$D$4:$E$264,2,FALSE))</f>
        <v>8</v>
      </c>
      <c r="O327" s="395">
        <f>IF(K327="","",VLOOKUP(K327&amp;$O$7,CSDL_CN!$D$4:$E$264,2,FALSE))</f>
        <v>12</v>
      </c>
      <c r="P327" s="395">
        <f t="shared" si="552"/>
        <v>3.6</v>
      </c>
      <c r="Q327" s="395">
        <f>IF(K327="","",VLOOKUP(K327&amp;$Q$7,CSDL_CN!$D$4:$E$264,2,FALSE))</f>
        <v>8</v>
      </c>
      <c r="R327" s="395">
        <f t="array" ref="R327">SUM(IFERROR(N327:Q327,0))</f>
        <v>31.6</v>
      </c>
      <c r="S327" s="400">
        <v>0.2</v>
      </c>
      <c r="T327" s="400">
        <v>0.2</v>
      </c>
      <c r="U327" s="400">
        <v>0.2</v>
      </c>
      <c r="V327" s="366"/>
      <c r="W327" s="366">
        <f t="shared" si="553"/>
        <v>0</v>
      </c>
      <c r="X327" s="404" t="s">
        <v>484</v>
      </c>
      <c r="Y327" s="440"/>
      <c r="Z327" s="441"/>
    </row>
    <row r="328" ht="75" spans="1:26">
      <c r="A328" s="366">
        <v>75</v>
      </c>
      <c r="B328" s="367" t="s">
        <v>595</v>
      </c>
      <c r="C328" s="367" t="s">
        <v>650</v>
      </c>
      <c r="D328" s="367" t="s">
        <v>651</v>
      </c>
      <c r="E328" s="376">
        <f t="shared" si="546"/>
        <v>25.28</v>
      </c>
      <c r="F328" s="377">
        <f t="shared" si="547"/>
        <v>6.4</v>
      </c>
      <c r="G328" s="377">
        <f t="shared" si="548"/>
        <v>9.6</v>
      </c>
      <c r="H328" s="376">
        <f t="shared" si="549"/>
        <v>2.88</v>
      </c>
      <c r="I328" s="376">
        <f t="shared" si="550"/>
        <v>6.4</v>
      </c>
      <c r="J328" s="376">
        <f t="shared" si="551"/>
        <v>0.143636363636364</v>
      </c>
      <c r="K328" s="24" t="s">
        <v>78</v>
      </c>
      <c r="L328" s="384" t="str">
        <f>IF(K328="","",VLOOKUP(K328,'Định nghĩa Loại Chức năng'!$B$4:$C$92,2,FALSE))</f>
        <v>Xử lý nghiệp vụ đơn giản</v>
      </c>
      <c r="M328" s="394" t="s">
        <v>287</v>
      </c>
      <c r="N328" s="395">
        <f>IF(K328="","",VLOOKUP(K328&amp;$N$7,CSDL_CN!$D$4:$E$264,2,FALSE))</f>
        <v>8</v>
      </c>
      <c r="O328" s="395">
        <f>IF(K328="","",VLOOKUP(K328&amp;$O$7,CSDL_CN!$D$4:$E$264,2,FALSE))</f>
        <v>12</v>
      </c>
      <c r="P328" s="395">
        <f t="shared" si="552"/>
        <v>3.6</v>
      </c>
      <c r="Q328" s="395">
        <f>IF(K328="","",VLOOKUP(K328&amp;$Q$7,CSDL_CN!$D$4:$E$264,2,FALSE))</f>
        <v>8</v>
      </c>
      <c r="R328" s="395">
        <f t="array" ref="R328">SUM(IFERROR(N328:Q328,0))</f>
        <v>31.6</v>
      </c>
      <c r="S328" s="400">
        <v>0.2</v>
      </c>
      <c r="T328" s="400">
        <v>0.2</v>
      </c>
      <c r="U328" s="400">
        <v>0.2</v>
      </c>
      <c r="V328" s="366"/>
      <c r="W328" s="366">
        <f t="shared" si="553"/>
        <v>0</v>
      </c>
      <c r="X328" s="404" t="s">
        <v>484</v>
      </c>
      <c r="Y328" s="440"/>
      <c r="Z328" s="441"/>
    </row>
    <row r="329" ht="90" spans="1:26">
      <c r="A329" s="366">
        <v>75</v>
      </c>
      <c r="B329" s="367" t="s">
        <v>595</v>
      </c>
      <c r="C329" s="367" t="s">
        <v>653</v>
      </c>
      <c r="D329" s="367" t="s">
        <v>654</v>
      </c>
      <c r="E329" s="376">
        <f t="shared" si="546"/>
        <v>25.28</v>
      </c>
      <c r="F329" s="377">
        <f t="shared" si="547"/>
        <v>6.4</v>
      </c>
      <c r="G329" s="377">
        <f t="shared" si="548"/>
        <v>9.6</v>
      </c>
      <c r="H329" s="376">
        <f t="shared" si="549"/>
        <v>2.88</v>
      </c>
      <c r="I329" s="376">
        <f t="shared" si="550"/>
        <v>6.4</v>
      </c>
      <c r="J329" s="376">
        <f t="shared" si="551"/>
        <v>0.143636363636364</v>
      </c>
      <c r="K329" s="24" t="s">
        <v>78</v>
      </c>
      <c r="L329" s="384" t="str">
        <f>IF(K329="","",VLOOKUP(K329,'Định nghĩa Loại Chức năng'!$B$4:$C$92,2,FALSE))</f>
        <v>Xử lý nghiệp vụ đơn giản</v>
      </c>
      <c r="M329" s="394" t="s">
        <v>287</v>
      </c>
      <c r="N329" s="395">
        <f>IF(K329="","",VLOOKUP(K329&amp;$N$7,CSDL_CN!$D$4:$E$264,2,FALSE))</f>
        <v>8</v>
      </c>
      <c r="O329" s="395">
        <f>IF(K329="","",VLOOKUP(K329&amp;$O$7,CSDL_CN!$D$4:$E$264,2,FALSE))</f>
        <v>12</v>
      </c>
      <c r="P329" s="395">
        <f t="shared" si="552"/>
        <v>3.6</v>
      </c>
      <c r="Q329" s="395">
        <f>IF(K329="","",VLOOKUP(K329&amp;$Q$7,CSDL_CN!$D$4:$E$264,2,FALSE))</f>
        <v>8</v>
      </c>
      <c r="R329" s="395">
        <f t="array" ref="R329">SUM(IFERROR(N329:Q329,0))</f>
        <v>31.6</v>
      </c>
      <c r="S329" s="400">
        <v>0.2</v>
      </c>
      <c r="T329" s="400">
        <v>0.2</v>
      </c>
      <c r="U329" s="400">
        <v>0.2</v>
      </c>
      <c r="V329" s="366"/>
      <c r="W329" s="366">
        <f t="shared" si="553"/>
        <v>0</v>
      </c>
      <c r="X329" s="404" t="s">
        <v>484</v>
      </c>
      <c r="Y329" s="440"/>
      <c r="Z329" s="441"/>
    </row>
    <row r="330" ht="75" spans="1:26">
      <c r="A330" s="366">
        <v>75</v>
      </c>
      <c r="B330" s="367" t="s">
        <v>595</v>
      </c>
      <c r="C330" s="367" t="s">
        <v>656</v>
      </c>
      <c r="D330" s="367" t="s">
        <v>657</v>
      </c>
      <c r="E330" s="376">
        <f t="shared" ref="E330:E338" si="554">SUM(F330:I330)</f>
        <v>25.28</v>
      </c>
      <c r="F330" s="377">
        <f t="shared" ref="F330:F338" si="555">N330*(1-$S330)</f>
        <v>6.4</v>
      </c>
      <c r="G330" s="377">
        <f t="shared" ref="G330:G338" si="556">O330*(1-$T330)</f>
        <v>9.6</v>
      </c>
      <c r="H330" s="376">
        <f t="shared" ref="H330:H338" si="557">P330*(1-$T330)</f>
        <v>2.88</v>
      </c>
      <c r="I330" s="376">
        <f t="shared" ref="I330:I338" si="558">Q330*(1-$U330)</f>
        <v>6.4</v>
      </c>
      <c r="J330" s="376">
        <f t="shared" ref="J330:J338" si="559">E330/22/8</f>
        <v>0.143636363636364</v>
      </c>
      <c r="K330" s="24" t="s">
        <v>78</v>
      </c>
      <c r="L330" s="384" t="str">
        <f>IF(K330="","",VLOOKUP(K330,'Định nghĩa Loại Chức năng'!$B$4:$C$92,2,FALSE))</f>
        <v>Xử lý nghiệp vụ đơn giản</v>
      </c>
      <c r="M330" s="394" t="s">
        <v>287</v>
      </c>
      <c r="N330" s="395">
        <f>IF(K330="","",VLOOKUP(K330&amp;$N$7,CSDL_CN!$D$4:$E$264,2,FALSE))</f>
        <v>8</v>
      </c>
      <c r="O330" s="395">
        <f>IF(K330="","",VLOOKUP(K330&amp;$O$7,CSDL_CN!$D$4:$E$264,2,FALSE))</f>
        <v>12</v>
      </c>
      <c r="P330" s="395">
        <f t="shared" ref="P330:P338" si="560">IF(M330="Có",O330*30%,0)</f>
        <v>3.6</v>
      </c>
      <c r="Q330" s="395">
        <f>IF(K330="","",VLOOKUP(K330&amp;$Q$7,CSDL_CN!$D$4:$E$264,2,FALSE))</f>
        <v>8</v>
      </c>
      <c r="R330" s="395">
        <f t="array" ref="R330">SUM(IFERROR(N330:Q330,0))</f>
        <v>31.6</v>
      </c>
      <c r="S330" s="400">
        <v>0.2</v>
      </c>
      <c r="T330" s="400">
        <v>0.2</v>
      </c>
      <c r="U330" s="400">
        <v>0.2</v>
      </c>
      <c r="V330" s="366"/>
      <c r="W330" s="366">
        <f t="shared" ref="W330:W338" si="561">IF(X330="OS",E330,0)</f>
        <v>0</v>
      </c>
      <c r="X330" s="404" t="s">
        <v>484</v>
      </c>
      <c r="Y330" s="440"/>
      <c r="Z330" s="441"/>
    </row>
    <row r="331" ht="60" spans="1:26">
      <c r="A331" s="366">
        <v>75</v>
      </c>
      <c r="B331" s="367" t="s">
        <v>595</v>
      </c>
      <c r="C331" s="367" t="s">
        <v>659</v>
      </c>
      <c r="D331" s="367" t="s">
        <v>660</v>
      </c>
      <c r="E331" s="376">
        <f t="shared" si="554"/>
        <v>25.28</v>
      </c>
      <c r="F331" s="377">
        <f t="shared" si="555"/>
        <v>6.4</v>
      </c>
      <c r="G331" s="377">
        <f t="shared" si="556"/>
        <v>9.6</v>
      </c>
      <c r="H331" s="376">
        <f t="shared" si="557"/>
        <v>2.88</v>
      </c>
      <c r="I331" s="376">
        <f t="shared" si="558"/>
        <v>6.4</v>
      </c>
      <c r="J331" s="376">
        <f t="shared" si="559"/>
        <v>0.143636363636364</v>
      </c>
      <c r="K331" s="24" t="s">
        <v>78</v>
      </c>
      <c r="L331" s="384" t="str">
        <f>IF(K331="","",VLOOKUP(K331,'Định nghĩa Loại Chức năng'!$B$4:$C$92,2,FALSE))</f>
        <v>Xử lý nghiệp vụ đơn giản</v>
      </c>
      <c r="M331" s="394" t="s">
        <v>287</v>
      </c>
      <c r="N331" s="395">
        <f>IF(K331="","",VLOOKUP(K331&amp;$N$7,CSDL_CN!$D$4:$E$264,2,FALSE))</f>
        <v>8</v>
      </c>
      <c r="O331" s="395">
        <f>IF(K331="","",VLOOKUP(K331&amp;$O$7,CSDL_CN!$D$4:$E$264,2,FALSE))</f>
        <v>12</v>
      </c>
      <c r="P331" s="395">
        <f t="shared" si="560"/>
        <v>3.6</v>
      </c>
      <c r="Q331" s="395">
        <f>IF(K331="","",VLOOKUP(K331&amp;$Q$7,CSDL_CN!$D$4:$E$264,2,FALSE))</f>
        <v>8</v>
      </c>
      <c r="R331" s="395">
        <f t="array" ref="R331">SUM(IFERROR(N331:Q331,0))</f>
        <v>31.6</v>
      </c>
      <c r="S331" s="400">
        <v>0.2</v>
      </c>
      <c r="T331" s="400">
        <v>0.2</v>
      </c>
      <c r="U331" s="400">
        <v>0.2</v>
      </c>
      <c r="V331" s="366"/>
      <c r="W331" s="366">
        <f t="shared" si="561"/>
        <v>0</v>
      </c>
      <c r="X331" s="404" t="s">
        <v>484</v>
      </c>
      <c r="Y331" s="440"/>
      <c r="Z331" s="441"/>
    </row>
    <row r="332" ht="75" spans="1:26">
      <c r="A332" s="366">
        <v>75</v>
      </c>
      <c r="B332" s="367" t="s">
        <v>595</v>
      </c>
      <c r="C332" s="367" t="s">
        <v>662</v>
      </c>
      <c r="D332" s="367" t="s">
        <v>663</v>
      </c>
      <c r="E332" s="376">
        <f t="shared" si="554"/>
        <v>25.28</v>
      </c>
      <c r="F332" s="377">
        <f t="shared" si="555"/>
        <v>6.4</v>
      </c>
      <c r="G332" s="377">
        <f t="shared" si="556"/>
        <v>9.6</v>
      </c>
      <c r="H332" s="376">
        <f t="shared" si="557"/>
        <v>2.88</v>
      </c>
      <c r="I332" s="376">
        <f t="shared" si="558"/>
        <v>6.4</v>
      </c>
      <c r="J332" s="376">
        <f t="shared" si="559"/>
        <v>0.143636363636364</v>
      </c>
      <c r="K332" s="24" t="s">
        <v>78</v>
      </c>
      <c r="L332" s="384" t="str">
        <f>IF(K332="","",VLOOKUP(K332,'Định nghĩa Loại Chức năng'!$B$4:$C$92,2,FALSE))</f>
        <v>Xử lý nghiệp vụ đơn giản</v>
      </c>
      <c r="M332" s="394" t="s">
        <v>287</v>
      </c>
      <c r="N332" s="395">
        <f>IF(K332="","",VLOOKUP(K332&amp;$N$7,CSDL_CN!$D$4:$E$264,2,FALSE))</f>
        <v>8</v>
      </c>
      <c r="O332" s="395">
        <f>IF(K332="","",VLOOKUP(K332&amp;$O$7,CSDL_CN!$D$4:$E$264,2,FALSE))</f>
        <v>12</v>
      </c>
      <c r="P332" s="395">
        <f t="shared" si="560"/>
        <v>3.6</v>
      </c>
      <c r="Q332" s="395">
        <f>IF(K332="","",VLOOKUP(K332&amp;$Q$7,CSDL_CN!$D$4:$E$264,2,FALSE))</f>
        <v>8</v>
      </c>
      <c r="R332" s="395">
        <f t="array" ref="R332">SUM(IFERROR(N332:Q332,0))</f>
        <v>31.6</v>
      </c>
      <c r="S332" s="400">
        <v>0.2</v>
      </c>
      <c r="T332" s="400">
        <v>0.2</v>
      </c>
      <c r="U332" s="400">
        <v>0.2</v>
      </c>
      <c r="V332" s="366"/>
      <c r="W332" s="366">
        <f t="shared" si="561"/>
        <v>0</v>
      </c>
      <c r="X332" s="404" t="s">
        <v>484</v>
      </c>
      <c r="Y332" s="440"/>
      <c r="Z332" s="441"/>
    </row>
    <row r="333" ht="75" spans="1:26">
      <c r="A333" s="366">
        <v>75</v>
      </c>
      <c r="B333" s="367" t="s">
        <v>595</v>
      </c>
      <c r="C333" s="367" t="s">
        <v>665</v>
      </c>
      <c r="D333" s="367" t="s">
        <v>666</v>
      </c>
      <c r="E333" s="376">
        <f t="shared" si="554"/>
        <v>25.28</v>
      </c>
      <c r="F333" s="377">
        <f t="shared" si="555"/>
        <v>6.4</v>
      </c>
      <c r="G333" s="377">
        <f t="shared" si="556"/>
        <v>9.6</v>
      </c>
      <c r="H333" s="376">
        <f t="shared" si="557"/>
        <v>2.88</v>
      </c>
      <c r="I333" s="376">
        <f t="shared" si="558"/>
        <v>6.4</v>
      </c>
      <c r="J333" s="376">
        <f t="shared" si="559"/>
        <v>0.143636363636364</v>
      </c>
      <c r="K333" s="24" t="s">
        <v>78</v>
      </c>
      <c r="L333" s="384" t="str">
        <f>IF(K333="","",VLOOKUP(K333,'Định nghĩa Loại Chức năng'!$B$4:$C$92,2,FALSE))</f>
        <v>Xử lý nghiệp vụ đơn giản</v>
      </c>
      <c r="M333" s="394" t="s">
        <v>287</v>
      </c>
      <c r="N333" s="395">
        <f>IF(K333="","",VLOOKUP(K333&amp;$N$7,CSDL_CN!$D$4:$E$264,2,FALSE))</f>
        <v>8</v>
      </c>
      <c r="O333" s="395">
        <f>IF(K333="","",VLOOKUP(K333&amp;$O$7,CSDL_CN!$D$4:$E$264,2,FALSE))</f>
        <v>12</v>
      </c>
      <c r="P333" s="395">
        <f t="shared" si="560"/>
        <v>3.6</v>
      </c>
      <c r="Q333" s="395">
        <f>IF(K333="","",VLOOKUP(K333&amp;$Q$7,CSDL_CN!$D$4:$E$264,2,FALSE))</f>
        <v>8</v>
      </c>
      <c r="R333" s="395">
        <f t="array" ref="R333">SUM(IFERROR(N333:Q333,0))</f>
        <v>31.6</v>
      </c>
      <c r="S333" s="400">
        <v>0.2</v>
      </c>
      <c r="T333" s="400">
        <v>0.2</v>
      </c>
      <c r="U333" s="400">
        <v>0.2</v>
      </c>
      <c r="V333" s="366"/>
      <c r="W333" s="366">
        <f t="shared" si="561"/>
        <v>0</v>
      </c>
      <c r="X333" s="404" t="s">
        <v>484</v>
      </c>
      <c r="Y333" s="440"/>
      <c r="Z333" s="441"/>
    </row>
    <row r="334" ht="75" spans="1:26">
      <c r="A334" s="366">
        <v>75</v>
      </c>
      <c r="B334" s="367" t="s">
        <v>595</v>
      </c>
      <c r="C334" s="367" t="s">
        <v>668</v>
      </c>
      <c r="D334" s="367" t="s">
        <v>669</v>
      </c>
      <c r="E334" s="376">
        <f t="shared" si="554"/>
        <v>25.28</v>
      </c>
      <c r="F334" s="377">
        <f t="shared" si="555"/>
        <v>6.4</v>
      </c>
      <c r="G334" s="377">
        <f t="shared" si="556"/>
        <v>9.6</v>
      </c>
      <c r="H334" s="376">
        <f t="shared" si="557"/>
        <v>2.88</v>
      </c>
      <c r="I334" s="376">
        <f t="shared" si="558"/>
        <v>6.4</v>
      </c>
      <c r="J334" s="376">
        <f t="shared" si="559"/>
        <v>0.143636363636364</v>
      </c>
      <c r="K334" s="24" t="s">
        <v>78</v>
      </c>
      <c r="L334" s="384" t="str">
        <f>IF(K334="","",VLOOKUP(K334,'Định nghĩa Loại Chức năng'!$B$4:$C$92,2,FALSE))</f>
        <v>Xử lý nghiệp vụ đơn giản</v>
      </c>
      <c r="M334" s="394" t="s">
        <v>287</v>
      </c>
      <c r="N334" s="395">
        <f>IF(K334="","",VLOOKUP(K334&amp;$N$7,CSDL_CN!$D$4:$E$264,2,FALSE))</f>
        <v>8</v>
      </c>
      <c r="O334" s="395">
        <f>IF(K334="","",VLOOKUP(K334&amp;$O$7,CSDL_CN!$D$4:$E$264,2,FALSE))</f>
        <v>12</v>
      </c>
      <c r="P334" s="395">
        <f t="shared" si="560"/>
        <v>3.6</v>
      </c>
      <c r="Q334" s="395">
        <f>IF(K334="","",VLOOKUP(K334&amp;$Q$7,CSDL_CN!$D$4:$E$264,2,FALSE))</f>
        <v>8</v>
      </c>
      <c r="R334" s="395">
        <f t="array" ref="R334">SUM(IFERROR(N334:Q334,0))</f>
        <v>31.6</v>
      </c>
      <c r="S334" s="400">
        <v>0.2</v>
      </c>
      <c r="T334" s="400">
        <v>0.2</v>
      </c>
      <c r="U334" s="400">
        <v>0.2</v>
      </c>
      <c r="V334" s="366"/>
      <c r="W334" s="366">
        <f t="shared" si="561"/>
        <v>0</v>
      </c>
      <c r="X334" s="404" t="s">
        <v>484</v>
      </c>
      <c r="Y334" s="440"/>
      <c r="Z334" s="441"/>
    </row>
    <row r="335" ht="60" spans="1:26">
      <c r="A335" s="366">
        <v>75</v>
      </c>
      <c r="B335" s="367" t="s">
        <v>595</v>
      </c>
      <c r="C335" s="367" t="s">
        <v>671</v>
      </c>
      <c r="D335" s="367" t="s">
        <v>672</v>
      </c>
      <c r="E335" s="376">
        <f t="shared" si="554"/>
        <v>25.28</v>
      </c>
      <c r="F335" s="377">
        <f t="shared" si="555"/>
        <v>6.4</v>
      </c>
      <c r="G335" s="377">
        <f t="shared" si="556"/>
        <v>9.6</v>
      </c>
      <c r="H335" s="376">
        <f t="shared" si="557"/>
        <v>2.88</v>
      </c>
      <c r="I335" s="376">
        <f t="shared" si="558"/>
        <v>6.4</v>
      </c>
      <c r="J335" s="376">
        <f t="shared" si="559"/>
        <v>0.143636363636364</v>
      </c>
      <c r="K335" s="24" t="s">
        <v>78</v>
      </c>
      <c r="L335" s="384" t="str">
        <f>IF(K335="","",VLOOKUP(K335,'Định nghĩa Loại Chức năng'!$B$4:$C$92,2,FALSE))</f>
        <v>Xử lý nghiệp vụ đơn giản</v>
      </c>
      <c r="M335" s="394" t="s">
        <v>287</v>
      </c>
      <c r="N335" s="395">
        <f>IF(K335="","",VLOOKUP(K335&amp;$N$7,CSDL_CN!$D$4:$E$264,2,FALSE))</f>
        <v>8</v>
      </c>
      <c r="O335" s="395">
        <f>IF(K335="","",VLOOKUP(K335&amp;$O$7,CSDL_CN!$D$4:$E$264,2,FALSE))</f>
        <v>12</v>
      </c>
      <c r="P335" s="395">
        <f t="shared" si="560"/>
        <v>3.6</v>
      </c>
      <c r="Q335" s="395">
        <f>IF(K335="","",VLOOKUP(K335&amp;$Q$7,CSDL_CN!$D$4:$E$264,2,FALSE))</f>
        <v>8</v>
      </c>
      <c r="R335" s="395">
        <f t="array" ref="R335">SUM(IFERROR(N335:Q335,0))</f>
        <v>31.6</v>
      </c>
      <c r="S335" s="400">
        <v>0.2</v>
      </c>
      <c r="T335" s="400">
        <v>0.2</v>
      </c>
      <c r="U335" s="400">
        <v>0.2</v>
      </c>
      <c r="V335" s="366"/>
      <c r="W335" s="366">
        <f t="shared" si="561"/>
        <v>0</v>
      </c>
      <c r="X335" s="404" t="s">
        <v>484</v>
      </c>
      <c r="Y335" s="440"/>
      <c r="Z335" s="441"/>
    </row>
    <row r="336" ht="60" spans="1:26">
      <c r="A336" s="366">
        <v>75</v>
      </c>
      <c r="B336" s="367" t="s">
        <v>595</v>
      </c>
      <c r="C336" s="367" t="s">
        <v>675</v>
      </c>
      <c r="D336" s="367" t="s">
        <v>676</v>
      </c>
      <c r="E336" s="376">
        <f t="shared" si="554"/>
        <v>25.28</v>
      </c>
      <c r="F336" s="377">
        <f t="shared" si="555"/>
        <v>6.4</v>
      </c>
      <c r="G336" s="377">
        <f t="shared" si="556"/>
        <v>9.6</v>
      </c>
      <c r="H336" s="376">
        <f t="shared" si="557"/>
        <v>2.88</v>
      </c>
      <c r="I336" s="376">
        <f t="shared" si="558"/>
        <v>6.4</v>
      </c>
      <c r="J336" s="376">
        <f t="shared" si="559"/>
        <v>0.143636363636364</v>
      </c>
      <c r="K336" s="24" t="s">
        <v>78</v>
      </c>
      <c r="L336" s="384" t="str">
        <f>IF(K336="","",VLOOKUP(K336,'Định nghĩa Loại Chức năng'!$B$4:$C$92,2,FALSE))</f>
        <v>Xử lý nghiệp vụ đơn giản</v>
      </c>
      <c r="M336" s="394" t="s">
        <v>287</v>
      </c>
      <c r="N336" s="395">
        <f>IF(K336="","",VLOOKUP(K336&amp;$N$7,CSDL_CN!$D$4:$E$264,2,FALSE))</f>
        <v>8</v>
      </c>
      <c r="O336" s="395">
        <f>IF(K336="","",VLOOKUP(K336&amp;$O$7,CSDL_CN!$D$4:$E$264,2,FALSE))</f>
        <v>12</v>
      </c>
      <c r="P336" s="395">
        <f t="shared" si="560"/>
        <v>3.6</v>
      </c>
      <c r="Q336" s="395">
        <f>IF(K336="","",VLOOKUP(K336&amp;$Q$7,CSDL_CN!$D$4:$E$264,2,FALSE))</f>
        <v>8</v>
      </c>
      <c r="R336" s="395">
        <f t="array" ref="R336">SUM(IFERROR(N336:Q336,0))</f>
        <v>31.6</v>
      </c>
      <c r="S336" s="400">
        <v>0.2</v>
      </c>
      <c r="T336" s="400">
        <v>0.2</v>
      </c>
      <c r="U336" s="400">
        <v>0.2</v>
      </c>
      <c r="V336" s="366"/>
      <c r="W336" s="366">
        <f t="shared" si="561"/>
        <v>0</v>
      </c>
      <c r="X336" s="404" t="s">
        <v>484</v>
      </c>
      <c r="Y336" s="440"/>
      <c r="Z336" s="441"/>
    </row>
    <row r="337" ht="60" spans="1:26">
      <c r="A337" s="366">
        <v>75</v>
      </c>
      <c r="B337" s="367" t="s">
        <v>595</v>
      </c>
      <c r="C337" s="367" t="s">
        <v>679</v>
      </c>
      <c r="D337" s="367" t="s">
        <v>680</v>
      </c>
      <c r="E337" s="376">
        <f t="shared" si="554"/>
        <v>25.28</v>
      </c>
      <c r="F337" s="377">
        <f t="shared" si="555"/>
        <v>6.4</v>
      </c>
      <c r="G337" s="377">
        <f t="shared" si="556"/>
        <v>9.6</v>
      </c>
      <c r="H337" s="376">
        <f t="shared" si="557"/>
        <v>2.88</v>
      </c>
      <c r="I337" s="376">
        <f t="shared" si="558"/>
        <v>6.4</v>
      </c>
      <c r="J337" s="376">
        <f t="shared" si="559"/>
        <v>0.143636363636364</v>
      </c>
      <c r="K337" s="24" t="s">
        <v>78</v>
      </c>
      <c r="L337" s="384" t="str">
        <f>IF(K337="","",VLOOKUP(K337,'Định nghĩa Loại Chức năng'!$B$4:$C$92,2,FALSE))</f>
        <v>Xử lý nghiệp vụ đơn giản</v>
      </c>
      <c r="M337" s="394" t="s">
        <v>287</v>
      </c>
      <c r="N337" s="395">
        <f>IF(K337="","",VLOOKUP(K337&amp;$N$7,CSDL_CN!$D$4:$E$264,2,FALSE))</f>
        <v>8</v>
      </c>
      <c r="O337" s="395">
        <f>IF(K337="","",VLOOKUP(K337&amp;$O$7,CSDL_CN!$D$4:$E$264,2,FALSE))</f>
        <v>12</v>
      </c>
      <c r="P337" s="395">
        <f t="shared" si="560"/>
        <v>3.6</v>
      </c>
      <c r="Q337" s="395">
        <f>IF(K337="","",VLOOKUP(K337&amp;$Q$7,CSDL_CN!$D$4:$E$264,2,FALSE))</f>
        <v>8</v>
      </c>
      <c r="R337" s="395">
        <f t="array" ref="R337">SUM(IFERROR(N337:Q337,0))</f>
        <v>31.6</v>
      </c>
      <c r="S337" s="400">
        <v>0.2</v>
      </c>
      <c r="T337" s="400">
        <v>0.2</v>
      </c>
      <c r="U337" s="400">
        <v>0.2</v>
      </c>
      <c r="V337" s="366"/>
      <c r="W337" s="366">
        <f t="shared" si="561"/>
        <v>0</v>
      </c>
      <c r="X337" s="404" t="s">
        <v>484</v>
      </c>
      <c r="Y337" s="440"/>
      <c r="Z337" s="441"/>
    </row>
    <row r="338" ht="60" spans="1:26">
      <c r="A338" s="366">
        <v>75</v>
      </c>
      <c r="B338" s="367" t="s">
        <v>595</v>
      </c>
      <c r="C338" s="367" t="s">
        <v>683</v>
      </c>
      <c r="D338" s="367" t="s">
        <v>684</v>
      </c>
      <c r="E338" s="376">
        <f t="shared" si="554"/>
        <v>25.28</v>
      </c>
      <c r="F338" s="377">
        <f t="shared" si="555"/>
        <v>6.4</v>
      </c>
      <c r="G338" s="377">
        <f t="shared" si="556"/>
        <v>9.6</v>
      </c>
      <c r="H338" s="376">
        <f t="shared" si="557"/>
        <v>2.88</v>
      </c>
      <c r="I338" s="376">
        <f t="shared" si="558"/>
        <v>6.4</v>
      </c>
      <c r="J338" s="376">
        <f t="shared" si="559"/>
        <v>0.143636363636364</v>
      </c>
      <c r="K338" s="24" t="s">
        <v>78</v>
      </c>
      <c r="L338" s="384" t="str">
        <f>IF(K338="","",VLOOKUP(K338,'Định nghĩa Loại Chức năng'!$B$4:$C$92,2,FALSE))</f>
        <v>Xử lý nghiệp vụ đơn giản</v>
      </c>
      <c r="M338" s="394" t="s">
        <v>287</v>
      </c>
      <c r="N338" s="395">
        <f>IF(K338="","",VLOOKUP(K338&amp;$N$7,CSDL_CN!$D$4:$E$264,2,FALSE))</f>
        <v>8</v>
      </c>
      <c r="O338" s="395">
        <f>IF(K338="","",VLOOKUP(K338&amp;$O$7,CSDL_CN!$D$4:$E$264,2,FALSE))</f>
        <v>12</v>
      </c>
      <c r="P338" s="395">
        <f t="shared" si="560"/>
        <v>3.6</v>
      </c>
      <c r="Q338" s="395">
        <f>IF(K338="","",VLOOKUP(K338&amp;$Q$7,CSDL_CN!$D$4:$E$264,2,FALSE))</f>
        <v>8</v>
      </c>
      <c r="R338" s="395">
        <f t="array" ref="R338">SUM(IFERROR(N338:Q338,0))</f>
        <v>31.6</v>
      </c>
      <c r="S338" s="400">
        <v>0.2</v>
      </c>
      <c r="T338" s="400">
        <v>0.2</v>
      </c>
      <c r="U338" s="400">
        <v>0.2</v>
      </c>
      <c r="V338" s="366"/>
      <c r="W338" s="366">
        <f t="shared" si="561"/>
        <v>0</v>
      </c>
      <c r="X338" s="404" t="s">
        <v>484</v>
      </c>
      <c r="Y338" s="440"/>
      <c r="Z338" s="441"/>
    </row>
    <row r="339" spans="1:26">
      <c r="A339" s="442"/>
      <c r="B339" s="443"/>
      <c r="C339" s="443"/>
      <c r="D339" s="443"/>
      <c r="E339" s="451"/>
      <c r="F339" s="452"/>
      <c r="G339" s="452"/>
      <c r="H339" s="451"/>
      <c r="I339" s="451"/>
      <c r="J339" s="451"/>
      <c r="K339" s="457"/>
      <c r="L339" s="458"/>
      <c r="M339" s="388"/>
      <c r="N339" s="461"/>
      <c r="O339" s="461"/>
      <c r="P339" s="461"/>
      <c r="Q339" s="461"/>
      <c r="R339" s="461"/>
      <c r="S339" s="463"/>
      <c r="T339" s="463"/>
      <c r="U339" s="463"/>
      <c r="V339" s="442"/>
      <c r="W339" s="442"/>
      <c r="X339" s="467"/>
      <c r="Y339" s="440"/>
      <c r="Z339" s="441"/>
    </row>
    <row r="340" spans="1:26">
      <c r="A340" s="442"/>
      <c r="B340" s="443"/>
      <c r="C340" s="443"/>
      <c r="D340" s="443"/>
      <c r="E340" s="451"/>
      <c r="F340" s="452"/>
      <c r="G340" s="452"/>
      <c r="H340" s="451"/>
      <c r="I340" s="451"/>
      <c r="J340" s="451"/>
      <c r="K340" s="457"/>
      <c r="L340" s="458"/>
      <c r="M340" s="388"/>
      <c r="N340" s="461"/>
      <c r="O340" s="461"/>
      <c r="P340" s="461"/>
      <c r="Q340" s="461"/>
      <c r="R340" s="461"/>
      <c r="S340" s="463"/>
      <c r="T340" s="463"/>
      <c r="U340" s="463"/>
      <c r="V340" s="442"/>
      <c r="W340" s="442"/>
      <c r="X340" s="467"/>
      <c r="Z340" s="441"/>
    </row>
    <row r="341" s="346" customFormat="1" spans="1:27">
      <c r="A341" s="444"/>
      <c r="B341" s="445" t="s">
        <v>902</v>
      </c>
      <c r="C341" s="446"/>
      <c r="D341" s="446"/>
      <c r="E341" s="453">
        <f>SUM(E9:E338)</f>
        <v>10676.24</v>
      </c>
      <c r="F341" s="453">
        <f>SUM(F9:F286)</f>
        <v>2114.00000000001</v>
      </c>
      <c r="G341" s="453">
        <f>SUM(G9:G286)</f>
        <v>3390.39999999999</v>
      </c>
      <c r="H341" s="453">
        <f>SUM(H9:H286)</f>
        <v>1017.12</v>
      </c>
      <c r="I341" s="453">
        <f>SUM(I9:I286)</f>
        <v>2388.00000000001</v>
      </c>
      <c r="J341" s="453"/>
      <c r="K341" s="446"/>
      <c r="L341" s="459"/>
      <c r="M341" s="459"/>
      <c r="N341" s="462">
        <f t="array" ref="N341">SUM(IFERROR(N9:N286,0))</f>
        <v>2642.5</v>
      </c>
      <c r="O341" s="462">
        <f t="array" ref="O341">SUM(IFERROR(O9:O286,0))</f>
        <v>4238</v>
      </c>
      <c r="P341" s="462">
        <f t="array" ref="P341">SUM(IFERROR(P9:P286,0))</f>
        <v>1271.39999999999</v>
      </c>
      <c r="Q341" s="462">
        <f t="array" ref="Q341">SUM(IFERROR(Q9:Q286,0))</f>
        <v>2985</v>
      </c>
      <c r="R341" s="462">
        <f t="array" ref="R341">SUM(IFERROR(R9:R286,0))</f>
        <v>11136.9</v>
      </c>
      <c r="S341" s="464"/>
      <c r="T341" s="464"/>
      <c r="U341" s="464"/>
      <c r="V341" s="466"/>
      <c r="W341" s="462">
        <f t="array" ref="W341">SUM(IFERROR(W9:W286,0))</f>
        <v>6199.67999999999</v>
      </c>
      <c r="X341" s="468">
        <f>W341/E341</f>
        <v>0.58069882280653</v>
      </c>
      <c r="Z341" s="470"/>
      <c r="AA341" s="350"/>
    </row>
    <row r="342" s="346" customFormat="1" spans="1:27">
      <c r="A342" s="444"/>
      <c r="B342" s="445" t="s">
        <v>903</v>
      </c>
      <c r="C342" s="446"/>
      <c r="D342" s="446"/>
      <c r="E342" s="453">
        <f>E341/8</f>
        <v>1334.53</v>
      </c>
      <c r="F342" s="453">
        <f>F341/8</f>
        <v>264.250000000001</v>
      </c>
      <c r="G342" s="453">
        <f>G341/8</f>
        <v>423.799999999999</v>
      </c>
      <c r="H342" s="453">
        <f>H341/8</f>
        <v>127.14</v>
      </c>
      <c r="I342" s="453">
        <f>I341/8</f>
        <v>298.500000000002</v>
      </c>
      <c r="J342" s="453"/>
      <c r="K342" s="446"/>
      <c r="L342" s="459"/>
      <c r="M342" s="459"/>
      <c r="N342" s="453">
        <f>N341/8</f>
        <v>330.3125</v>
      </c>
      <c r="O342" s="453">
        <f>O341/8</f>
        <v>529.75</v>
      </c>
      <c r="P342" s="453">
        <f>P341/8</f>
        <v>158.924999999999</v>
      </c>
      <c r="Q342" s="453">
        <f>Q341/8</f>
        <v>373.125</v>
      </c>
      <c r="R342" s="453">
        <f>R341/8</f>
        <v>1392.1125</v>
      </c>
      <c r="S342" s="464"/>
      <c r="T342" s="464"/>
      <c r="U342" s="464"/>
      <c r="V342" s="466"/>
      <c r="W342" s="466"/>
      <c r="Y342" s="453"/>
      <c r="Z342" s="471"/>
      <c r="AA342" s="350"/>
    </row>
    <row r="343" spans="1:23">
      <c r="A343" s="347"/>
      <c r="B343" s="447"/>
      <c r="E343" s="454"/>
      <c r="F343" s="454"/>
      <c r="G343" s="454"/>
      <c r="H343" s="454"/>
      <c r="I343" s="454"/>
      <c r="J343" s="454"/>
      <c r="R343" s="465">
        <f>R342/22</f>
        <v>63.2778409090911</v>
      </c>
      <c r="S343" s="350"/>
      <c r="T343" s="350"/>
      <c r="U343" s="350"/>
      <c r="V343" s="469"/>
      <c r="W343" s="469"/>
    </row>
    <row r="344" spans="1:23">
      <c r="A344" s="347"/>
      <c r="B344" s="448" t="s">
        <v>904</v>
      </c>
      <c r="C344" s="449"/>
      <c r="D344" s="449"/>
      <c r="E344" s="455"/>
      <c r="F344" s="455"/>
      <c r="G344" s="455"/>
      <c r="H344" s="455"/>
      <c r="I344" s="455"/>
      <c r="J344" s="455"/>
      <c r="R344" s="466"/>
      <c r="S344" s="466"/>
      <c r="T344" s="466"/>
      <c r="U344" s="466"/>
      <c r="V344" s="469"/>
      <c r="W344" s="469"/>
    </row>
    <row r="345" spans="1:23">
      <c r="A345" s="347"/>
      <c r="B345" s="348" t="s">
        <v>905</v>
      </c>
      <c r="C345" s="348"/>
      <c r="D345" s="348"/>
      <c r="E345" s="348"/>
      <c r="F345" s="348"/>
      <c r="G345" s="348"/>
      <c r="H345" s="348"/>
      <c r="I345" s="348"/>
      <c r="J345" s="348"/>
      <c r="K345" s="348"/>
      <c r="L345" s="460"/>
      <c r="M345" s="459"/>
      <c r="N345" s="459"/>
      <c r="O345" s="459"/>
      <c r="P345" s="459"/>
      <c r="Q345" s="459"/>
      <c r="R345" s="466"/>
      <c r="S345" s="466"/>
      <c r="T345" s="466"/>
      <c r="U345" s="466"/>
      <c r="V345" s="469"/>
      <c r="W345" s="469"/>
    </row>
    <row r="346" spans="1:17">
      <c r="A346" s="347"/>
      <c r="L346" s="460"/>
      <c r="M346" s="459"/>
      <c r="N346" s="346"/>
      <c r="O346" s="346"/>
      <c r="P346" s="346"/>
      <c r="Q346" s="346"/>
    </row>
    <row r="347" spans="4:4">
      <c r="D347" s="450"/>
    </row>
    <row r="348" spans="4:6">
      <c r="D348" s="450">
        <f>E348/E351</f>
        <v>0.201838849632455</v>
      </c>
      <c r="E348" s="347">
        <f>SUMIF(K:K,"NVJ3-PTM",E:E)+SUMIF(K:K,"CN_WEB3",E:E)</f>
        <v>2154.88</v>
      </c>
      <c r="F348" s="347" t="s">
        <v>906</v>
      </c>
    </row>
    <row r="349" spans="4:6">
      <c r="D349" s="450">
        <f>E349/E351</f>
        <v>0.397068630903764</v>
      </c>
      <c r="E349" s="347">
        <f>SUMIF(K:K,"NVJ2-PTM",E:E)+SUMIF(K:K,"CN_WEB2",E:E)</f>
        <v>4239.2</v>
      </c>
      <c r="F349" s="347" t="s">
        <v>907</v>
      </c>
    </row>
    <row r="350" spans="4:6">
      <c r="D350" s="450">
        <f>E350/E351</f>
        <v>0.401092519463782</v>
      </c>
      <c r="E350" s="347">
        <f>SUMIF(K:K,"NVJ1-PTM",E:E)+SUMIF(K:K,"CN_WEB1",E:E)</f>
        <v>4282.16000000001</v>
      </c>
      <c r="F350" s="347" t="s">
        <v>908</v>
      </c>
    </row>
    <row r="351" spans="5:5">
      <c r="E351" s="347">
        <f>E348+E349+E350</f>
        <v>10676.24</v>
      </c>
    </row>
    <row r="353" spans="7:7">
      <c r="G353" s="456"/>
    </row>
    <row r="354" spans="7:7">
      <c r="G354" s="456"/>
    </row>
  </sheetData>
  <autoFilter ref="A7:Z345">
    <extLst/>
  </autoFilter>
  <mergeCells count="213">
    <mergeCell ref="A1:X1"/>
    <mergeCell ref="A2:X2"/>
    <mergeCell ref="A4:V4"/>
    <mergeCell ref="E6:I6"/>
    <mergeCell ref="K6:L6"/>
    <mergeCell ref="M6:R6"/>
    <mergeCell ref="S6:U6"/>
    <mergeCell ref="B8:D8"/>
    <mergeCell ref="B127:D127"/>
    <mergeCell ref="B345:K345"/>
    <mergeCell ref="A6:A7"/>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50"/>
    <mergeCell ref="A51:A54"/>
    <mergeCell ref="A55:A59"/>
    <mergeCell ref="A60:A63"/>
    <mergeCell ref="A64:A68"/>
    <mergeCell ref="A69:A73"/>
    <mergeCell ref="A74:A78"/>
    <mergeCell ref="A79:A82"/>
    <mergeCell ref="A83:A86"/>
    <mergeCell ref="A87:A90"/>
    <mergeCell ref="A91:A94"/>
    <mergeCell ref="A95:A98"/>
    <mergeCell ref="A99:A102"/>
    <mergeCell ref="A103:A106"/>
    <mergeCell ref="A107:A110"/>
    <mergeCell ref="A129:A130"/>
    <mergeCell ref="A133:A135"/>
    <mergeCell ref="A136:A138"/>
    <mergeCell ref="A139:A141"/>
    <mergeCell ref="A142:A144"/>
    <mergeCell ref="A145:A147"/>
    <mergeCell ref="A148:A149"/>
    <mergeCell ref="A150:A151"/>
    <mergeCell ref="A152:A153"/>
    <mergeCell ref="A154:A155"/>
    <mergeCell ref="A156:A157"/>
    <mergeCell ref="A158:A159"/>
    <mergeCell ref="A160:A161"/>
    <mergeCell ref="A162:A165"/>
    <mergeCell ref="A166:A169"/>
    <mergeCell ref="A170:A173"/>
    <mergeCell ref="A174:A175"/>
    <mergeCell ref="A176:A177"/>
    <mergeCell ref="A178:A179"/>
    <mergeCell ref="A180:A181"/>
    <mergeCell ref="B6:B7"/>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50"/>
    <mergeCell ref="B51:B54"/>
    <mergeCell ref="B55:B59"/>
    <mergeCell ref="B60:B63"/>
    <mergeCell ref="B64:B68"/>
    <mergeCell ref="B69:B73"/>
    <mergeCell ref="B74:B78"/>
    <mergeCell ref="B79:B82"/>
    <mergeCell ref="B83:B86"/>
    <mergeCell ref="B87:B90"/>
    <mergeCell ref="B91:B94"/>
    <mergeCell ref="B95:B98"/>
    <mergeCell ref="B99:B102"/>
    <mergeCell ref="B103:B106"/>
    <mergeCell ref="B107:B110"/>
    <mergeCell ref="B111:B113"/>
    <mergeCell ref="B114:B116"/>
    <mergeCell ref="B117:B119"/>
    <mergeCell ref="B120:B122"/>
    <mergeCell ref="B123:B125"/>
    <mergeCell ref="B129:B130"/>
    <mergeCell ref="B133:B135"/>
    <mergeCell ref="B136:B138"/>
    <mergeCell ref="B139:B141"/>
    <mergeCell ref="B142:B144"/>
    <mergeCell ref="B145:B147"/>
    <mergeCell ref="B148:B149"/>
    <mergeCell ref="B150:B151"/>
    <mergeCell ref="B152:B153"/>
    <mergeCell ref="B154:B155"/>
    <mergeCell ref="B156:B157"/>
    <mergeCell ref="B158:B159"/>
    <mergeCell ref="B160:B161"/>
    <mergeCell ref="B162:B165"/>
    <mergeCell ref="B166:B169"/>
    <mergeCell ref="B170:B173"/>
    <mergeCell ref="B174:B175"/>
    <mergeCell ref="B176:B177"/>
    <mergeCell ref="B178:B179"/>
    <mergeCell ref="B180:B181"/>
    <mergeCell ref="B182:B183"/>
    <mergeCell ref="B184:B185"/>
    <mergeCell ref="B186:B188"/>
    <mergeCell ref="C6:C7"/>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50"/>
    <mergeCell ref="C51:C54"/>
    <mergeCell ref="C55:C59"/>
    <mergeCell ref="C60:C63"/>
    <mergeCell ref="C64:C68"/>
    <mergeCell ref="C69:C73"/>
    <mergeCell ref="C74:C78"/>
    <mergeCell ref="C79:C82"/>
    <mergeCell ref="C83:C86"/>
    <mergeCell ref="C87:C90"/>
    <mergeCell ref="C91:C94"/>
    <mergeCell ref="C95:C98"/>
    <mergeCell ref="C99:C102"/>
    <mergeCell ref="C103:C106"/>
    <mergeCell ref="C107:C110"/>
    <mergeCell ref="C111:C113"/>
    <mergeCell ref="C114:C116"/>
    <mergeCell ref="C117:C119"/>
    <mergeCell ref="C120:C122"/>
    <mergeCell ref="C123:C125"/>
    <mergeCell ref="C129:C130"/>
    <mergeCell ref="C133:C135"/>
    <mergeCell ref="C136:C138"/>
    <mergeCell ref="C139:C141"/>
    <mergeCell ref="C142:C144"/>
    <mergeCell ref="C145:C147"/>
    <mergeCell ref="C148:C149"/>
    <mergeCell ref="C150:C151"/>
    <mergeCell ref="C152:C153"/>
    <mergeCell ref="C154:C155"/>
    <mergeCell ref="C156:C157"/>
    <mergeCell ref="C158:C159"/>
    <mergeCell ref="C160:C161"/>
    <mergeCell ref="C162:C165"/>
    <mergeCell ref="C166:C169"/>
    <mergeCell ref="C170:C173"/>
    <mergeCell ref="C174:C175"/>
    <mergeCell ref="C176:C177"/>
    <mergeCell ref="C178:C179"/>
    <mergeCell ref="C180:C181"/>
    <mergeCell ref="C182:C183"/>
    <mergeCell ref="C184:C185"/>
    <mergeCell ref="C186:C188"/>
    <mergeCell ref="D6:D7"/>
    <mergeCell ref="V6:V7"/>
    <mergeCell ref="W6:W7"/>
    <mergeCell ref="X6:X7"/>
    <mergeCell ref="Z6:Z7"/>
    <mergeCell ref="AA9:AA12"/>
    <mergeCell ref="AA13:AA26"/>
    <mergeCell ref="AA27:AA34"/>
    <mergeCell ref="AA35:AA42"/>
    <mergeCell ref="AA43:AA54"/>
    <mergeCell ref="AA55:AA110"/>
    <mergeCell ref="AA111:AA116"/>
    <mergeCell ref="AA117:AA122"/>
    <mergeCell ref="AA123:AA126"/>
    <mergeCell ref="AA128:AA132"/>
    <mergeCell ref="AA133:AA141"/>
    <mergeCell ref="AA142:AA149"/>
    <mergeCell ref="AA150:AA155"/>
    <mergeCell ref="AA156:AA161"/>
    <mergeCell ref="AA162:AA173"/>
    <mergeCell ref="AA174:AA179"/>
    <mergeCell ref="AA180:AA185"/>
  </mergeCells>
  <conditionalFormatting sqref="L8:M8">
    <cfRule type="cellIs" dxfId="2" priority="580" stopIfTrue="1" operator="equal">
      <formula>" "</formula>
    </cfRule>
  </conditionalFormatting>
  <conditionalFormatting sqref="N8:Q8">
    <cfRule type="cellIs" dxfId="2" priority="582" stopIfTrue="1" operator="equal">
      <formula>" "</formula>
    </cfRule>
  </conditionalFormatting>
  <conditionalFormatting sqref="R8">
    <cfRule type="cellIs" dxfId="2" priority="583" stopIfTrue="1" operator="equal">
      <formula>" "</formula>
    </cfRule>
  </conditionalFormatting>
  <conditionalFormatting sqref="L130">
    <cfRule type="cellIs" dxfId="2" priority="213" stopIfTrue="1" operator="equal">
      <formula>" "</formula>
    </cfRule>
  </conditionalFormatting>
  <conditionalFormatting sqref="N130:R130">
    <cfRule type="cellIs" dxfId="2" priority="212" stopIfTrue="1" operator="equal">
      <formula>" "</formula>
    </cfRule>
  </conditionalFormatting>
  <conditionalFormatting sqref="L134">
    <cfRule type="cellIs" dxfId="2" priority="210" stopIfTrue="1" operator="equal">
      <formula>" "</formula>
    </cfRule>
  </conditionalFormatting>
  <conditionalFormatting sqref="N134:R134">
    <cfRule type="cellIs" dxfId="2" priority="209" stopIfTrue="1" operator="equal">
      <formula>" "</formula>
    </cfRule>
  </conditionalFormatting>
  <conditionalFormatting sqref="L135">
    <cfRule type="cellIs" dxfId="2" priority="126" stopIfTrue="1" operator="equal">
      <formula>" "</formula>
    </cfRule>
  </conditionalFormatting>
  <conditionalFormatting sqref="N135:R135">
    <cfRule type="cellIs" dxfId="2" priority="125" stopIfTrue="1" operator="equal">
      <formula>" "</formula>
    </cfRule>
  </conditionalFormatting>
  <conditionalFormatting sqref="L137">
    <cfRule type="cellIs" dxfId="2" priority="207" stopIfTrue="1" operator="equal">
      <formula>" "</formula>
    </cfRule>
  </conditionalFormatting>
  <conditionalFormatting sqref="N137:R137">
    <cfRule type="cellIs" dxfId="2" priority="206" stopIfTrue="1" operator="equal">
      <formula>" "</formula>
    </cfRule>
  </conditionalFormatting>
  <conditionalFormatting sqref="L138">
    <cfRule type="cellIs" dxfId="2" priority="123" stopIfTrue="1" operator="equal">
      <formula>" "</formula>
    </cfRule>
  </conditionalFormatting>
  <conditionalFormatting sqref="N138:R138">
    <cfRule type="cellIs" dxfId="2" priority="122" stopIfTrue="1" operator="equal">
      <formula>" "</formula>
    </cfRule>
  </conditionalFormatting>
  <conditionalFormatting sqref="L140">
    <cfRule type="cellIs" dxfId="2" priority="204" stopIfTrue="1" operator="equal">
      <formula>" "</formula>
    </cfRule>
  </conditionalFormatting>
  <conditionalFormatting sqref="N140:R140">
    <cfRule type="cellIs" dxfId="2" priority="203" stopIfTrue="1" operator="equal">
      <formula>" "</formula>
    </cfRule>
  </conditionalFormatting>
  <conditionalFormatting sqref="L141">
    <cfRule type="cellIs" dxfId="2" priority="120" stopIfTrue="1" operator="equal">
      <formula>" "</formula>
    </cfRule>
  </conditionalFormatting>
  <conditionalFormatting sqref="N141:R141">
    <cfRule type="cellIs" dxfId="2" priority="119" stopIfTrue="1" operator="equal">
      <formula>" "</formula>
    </cfRule>
  </conditionalFormatting>
  <conditionalFormatting sqref="L143">
    <cfRule type="cellIs" dxfId="2" priority="201" stopIfTrue="1" operator="equal">
      <formula>" "</formula>
    </cfRule>
  </conditionalFormatting>
  <conditionalFormatting sqref="N143:R143">
    <cfRule type="cellIs" dxfId="2" priority="200" stopIfTrue="1" operator="equal">
      <formula>" "</formula>
    </cfRule>
  </conditionalFormatting>
  <conditionalFormatting sqref="L144">
    <cfRule type="cellIs" dxfId="2" priority="117" stopIfTrue="1" operator="equal">
      <formula>" "</formula>
    </cfRule>
  </conditionalFormatting>
  <conditionalFormatting sqref="N144:R144">
    <cfRule type="cellIs" dxfId="2" priority="116" stopIfTrue="1" operator="equal">
      <formula>" "</formula>
    </cfRule>
  </conditionalFormatting>
  <conditionalFormatting sqref="L146">
    <cfRule type="cellIs" dxfId="2" priority="198" stopIfTrue="1" operator="equal">
      <formula>" "</formula>
    </cfRule>
  </conditionalFormatting>
  <conditionalFormatting sqref="N146:R146">
    <cfRule type="cellIs" dxfId="2" priority="197" stopIfTrue="1" operator="equal">
      <formula>" "</formula>
    </cfRule>
  </conditionalFormatting>
  <conditionalFormatting sqref="L147">
    <cfRule type="cellIs" dxfId="2" priority="114" stopIfTrue="1" operator="equal">
      <formula>" "</formula>
    </cfRule>
  </conditionalFormatting>
  <conditionalFormatting sqref="N147:R147">
    <cfRule type="cellIs" dxfId="2" priority="113" stopIfTrue="1" operator="equal">
      <formula>" "</formula>
    </cfRule>
  </conditionalFormatting>
  <conditionalFormatting sqref="L149">
    <cfRule type="cellIs" dxfId="2" priority="195" stopIfTrue="1" operator="equal">
      <formula>" "</formula>
    </cfRule>
  </conditionalFormatting>
  <conditionalFormatting sqref="N149:R149">
    <cfRule type="cellIs" dxfId="2" priority="194" stopIfTrue="1" operator="equal">
      <formula>" "</formula>
    </cfRule>
  </conditionalFormatting>
  <conditionalFormatting sqref="L151">
    <cfRule type="cellIs" dxfId="2" priority="192" stopIfTrue="1" operator="equal">
      <formula>" "</formula>
    </cfRule>
  </conditionalFormatting>
  <conditionalFormatting sqref="N151:R151">
    <cfRule type="cellIs" dxfId="2" priority="191" stopIfTrue="1" operator="equal">
      <formula>" "</formula>
    </cfRule>
  </conditionalFormatting>
  <conditionalFormatting sqref="L153">
    <cfRule type="cellIs" dxfId="2" priority="189" stopIfTrue="1" operator="equal">
      <formula>" "</formula>
    </cfRule>
  </conditionalFormatting>
  <conditionalFormatting sqref="N153:R153">
    <cfRule type="cellIs" dxfId="2" priority="188" stopIfTrue="1" operator="equal">
      <formula>" "</formula>
    </cfRule>
  </conditionalFormatting>
  <conditionalFormatting sqref="L155">
    <cfRule type="cellIs" dxfId="2" priority="186" stopIfTrue="1" operator="equal">
      <formula>" "</formula>
    </cfRule>
  </conditionalFormatting>
  <conditionalFormatting sqref="N155:R155">
    <cfRule type="cellIs" dxfId="2" priority="185" stopIfTrue="1" operator="equal">
      <formula>" "</formula>
    </cfRule>
  </conditionalFormatting>
  <conditionalFormatting sqref="L157">
    <cfRule type="cellIs" dxfId="2" priority="183" stopIfTrue="1" operator="equal">
      <formula>" "</formula>
    </cfRule>
  </conditionalFormatting>
  <conditionalFormatting sqref="N157:R157">
    <cfRule type="cellIs" dxfId="2" priority="182" stopIfTrue="1" operator="equal">
      <formula>" "</formula>
    </cfRule>
  </conditionalFormatting>
  <conditionalFormatting sqref="L159">
    <cfRule type="cellIs" dxfId="2" priority="180" stopIfTrue="1" operator="equal">
      <formula>" "</formula>
    </cfRule>
  </conditionalFormatting>
  <conditionalFormatting sqref="N159:R159">
    <cfRule type="cellIs" dxfId="2" priority="179" stopIfTrue="1" operator="equal">
      <formula>" "</formula>
    </cfRule>
  </conditionalFormatting>
  <conditionalFormatting sqref="L161">
    <cfRule type="cellIs" dxfId="2" priority="177" stopIfTrue="1" operator="equal">
      <formula>" "</formula>
    </cfRule>
  </conditionalFormatting>
  <conditionalFormatting sqref="N161:R161">
    <cfRule type="cellIs" dxfId="2" priority="176" stopIfTrue="1" operator="equal">
      <formula>" "</formula>
    </cfRule>
  </conditionalFormatting>
  <conditionalFormatting sqref="L163">
    <cfRule type="cellIs" dxfId="2" priority="174" stopIfTrue="1" operator="equal">
      <formula>" "</formula>
    </cfRule>
  </conditionalFormatting>
  <conditionalFormatting sqref="N163:R163">
    <cfRule type="cellIs" dxfId="2" priority="173" stopIfTrue="1" operator="equal">
      <formula>" "</formula>
    </cfRule>
  </conditionalFormatting>
  <conditionalFormatting sqref="L164">
    <cfRule type="cellIs" dxfId="2" priority="171" stopIfTrue="1" operator="equal">
      <formula>" "</formula>
    </cfRule>
  </conditionalFormatting>
  <conditionalFormatting sqref="N164:R164">
    <cfRule type="cellIs" dxfId="2" priority="170" stopIfTrue="1" operator="equal">
      <formula>" "</formula>
    </cfRule>
  </conditionalFormatting>
  <conditionalFormatting sqref="L165">
    <cfRule type="cellIs" dxfId="2" priority="168" stopIfTrue="1" operator="equal">
      <formula>" "</formula>
    </cfRule>
  </conditionalFormatting>
  <conditionalFormatting sqref="N165:R165">
    <cfRule type="cellIs" dxfId="2" priority="167" stopIfTrue="1" operator="equal">
      <formula>" "</formula>
    </cfRule>
  </conditionalFormatting>
  <conditionalFormatting sqref="L166">
    <cfRule type="cellIs" dxfId="2" priority="165" stopIfTrue="1" operator="equal">
      <formula>" "</formula>
    </cfRule>
  </conditionalFormatting>
  <conditionalFormatting sqref="N166:R166">
    <cfRule type="cellIs" dxfId="2" priority="164" stopIfTrue="1" operator="equal">
      <formula>" "</formula>
    </cfRule>
  </conditionalFormatting>
  <conditionalFormatting sqref="L167">
    <cfRule type="cellIs" dxfId="2" priority="162" stopIfTrue="1" operator="equal">
      <formula>" "</formula>
    </cfRule>
  </conditionalFormatting>
  <conditionalFormatting sqref="N167:R167">
    <cfRule type="cellIs" dxfId="2" priority="161" stopIfTrue="1" operator="equal">
      <formula>" "</formula>
    </cfRule>
  </conditionalFormatting>
  <conditionalFormatting sqref="L168">
    <cfRule type="cellIs" dxfId="2" priority="159" stopIfTrue="1" operator="equal">
      <formula>" "</formula>
    </cfRule>
  </conditionalFormatting>
  <conditionalFormatting sqref="N168:R168">
    <cfRule type="cellIs" dxfId="2" priority="158" stopIfTrue="1" operator="equal">
      <formula>" "</formula>
    </cfRule>
  </conditionalFormatting>
  <conditionalFormatting sqref="L169">
    <cfRule type="cellIs" dxfId="2" priority="156" stopIfTrue="1" operator="equal">
      <formula>" "</formula>
    </cfRule>
  </conditionalFormatting>
  <conditionalFormatting sqref="N169:R169">
    <cfRule type="cellIs" dxfId="2" priority="155" stopIfTrue="1" operator="equal">
      <formula>" "</formula>
    </cfRule>
  </conditionalFormatting>
  <conditionalFormatting sqref="L171">
    <cfRule type="cellIs" dxfId="2" priority="153" stopIfTrue="1" operator="equal">
      <formula>" "</formula>
    </cfRule>
  </conditionalFormatting>
  <conditionalFormatting sqref="N171:R171">
    <cfRule type="cellIs" dxfId="2" priority="152" stopIfTrue="1" operator="equal">
      <formula>" "</formula>
    </cfRule>
  </conditionalFormatting>
  <conditionalFormatting sqref="L172">
    <cfRule type="cellIs" dxfId="2" priority="150" stopIfTrue="1" operator="equal">
      <formula>" "</formula>
    </cfRule>
  </conditionalFormatting>
  <conditionalFormatting sqref="N172:R172">
    <cfRule type="cellIs" dxfId="2" priority="149" stopIfTrue="1" operator="equal">
      <formula>" "</formula>
    </cfRule>
  </conditionalFormatting>
  <conditionalFormatting sqref="L173">
    <cfRule type="cellIs" dxfId="2" priority="147" stopIfTrue="1" operator="equal">
      <formula>" "</formula>
    </cfRule>
  </conditionalFormatting>
  <conditionalFormatting sqref="N173:R173">
    <cfRule type="cellIs" dxfId="2" priority="146" stopIfTrue="1" operator="equal">
      <formula>" "</formula>
    </cfRule>
  </conditionalFormatting>
  <conditionalFormatting sqref="L175">
    <cfRule type="cellIs" dxfId="2" priority="144" stopIfTrue="1" operator="equal">
      <formula>" "</formula>
    </cfRule>
  </conditionalFormatting>
  <conditionalFormatting sqref="N175:R175">
    <cfRule type="cellIs" dxfId="2" priority="143" stopIfTrue="1" operator="equal">
      <formula>" "</formula>
    </cfRule>
  </conditionalFormatting>
  <conditionalFormatting sqref="L177">
    <cfRule type="cellIs" dxfId="2" priority="141" stopIfTrue="1" operator="equal">
      <formula>" "</formula>
    </cfRule>
  </conditionalFormatting>
  <conditionalFormatting sqref="N177:R177">
    <cfRule type="cellIs" dxfId="2" priority="140" stopIfTrue="1" operator="equal">
      <formula>" "</formula>
    </cfRule>
  </conditionalFormatting>
  <conditionalFormatting sqref="L179">
    <cfRule type="cellIs" dxfId="2" priority="138" stopIfTrue="1" operator="equal">
      <formula>" "</formula>
    </cfRule>
  </conditionalFormatting>
  <conditionalFormatting sqref="N179:R179">
    <cfRule type="cellIs" dxfId="2" priority="137" stopIfTrue="1" operator="equal">
      <formula>" "</formula>
    </cfRule>
  </conditionalFormatting>
  <conditionalFormatting sqref="L180">
    <cfRule type="cellIs" dxfId="2" priority="94" stopIfTrue="1" operator="equal">
      <formula>" "</formula>
    </cfRule>
  </conditionalFormatting>
  <conditionalFormatting sqref="N180:R180">
    <cfRule type="cellIs" dxfId="2" priority="93" stopIfTrue="1" operator="equal">
      <formula>" "</formula>
    </cfRule>
  </conditionalFormatting>
  <conditionalFormatting sqref="L181">
    <cfRule type="cellIs" dxfId="2" priority="91" stopIfTrue="1" operator="equal">
      <formula>" "</formula>
    </cfRule>
  </conditionalFormatting>
  <conditionalFormatting sqref="N181:R181">
    <cfRule type="cellIs" dxfId="2" priority="90" stopIfTrue="1" operator="equal">
      <formula>" "</formula>
    </cfRule>
  </conditionalFormatting>
  <conditionalFormatting sqref="L182">
    <cfRule type="cellIs" dxfId="2" priority="88" stopIfTrue="1" operator="equal">
      <formula>" "</formula>
    </cfRule>
  </conditionalFormatting>
  <conditionalFormatting sqref="N182:R182">
    <cfRule type="cellIs" dxfId="2" priority="87" stopIfTrue="1" operator="equal">
      <formula>" "</formula>
    </cfRule>
  </conditionalFormatting>
  <conditionalFormatting sqref="L183">
    <cfRule type="cellIs" dxfId="2" priority="85" stopIfTrue="1" operator="equal">
      <formula>" "</formula>
    </cfRule>
  </conditionalFormatting>
  <conditionalFormatting sqref="N183:R183">
    <cfRule type="cellIs" dxfId="2" priority="84" stopIfTrue="1" operator="equal">
      <formula>" "</formula>
    </cfRule>
  </conditionalFormatting>
  <conditionalFormatting sqref="L184">
    <cfRule type="cellIs" dxfId="2" priority="82" stopIfTrue="1" operator="equal">
      <formula>" "</formula>
    </cfRule>
  </conditionalFormatting>
  <conditionalFormatting sqref="N184:R184">
    <cfRule type="cellIs" dxfId="2" priority="81" stopIfTrue="1" operator="equal">
      <formula>" "</formula>
    </cfRule>
  </conditionalFormatting>
  <conditionalFormatting sqref="L185">
    <cfRule type="cellIs" dxfId="2" priority="79" stopIfTrue="1" operator="equal">
      <formula>" "</formula>
    </cfRule>
  </conditionalFormatting>
  <conditionalFormatting sqref="N185:R185">
    <cfRule type="cellIs" dxfId="2" priority="78" stopIfTrue="1" operator="equal">
      <formula>" "</formula>
    </cfRule>
  </conditionalFormatting>
  <conditionalFormatting sqref="L284">
    <cfRule type="cellIs" dxfId="2" priority="111" stopIfTrue="1" operator="equal">
      <formula>" "</formula>
    </cfRule>
  </conditionalFormatting>
  <conditionalFormatting sqref="N284:R284">
    <cfRule type="cellIs" dxfId="2" priority="110" stopIfTrue="1" operator="equal">
      <formula>" "</formula>
    </cfRule>
  </conditionalFormatting>
  <conditionalFormatting sqref="L285">
    <cfRule type="cellIs" dxfId="2" priority="108" stopIfTrue="1" operator="equal">
      <formula>" "</formula>
    </cfRule>
  </conditionalFormatting>
  <conditionalFormatting sqref="N285:R285">
    <cfRule type="cellIs" dxfId="2" priority="107" stopIfTrue="1" operator="equal">
      <formula>" "</formula>
    </cfRule>
  </conditionalFormatting>
  <conditionalFormatting sqref="L297">
    <cfRule type="cellIs" dxfId="2" priority="73" stopIfTrue="1" operator="equal">
      <formula>" "</formula>
    </cfRule>
  </conditionalFormatting>
  <conditionalFormatting sqref="N297:R297">
    <cfRule type="cellIs" dxfId="2" priority="72" stopIfTrue="1" operator="equal">
      <formula>" "</formula>
    </cfRule>
  </conditionalFormatting>
  <conditionalFormatting sqref="L298">
    <cfRule type="cellIs" dxfId="2" priority="70" stopIfTrue="1" operator="equal">
      <formula>" "</formula>
    </cfRule>
  </conditionalFormatting>
  <conditionalFormatting sqref="N298:R298">
    <cfRule type="cellIs" dxfId="2" priority="69" stopIfTrue="1" operator="equal">
      <formula>" "</formula>
    </cfRule>
  </conditionalFormatting>
  <conditionalFormatting sqref="L323">
    <cfRule type="cellIs" dxfId="2" priority="61" stopIfTrue="1" operator="equal">
      <formula>" "</formula>
    </cfRule>
  </conditionalFormatting>
  <conditionalFormatting sqref="N323:R323">
    <cfRule type="cellIs" dxfId="2" priority="60" stopIfTrue="1" operator="equal">
      <formula>" "</formula>
    </cfRule>
  </conditionalFormatting>
  <conditionalFormatting sqref="S339:U339">
    <cfRule type="cellIs" dxfId="2" priority="65" stopIfTrue="1" operator="equal">
      <formula>" "</formula>
    </cfRule>
  </conditionalFormatting>
  <conditionalFormatting sqref="S340:U340">
    <cfRule type="cellIs" dxfId="2" priority="127" stopIfTrue="1" operator="equal">
      <formula>" "</formula>
    </cfRule>
  </conditionalFormatting>
  <conditionalFormatting sqref="L189:L197">
    <cfRule type="cellIs" dxfId="2" priority="285" stopIfTrue="1" operator="equal">
      <formula>" "</formula>
    </cfRule>
  </conditionalFormatting>
  <conditionalFormatting sqref="L198:L199">
    <cfRule type="cellIs" dxfId="2" priority="283" stopIfTrue="1" operator="equal">
      <formula>" "</formula>
    </cfRule>
  </conditionalFormatting>
  <conditionalFormatting sqref="L200:L214">
    <cfRule type="cellIs" dxfId="2" priority="135" stopIfTrue="1" operator="equal">
      <formula>" "</formula>
    </cfRule>
  </conditionalFormatting>
  <conditionalFormatting sqref="L215:L246">
    <cfRule type="cellIs" dxfId="2" priority="132" stopIfTrue="1" operator="equal">
      <formula>" "</formula>
    </cfRule>
  </conditionalFormatting>
  <conditionalFormatting sqref="L287:L296">
    <cfRule type="cellIs" dxfId="2" priority="76" stopIfTrue="1" operator="equal">
      <formula>" "</formula>
    </cfRule>
  </conditionalFormatting>
  <conditionalFormatting sqref="L308:L322">
    <cfRule type="cellIs" dxfId="2" priority="64" stopIfTrue="1" operator="equal">
      <formula>" "</formula>
    </cfRule>
  </conditionalFormatting>
  <conditionalFormatting sqref="L324:L329">
    <cfRule type="cellIs" dxfId="2" priority="58" stopIfTrue="1" operator="equal">
      <formula>" "</formula>
    </cfRule>
  </conditionalFormatting>
  <conditionalFormatting sqref="L330:L338">
    <cfRule type="cellIs" dxfId="2" priority="55" stopIfTrue="1" operator="equal">
      <formula>" "</formula>
    </cfRule>
  </conditionalFormatting>
  <conditionalFormatting sqref="S10:S18">
    <cfRule type="cellIs" dxfId="2" priority="3" stopIfTrue="1" operator="equal">
      <formula>" "</formula>
    </cfRule>
  </conditionalFormatting>
  <conditionalFormatting sqref="R343:R961 L9 L55 N9:S9 N11:R11 L11 L13 N13:R13 N15:R15 L15 L17 N17:R17 N19:R19 L19 L21 N21:R21 N23:R23 L23 L25 N25:R25 N27:R27 L27 L29 N29:R29 N31:R31 L31 L33 N33:R33 N35:R35 L35 L37 N37:R37 N39:R39 L39 L41 N41:R41 N43:R43 L43 L45 N45:R45 N47:R47 L47 N55:R55 N69:R69 L69 L74 N74:R74 N79:R79 L79 L83 N83:R83 N111:R111 L111 Q12 N126:R127 L126:L127">
    <cfRule type="cellIs" dxfId="2" priority="585" stopIfTrue="1" operator="equal">
      <formula>" "</formula>
    </cfRule>
  </conditionalFormatting>
  <conditionalFormatting sqref="T9:U18">
    <cfRule type="cellIs" dxfId="2" priority="4" stopIfTrue="1" operator="equal">
      <formula>" "</formula>
    </cfRule>
  </conditionalFormatting>
  <conditionalFormatting sqref="L10 N10:R10">
    <cfRule type="cellIs" dxfId="2" priority="277" stopIfTrue="1" operator="equal">
      <formula>" "</formula>
    </cfRule>
  </conditionalFormatting>
  <conditionalFormatting sqref="L12 N12:P12 R12">
    <cfRule type="cellIs" dxfId="2" priority="276" stopIfTrue="1" operator="equal">
      <formula>" "</formula>
    </cfRule>
  </conditionalFormatting>
  <conditionalFormatting sqref="L14 N14:R14">
    <cfRule type="cellIs" dxfId="2" priority="275" stopIfTrue="1" operator="equal">
      <formula>" "</formula>
    </cfRule>
  </conditionalFormatting>
  <conditionalFormatting sqref="N16:R16 L16">
    <cfRule type="cellIs" dxfId="2" priority="271" stopIfTrue="1" operator="equal">
      <formula>" "</formula>
    </cfRule>
  </conditionalFormatting>
  <conditionalFormatting sqref="L18 N18:R18">
    <cfRule type="cellIs" dxfId="2" priority="269" stopIfTrue="1" operator="equal">
      <formula>" "</formula>
    </cfRule>
  </conditionalFormatting>
  <conditionalFormatting sqref="S19:U20">
    <cfRule type="cellIs" dxfId="2" priority="2" stopIfTrue="1" operator="equal">
      <formula>" "</formula>
    </cfRule>
  </conditionalFormatting>
  <conditionalFormatting sqref="N20:R20 L20">
    <cfRule type="cellIs" dxfId="2" priority="267" stopIfTrue="1" operator="equal">
      <formula>" "</formula>
    </cfRule>
  </conditionalFormatting>
  <conditionalFormatting sqref="S21:U338">
    <cfRule type="cellIs" dxfId="2" priority="1" stopIfTrue="1" operator="equal">
      <formula>" "</formula>
    </cfRule>
  </conditionalFormatting>
  <conditionalFormatting sqref="L22 N22:R22">
    <cfRule type="cellIs" dxfId="2" priority="265" stopIfTrue="1" operator="equal">
      <formula>" "</formula>
    </cfRule>
  </conditionalFormatting>
  <conditionalFormatting sqref="N24:R24 L24">
    <cfRule type="cellIs" dxfId="2" priority="263" stopIfTrue="1" operator="equal">
      <formula>" "</formula>
    </cfRule>
  </conditionalFormatting>
  <conditionalFormatting sqref="L26 N26:R26">
    <cfRule type="cellIs" dxfId="2" priority="261" stopIfTrue="1" operator="equal">
      <formula>" "</formula>
    </cfRule>
  </conditionalFormatting>
  <conditionalFormatting sqref="N28:R28 L28">
    <cfRule type="cellIs" dxfId="2" priority="259" stopIfTrue="1" operator="equal">
      <formula>" "</formula>
    </cfRule>
  </conditionalFormatting>
  <conditionalFormatting sqref="L30 N30:R30">
    <cfRule type="cellIs" dxfId="2" priority="257" stopIfTrue="1" operator="equal">
      <formula>" "</formula>
    </cfRule>
  </conditionalFormatting>
  <conditionalFormatting sqref="N32:R32 L32">
    <cfRule type="cellIs" dxfId="2" priority="255" stopIfTrue="1" operator="equal">
      <formula>" "</formula>
    </cfRule>
  </conditionalFormatting>
  <conditionalFormatting sqref="L34 N34:R34">
    <cfRule type="cellIs" dxfId="2" priority="253" stopIfTrue="1" operator="equal">
      <formula>" "</formula>
    </cfRule>
  </conditionalFormatting>
  <conditionalFormatting sqref="N36:R36 L36">
    <cfRule type="cellIs" dxfId="2" priority="251" stopIfTrue="1" operator="equal">
      <formula>" "</formula>
    </cfRule>
  </conditionalFormatting>
  <conditionalFormatting sqref="L38 N38:R38">
    <cfRule type="cellIs" dxfId="2" priority="249" stopIfTrue="1" operator="equal">
      <formula>" "</formula>
    </cfRule>
  </conditionalFormatting>
  <conditionalFormatting sqref="N40:R40 L40">
    <cfRule type="cellIs" dxfId="2" priority="247" stopIfTrue="1" operator="equal">
      <formula>" "</formula>
    </cfRule>
  </conditionalFormatting>
  <conditionalFormatting sqref="L42 N42:R42">
    <cfRule type="cellIs" dxfId="2" priority="245" stopIfTrue="1" operator="equal">
      <formula>" "</formula>
    </cfRule>
  </conditionalFormatting>
  <conditionalFormatting sqref="N44:R44 L44">
    <cfRule type="cellIs" dxfId="2" priority="243" stopIfTrue="1" operator="equal">
      <formula>" "</formula>
    </cfRule>
  </conditionalFormatting>
  <conditionalFormatting sqref="L46 N46:R46">
    <cfRule type="cellIs" dxfId="2" priority="241" stopIfTrue="1" operator="equal">
      <formula>" "</formula>
    </cfRule>
  </conditionalFormatting>
  <conditionalFormatting sqref="N48:R48 L48">
    <cfRule type="cellIs" dxfId="2" priority="280" stopIfTrue="1" operator="equal">
      <formula>" "</formula>
    </cfRule>
  </conditionalFormatting>
  <conditionalFormatting sqref="N49:R49 L49">
    <cfRule type="cellIs" dxfId="2" priority="239" stopIfTrue="1" operator="equal">
      <formula>" "</formula>
    </cfRule>
  </conditionalFormatting>
  <conditionalFormatting sqref="N50:R50 L50">
    <cfRule type="cellIs" dxfId="2" priority="237" stopIfTrue="1" operator="equal">
      <formula>" "</formula>
    </cfRule>
  </conditionalFormatting>
  <conditionalFormatting sqref="N51:R51 L51">
    <cfRule type="cellIs" dxfId="2" priority="236" stopIfTrue="1" operator="equal">
      <formula>" "</formula>
    </cfRule>
  </conditionalFormatting>
  <conditionalFormatting sqref="N52:R52 L52">
    <cfRule type="cellIs" dxfId="2" priority="235" stopIfTrue="1" operator="equal">
      <formula>" "</formula>
    </cfRule>
  </conditionalFormatting>
  <conditionalFormatting sqref="N53:R53 L53">
    <cfRule type="cellIs" dxfId="2" priority="233" stopIfTrue="1" operator="equal">
      <formula>" "</formula>
    </cfRule>
  </conditionalFormatting>
  <conditionalFormatting sqref="N54:R54 L54">
    <cfRule type="cellIs" dxfId="2" priority="231" stopIfTrue="1" operator="equal">
      <formula>" "</formula>
    </cfRule>
  </conditionalFormatting>
  <conditionalFormatting sqref="L56:L58 N56:R58">
    <cfRule type="cellIs" dxfId="2" priority="230" stopIfTrue="1" operator="equal">
      <formula>" "</formula>
    </cfRule>
  </conditionalFormatting>
  <conditionalFormatting sqref="L59 N59:R59">
    <cfRule type="cellIs" dxfId="2" priority="224" stopIfTrue="1" operator="equal">
      <formula>" "</formula>
    </cfRule>
  </conditionalFormatting>
  <conditionalFormatting sqref="N60:R63 L60:L63">
    <cfRule type="cellIs" dxfId="2" priority="229" stopIfTrue="1" operator="equal">
      <formula>" "</formula>
    </cfRule>
  </conditionalFormatting>
  <conditionalFormatting sqref="L64 N64:R64">
    <cfRule type="cellIs" dxfId="2" priority="228" stopIfTrue="1" operator="equal">
      <formula>" "</formula>
    </cfRule>
  </conditionalFormatting>
  <conditionalFormatting sqref="L65:L67 N65:R67">
    <cfRule type="cellIs" dxfId="2" priority="227" stopIfTrue="1" operator="equal">
      <formula>" "</formula>
    </cfRule>
  </conditionalFormatting>
  <conditionalFormatting sqref="L68 N68:R68">
    <cfRule type="cellIs" dxfId="2" priority="226" stopIfTrue="1" operator="equal">
      <formula>" "</formula>
    </cfRule>
  </conditionalFormatting>
  <conditionalFormatting sqref="L70:L73 N70:R73">
    <cfRule type="cellIs" dxfId="2" priority="225" stopIfTrue="1" operator="equal">
      <formula>" "</formula>
    </cfRule>
  </conditionalFormatting>
  <conditionalFormatting sqref="L75:L78 N75:R78">
    <cfRule type="cellIs" dxfId="2" priority="223" stopIfTrue="1" operator="equal">
      <formula>" "</formula>
    </cfRule>
  </conditionalFormatting>
  <conditionalFormatting sqref="L80:L81 N80:R81">
    <cfRule type="cellIs" dxfId="2" priority="222" stopIfTrue="1" operator="equal">
      <formula>" "</formula>
    </cfRule>
  </conditionalFormatting>
  <conditionalFormatting sqref="N82:R82 L82">
    <cfRule type="cellIs" dxfId="2" priority="221" stopIfTrue="1" operator="equal">
      <formula>" "</formula>
    </cfRule>
  </conditionalFormatting>
  <conditionalFormatting sqref="L84:L86 N84:R86">
    <cfRule type="cellIs" dxfId="2" priority="220" stopIfTrue="1" operator="equal">
      <formula>" "</formula>
    </cfRule>
  </conditionalFormatting>
  <conditionalFormatting sqref="L87:L90 N87:R90">
    <cfRule type="cellIs" dxfId="2" priority="219" stopIfTrue="1" operator="equal">
      <formula>" "</formula>
    </cfRule>
  </conditionalFormatting>
  <conditionalFormatting sqref="N91:R94 L91:L94">
    <cfRule type="cellIs" dxfId="2" priority="218" stopIfTrue="1" operator="equal">
      <formula>" "</formula>
    </cfRule>
  </conditionalFormatting>
  <conditionalFormatting sqref="N95:R98 L95:L98">
    <cfRule type="cellIs" dxfId="2" priority="217" stopIfTrue="1" operator="equal">
      <formula>" "</formula>
    </cfRule>
  </conditionalFormatting>
  <conditionalFormatting sqref="N99:R102 L99:L102">
    <cfRule type="cellIs" dxfId="2" priority="216" stopIfTrue="1" operator="equal">
      <formula>" "</formula>
    </cfRule>
  </conditionalFormatting>
  <conditionalFormatting sqref="N103:R106 L103:L106">
    <cfRule type="cellIs" dxfId="2" priority="215" stopIfTrue="1" operator="equal">
      <formula>" "</formula>
    </cfRule>
  </conditionalFormatting>
  <conditionalFormatting sqref="N107:R110 L107:L110">
    <cfRule type="cellIs" dxfId="2" priority="214" stopIfTrue="1" operator="equal">
      <formula>" "</formula>
    </cfRule>
  </conditionalFormatting>
  <conditionalFormatting sqref="N112:R113 L112:L113">
    <cfRule type="cellIs" dxfId="2" priority="104" stopIfTrue="1" operator="equal">
      <formula>" "</formula>
    </cfRule>
  </conditionalFormatting>
  <conditionalFormatting sqref="N114:R114 L114">
    <cfRule type="cellIs" dxfId="2" priority="102" stopIfTrue="1" operator="equal">
      <formula>" "</formula>
    </cfRule>
  </conditionalFormatting>
  <conditionalFormatting sqref="N115:R116 L115:L116">
    <cfRule type="cellIs" dxfId="2" priority="101" stopIfTrue="1" operator="equal">
      <formula>" "</formula>
    </cfRule>
  </conditionalFormatting>
  <conditionalFormatting sqref="N117:R117 L117">
    <cfRule type="cellIs" dxfId="2" priority="100" stopIfTrue="1" operator="equal">
      <formula>" "</formula>
    </cfRule>
  </conditionalFormatting>
  <conditionalFormatting sqref="N118:R119 L118:L119">
    <cfRule type="cellIs" dxfId="2" priority="99" stopIfTrue="1" operator="equal">
      <formula>" "</formula>
    </cfRule>
  </conditionalFormatting>
  <conditionalFormatting sqref="N120:R120 L120">
    <cfRule type="cellIs" dxfId="2" priority="98" stopIfTrue="1" operator="equal">
      <formula>" "</formula>
    </cfRule>
  </conditionalFormatting>
  <conditionalFormatting sqref="N121:R122 L121:L122">
    <cfRule type="cellIs" dxfId="2" priority="97" stopIfTrue="1" operator="equal">
      <formula>" "</formula>
    </cfRule>
  </conditionalFormatting>
  <conditionalFormatting sqref="N123:R123 L123">
    <cfRule type="cellIs" dxfId="2" priority="96" stopIfTrue="1" operator="equal">
      <formula>" "</formula>
    </cfRule>
  </conditionalFormatting>
  <conditionalFormatting sqref="N124:R125 L124:L125">
    <cfRule type="cellIs" dxfId="2" priority="95" stopIfTrue="1" operator="equal">
      <formula>" "</formula>
    </cfRule>
  </conditionalFormatting>
  <conditionalFormatting sqref="L128:L129 L131:L133 L136 L139 L142 L145 L148 L150 L152 L154 L156 L158 L160 L162 L170 L174 L176 L178 L186:L188">
    <cfRule type="cellIs" dxfId="2" priority="287" stopIfTrue="1" operator="equal">
      <formula>" "</formula>
    </cfRule>
  </conditionalFormatting>
  <conditionalFormatting sqref="N128:R129 N131:R133 N136:R136 N139:R139 N142:R142 N145:R145 N148:R148 N150:R150 N152:R152 N154:R154 N156:R156 N158:R158 N160:R160 N162:R162 N170:R170 N174:R174 N176:R176 N178:R178 N186:R188">
    <cfRule type="cellIs" dxfId="2" priority="286" stopIfTrue="1" operator="equal">
      <formula>" "</formula>
    </cfRule>
  </conditionalFormatting>
  <conditionalFormatting sqref="N189:R197">
    <cfRule type="cellIs" dxfId="2" priority="284" stopIfTrue="1" operator="equal">
      <formula>" "</formula>
    </cfRule>
  </conditionalFormatting>
  <conditionalFormatting sqref="N198:R199">
    <cfRule type="cellIs" dxfId="2" priority="282" stopIfTrue="1" operator="equal">
      <formula>" "</formula>
    </cfRule>
  </conditionalFormatting>
  <conditionalFormatting sqref="N200:R214">
    <cfRule type="cellIs" dxfId="2" priority="134" stopIfTrue="1" operator="equal">
      <formula>" "</formula>
    </cfRule>
  </conditionalFormatting>
  <conditionalFormatting sqref="N215:R246">
    <cfRule type="cellIs" dxfId="2" priority="131" stopIfTrue="1" operator="equal">
      <formula>" "</formula>
    </cfRule>
  </conditionalFormatting>
  <conditionalFormatting sqref="L247:L283 L286 L340">
    <cfRule type="cellIs" dxfId="2" priority="129" stopIfTrue="1" operator="equal">
      <formula>" "</formula>
    </cfRule>
  </conditionalFormatting>
  <conditionalFormatting sqref="N247:R283 N286:R286 N340:R340">
    <cfRule type="cellIs" dxfId="2" priority="128" stopIfTrue="1" operator="equal">
      <formula>" "</formula>
    </cfRule>
  </conditionalFormatting>
  <conditionalFormatting sqref="N287:R296">
    <cfRule type="cellIs" dxfId="2" priority="75" stopIfTrue="1" operator="equal">
      <formula>" "</formula>
    </cfRule>
  </conditionalFormatting>
  <conditionalFormatting sqref="L299:L307 L339">
    <cfRule type="cellIs" dxfId="2" priority="67" stopIfTrue="1" operator="equal">
      <formula>" "</formula>
    </cfRule>
  </conditionalFormatting>
  <conditionalFormatting sqref="N299:R307 N339:R339">
    <cfRule type="cellIs" dxfId="2" priority="66" stopIfTrue="1" operator="equal">
      <formula>" "</formula>
    </cfRule>
  </conditionalFormatting>
  <conditionalFormatting sqref="N308:R322">
    <cfRule type="cellIs" dxfId="2" priority="63" stopIfTrue="1" operator="equal">
      <formula>" "</formula>
    </cfRule>
  </conditionalFormatting>
  <conditionalFormatting sqref="N324:R329">
    <cfRule type="cellIs" dxfId="2" priority="57" stopIfTrue="1" operator="equal">
      <formula>" "</formula>
    </cfRule>
  </conditionalFormatting>
  <conditionalFormatting sqref="N330:R338">
    <cfRule type="cellIs" dxfId="2" priority="54" stopIfTrue="1" operator="equal">
      <formula>" "</formula>
    </cfRule>
  </conditionalFormatting>
  <dataValidations count="2">
    <dataValidation type="list" allowBlank="1" showInputMessage="1" showErrorMessage="1" sqref="M9:M342">
      <formula1>"Có, Không"</formula1>
    </dataValidation>
    <dataValidation type="list" allowBlank="1" showInputMessage="1" showErrorMessage="1" sqref="L8:M8">
      <formula1>"WFW, Tiến trình, PHP, Mobile Client, ERP"</formula1>
    </dataValidation>
  </dataValidations>
  <pageMargins left="0.4" right="0.2" top="0.75" bottom="0.837121212121212" header="0.2" footer="0.2"/>
  <pageSetup paperSize="1" scale="32" fitToHeight="0" orientation="landscape"/>
  <headerFooter>
    <oddFooter>&amp;L&amp;"Arial,Italic"HD.VTS.QLCL.01&amp;C&amp;"Arial,Italic"Lần ban hành:     /Ngày&amp;R&amp;P/&amp;N</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IS48"/>
  <sheetViews>
    <sheetView zoomScaleSheetLayoutView="85" topLeftCell="A7" workbookViewId="0">
      <selection activeCell="E25" sqref="E25"/>
    </sheetView>
  </sheetViews>
  <sheetFormatPr defaultColWidth="9" defaultRowHeight="15"/>
  <cols>
    <col min="1" max="1" width="5" style="224" customWidth="1"/>
    <col min="2" max="2" width="11.5714285714286" style="224" customWidth="1"/>
    <col min="3" max="3" width="39.1428571428571" style="224" customWidth="1"/>
    <col min="4" max="4" width="49.7142857142857" style="225" customWidth="1"/>
    <col min="5" max="5" width="23.7142857142857" style="226" customWidth="1"/>
    <col min="6" max="233" width="9.14285714285714" style="225"/>
    <col min="234" max="234" width="5" style="225" customWidth="1"/>
    <col min="235" max="235" width="10.5714285714286" style="225" customWidth="1"/>
    <col min="236" max="236" width="11.5714285714286" style="225" customWidth="1"/>
    <col min="237" max="237" width="19.4285714285714" style="225" customWidth="1"/>
    <col min="238" max="238" width="11.2857142857143" style="225" customWidth="1"/>
    <col min="239" max="239" width="9.85714285714286" style="225" customWidth="1"/>
    <col min="240" max="240" width="18.1428571428571" style="225" customWidth="1"/>
    <col min="241" max="241" width="27.7142857142857" style="225" customWidth="1"/>
    <col min="242" max="242" width="11" style="225" customWidth="1"/>
    <col min="243" max="243" width="10.5714285714286" style="225" customWidth="1"/>
    <col min="244" max="244" width="9.14285714285714" style="225"/>
    <col min="245" max="245" width="19.5714285714286" style="225" customWidth="1"/>
    <col min="246" max="246" width="18.1428571428571" style="225" customWidth="1"/>
    <col min="247" max="247" width="11.7142857142857" style="225" customWidth="1"/>
    <col min="248" max="16384" width="9.14285714285714" style="225"/>
  </cols>
  <sheetData>
    <row r="1" ht="20.25" customHeight="1" spans="1:5">
      <c r="A1" s="329" t="s">
        <v>909</v>
      </c>
      <c r="B1" s="329"/>
      <c r="C1" s="329"/>
      <c r="D1" s="329"/>
      <c r="E1" s="329"/>
    </row>
    <row r="2" ht="18" spans="1:253">
      <c r="A2" s="330">
        <f>'Trang bia'!A7:I7</f>
        <v>0</v>
      </c>
      <c r="B2" s="330"/>
      <c r="C2" s="330"/>
      <c r="D2" s="330"/>
      <c r="E2" s="330"/>
      <c r="F2" s="338"/>
      <c r="G2" s="338"/>
      <c r="H2" s="338"/>
      <c r="I2" s="338"/>
      <c r="J2" s="338"/>
      <c r="K2" s="338"/>
      <c r="L2" s="338"/>
      <c r="M2" s="338"/>
      <c r="N2" s="338"/>
      <c r="O2" s="338"/>
      <c r="P2" s="338"/>
      <c r="Q2" s="338"/>
      <c r="R2" s="338"/>
      <c r="S2" s="338"/>
      <c r="T2" s="338"/>
      <c r="U2" s="338"/>
      <c r="V2" s="338"/>
      <c r="W2" s="338"/>
      <c r="X2" s="338"/>
      <c r="Y2" s="338"/>
      <c r="Z2" s="338"/>
      <c r="AA2" s="338"/>
      <c r="AB2" s="338"/>
      <c r="AC2" s="338"/>
      <c r="AD2" s="338"/>
      <c r="AE2" s="338"/>
      <c r="AF2" s="338"/>
      <c r="AG2" s="338"/>
      <c r="AH2" s="338"/>
      <c r="AI2" s="338"/>
      <c r="AJ2" s="338"/>
      <c r="AK2" s="338"/>
      <c r="AL2" s="338"/>
      <c r="AM2" s="338"/>
      <c r="AN2" s="338"/>
      <c r="AO2" s="338"/>
      <c r="AP2" s="338"/>
      <c r="AQ2" s="338"/>
      <c r="AR2" s="338"/>
      <c r="AS2" s="338"/>
      <c r="AT2" s="338"/>
      <c r="AU2" s="338"/>
      <c r="AV2" s="338"/>
      <c r="AW2" s="338"/>
      <c r="AX2" s="338"/>
      <c r="AY2" s="338"/>
      <c r="AZ2" s="338"/>
      <c r="BA2" s="338"/>
      <c r="BB2" s="338"/>
      <c r="BC2" s="338"/>
      <c r="BD2" s="338"/>
      <c r="BE2" s="338"/>
      <c r="BF2" s="338"/>
      <c r="BG2" s="338"/>
      <c r="BH2" s="338"/>
      <c r="BI2" s="338"/>
      <c r="BJ2" s="338"/>
      <c r="BK2" s="338"/>
      <c r="BL2" s="338"/>
      <c r="BM2" s="338"/>
      <c r="BN2" s="338"/>
      <c r="BO2" s="338"/>
      <c r="BP2" s="338"/>
      <c r="BQ2" s="338"/>
      <c r="BR2" s="338"/>
      <c r="BS2" s="338"/>
      <c r="BT2" s="338"/>
      <c r="BU2" s="338"/>
      <c r="BV2" s="338"/>
      <c r="BW2" s="338"/>
      <c r="BX2" s="338"/>
      <c r="BY2" s="338"/>
      <c r="BZ2" s="338"/>
      <c r="CA2" s="338"/>
      <c r="CB2" s="338"/>
      <c r="CC2" s="338"/>
      <c r="CD2" s="338"/>
      <c r="CE2" s="338"/>
      <c r="CF2" s="338"/>
      <c r="CG2" s="338"/>
      <c r="CH2" s="338"/>
      <c r="CI2" s="338"/>
      <c r="CJ2" s="338"/>
      <c r="CK2" s="338"/>
      <c r="CL2" s="338"/>
      <c r="CM2" s="338"/>
      <c r="CN2" s="338"/>
      <c r="CO2" s="338"/>
      <c r="CP2" s="338"/>
      <c r="CQ2" s="338"/>
      <c r="CR2" s="338"/>
      <c r="CS2" s="338"/>
      <c r="CT2" s="338"/>
      <c r="CU2" s="338"/>
      <c r="CV2" s="338"/>
      <c r="CW2" s="338"/>
      <c r="CX2" s="338"/>
      <c r="CY2" s="338"/>
      <c r="CZ2" s="338"/>
      <c r="DA2" s="338"/>
      <c r="DB2" s="338"/>
      <c r="DC2" s="338"/>
      <c r="DD2" s="338"/>
      <c r="DE2" s="338"/>
      <c r="DF2" s="338"/>
      <c r="DG2" s="338"/>
      <c r="DH2" s="338"/>
      <c r="DI2" s="338"/>
      <c r="DJ2" s="338"/>
      <c r="DK2" s="338"/>
      <c r="DL2" s="338"/>
      <c r="DM2" s="338"/>
      <c r="DN2" s="338"/>
      <c r="DO2" s="338"/>
      <c r="DP2" s="338"/>
      <c r="DQ2" s="338"/>
      <c r="DR2" s="338"/>
      <c r="DS2" s="338"/>
      <c r="DT2" s="338"/>
      <c r="DU2" s="338"/>
      <c r="DV2" s="338"/>
      <c r="DW2" s="338"/>
      <c r="DX2" s="338"/>
      <c r="DY2" s="338"/>
      <c r="DZ2" s="338"/>
      <c r="EA2" s="338"/>
      <c r="EB2" s="338"/>
      <c r="EC2" s="338"/>
      <c r="ED2" s="338"/>
      <c r="EE2" s="338"/>
      <c r="EF2" s="338"/>
      <c r="EG2" s="338"/>
      <c r="EH2" s="338"/>
      <c r="EI2" s="338"/>
      <c r="EJ2" s="338"/>
      <c r="EK2" s="338"/>
      <c r="EL2" s="338"/>
      <c r="EM2" s="338"/>
      <c r="EN2" s="338"/>
      <c r="EO2" s="338"/>
      <c r="EP2" s="338"/>
      <c r="EQ2" s="338"/>
      <c r="ER2" s="338"/>
      <c r="ES2" s="338"/>
      <c r="ET2" s="338"/>
      <c r="EU2" s="338"/>
      <c r="EV2" s="338"/>
      <c r="EW2" s="338"/>
      <c r="EX2" s="338"/>
      <c r="EY2" s="338"/>
      <c r="EZ2" s="338"/>
      <c r="FA2" s="338"/>
      <c r="FB2" s="338"/>
      <c r="FC2" s="338"/>
      <c r="FD2" s="338"/>
      <c r="FE2" s="338"/>
      <c r="FF2" s="338"/>
      <c r="FG2" s="338"/>
      <c r="FH2" s="338"/>
      <c r="FI2" s="338"/>
      <c r="FJ2" s="338"/>
      <c r="FK2" s="338"/>
      <c r="FL2" s="338"/>
      <c r="FM2" s="338"/>
      <c r="FN2" s="338"/>
      <c r="FO2" s="338"/>
      <c r="FP2" s="338"/>
      <c r="FQ2" s="338"/>
      <c r="FR2" s="338"/>
      <c r="FS2" s="338"/>
      <c r="FT2" s="338"/>
      <c r="FU2" s="338"/>
      <c r="FV2" s="338"/>
      <c r="FW2" s="338"/>
      <c r="FX2" s="338"/>
      <c r="FY2" s="338"/>
      <c r="FZ2" s="338"/>
      <c r="GA2" s="338"/>
      <c r="GB2" s="338"/>
      <c r="GC2" s="338"/>
      <c r="GD2" s="338"/>
      <c r="GE2" s="338"/>
      <c r="GF2" s="338"/>
      <c r="GG2" s="338"/>
      <c r="GH2" s="338"/>
      <c r="GI2" s="338"/>
      <c r="GJ2" s="338"/>
      <c r="GK2" s="338"/>
      <c r="GL2" s="338"/>
      <c r="GM2" s="338"/>
      <c r="GN2" s="338"/>
      <c r="GO2" s="338"/>
      <c r="GP2" s="338"/>
      <c r="GQ2" s="338"/>
      <c r="GR2" s="338"/>
      <c r="GS2" s="338"/>
      <c r="GT2" s="338"/>
      <c r="GU2" s="338"/>
      <c r="GV2" s="338"/>
      <c r="GW2" s="338"/>
      <c r="GX2" s="338"/>
      <c r="GY2" s="338"/>
      <c r="GZ2" s="338"/>
      <c r="HA2" s="338"/>
      <c r="HB2" s="338"/>
      <c r="HC2" s="338"/>
      <c r="HD2" s="338"/>
      <c r="HE2" s="338"/>
      <c r="HF2" s="338"/>
      <c r="HG2" s="338"/>
      <c r="HH2" s="338"/>
      <c r="HI2" s="338"/>
      <c r="HJ2" s="338"/>
      <c r="HK2" s="338"/>
      <c r="HL2" s="338"/>
      <c r="HM2" s="338"/>
      <c r="HN2" s="338"/>
      <c r="HO2" s="338"/>
      <c r="HP2" s="338"/>
      <c r="HQ2" s="338"/>
      <c r="HR2" s="338"/>
      <c r="HS2" s="338"/>
      <c r="HT2" s="338"/>
      <c r="HU2" s="338"/>
      <c r="HV2" s="338"/>
      <c r="HW2" s="338"/>
      <c r="HX2" s="338"/>
      <c r="HY2" s="338"/>
      <c r="HZ2" s="338"/>
      <c r="IA2" s="338"/>
      <c r="IB2" s="338"/>
      <c r="IC2" s="338"/>
      <c r="ID2" s="338"/>
      <c r="IE2" s="338"/>
      <c r="IF2" s="338"/>
      <c r="IG2" s="338"/>
      <c r="IH2" s="338"/>
      <c r="II2" s="338"/>
      <c r="IJ2" s="338"/>
      <c r="IK2" s="338"/>
      <c r="IL2" s="338"/>
      <c r="IM2" s="338"/>
      <c r="IN2" s="338"/>
      <c r="IO2" s="338"/>
      <c r="IP2" s="338"/>
      <c r="IQ2" s="338"/>
      <c r="IR2" s="338"/>
      <c r="IS2" s="338"/>
    </row>
    <row r="3" ht="18" spans="1:3">
      <c r="A3" s="331" t="s">
        <v>265</v>
      </c>
      <c r="B3" s="331"/>
      <c r="C3" s="231"/>
    </row>
    <row r="4" spans="1:5">
      <c r="A4" s="332"/>
      <c r="B4" s="332"/>
      <c r="C4" s="225" t="s">
        <v>910</v>
      </c>
      <c r="E4" s="245"/>
    </row>
    <row r="5" spans="1:3">
      <c r="A5" s="332"/>
      <c r="B5" s="332"/>
      <c r="C5" s="225" t="s">
        <v>911</v>
      </c>
    </row>
    <row r="6" spans="1:4">
      <c r="A6" s="332"/>
      <c r="B6" s="332"/>
      <c r="C6" s="333" t="s">
        <v>912</v>
      </c>
      <c r="D6" s="334">
        <f>E46</f>
        <v>2027.21603274986</v>
      </c>
    </row>
    <row r="7" spans="1:253">
      <c r="A7" s="234"/>
      <c r="B7" s="234"/>
      <c r="C7" s="234"/>
      <c r="D7" s="224"/>
      <c r="E7" s="246"/>
      <c r="F7" s="224"/>
      <c r="G7" s="224"/>
      <c r="H7" s="224"/>
      <c r="I7" s="224"/>
      <c r="J7" s="224"/>
      <c r="K7" s="224"/>
      <c r="L7" s="224"/>
      <c r="M7" s="224"/>
      <c r="N7" s="224"/>
      <c r="O7" s="224"/>
      <c r="P7" s="224"/>
      <c r="Q7" s="224"/>
      <c r="R7" s="224"/>
      <c r="S7" s="224"/>
      <c r="T7" s="224"/>
      <c r="U7" s="224"/>
      <c r="V7" s="224"/>
      <c r="W7" s="224"/>
      <c r="X7" s="224"/>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4"/>
      <c r="AZ7" s="224"/>
      <c r="BA7" s="224"/>
      <c r="BB7" s="224"/>
      <c r="BC7" s="224"/>
      <c r="BD7" s="224"/>
      <c r="BE7" s="224"/>
      <c r="BF7" s="224"/>
      <c r="BG7" s="224"/>
      <c r="BH7" s="224"/>
      <c r="BI7" s="224"/>
      <c r="BJ7" s="224"/>
      <c r="BK7" s="224"/>
      <c r="BL7" s="224"/>
      <c r="BM7" s="224"/>
      <c r="BN7" s="224"/>
      <c r="BO7" s="224"/>
      <c r="BP7" s="224"/>
      <c r="BQ7" s="224"/>
      <c r="BR7" s="224"/>
      <c r="BS7" s="224"/>
      <c r="BT7" s="224"/>
      <c r="BU7" s="224"/>
      <c r="BV7" s="224"/>
      <c r="BW7" s="224"/>
      <c r="BX7" s="224"/>
      <c r="BY7" s="224"/>
      <c r="BZ7" s="224"/>
      <c r="CA7" s="224"/>
      <c r="CB7" s="224"/>
      <c r="CC7" s="224"/>
      <c r="CD7" s="224"/>
      <c r="CE7" s="224"/>
      <c r="CF7" s="224"/>
      <c r="CG7" s="224"/>
      <c r="CH7" s="224"/>
      <c r="CI7" s="224"/>
      <c r="CJ7" s="224"/>
      <c r="CK7" s="224"/>
      <c r="CL7" s="224"/>
      <c r="CM7" s="224"/>
      <c r="CN7" s="224"/>
      <c r="CO7" s="224"/>
      <c r="CP7" s="224"/>
      <c r="CQ7" s="224"/>
      <c r="CR7" s="224"/>
      <c r="CS7" s="224"/>
      <c r="CT7" s="224"/>
      <c r="CU7" s="224"/>
      <c r="CV7" s="224"/>
      <c r="CW7" s="224"/>
      <c r="CX7" s="224"/>
      <c r="CY7" s="224"/>
      <c r="CZ7" s="224"/>
      <c r="DA7" s="224"/>
      <c r="DB7" s="224"/>
      <c r="DC7" s="224"/>
      <c r="DD7" s="224"/>
      <c r="DE7" s="224"/>
      <c r="DF7" s="224"/>
      <c r="DG7" s="224"/>
      <c r="DH7" s="224"/>
      <c r="DI7" s="224"/>
      <c r="DJ7" s="224"/>
      <c r="DK7" s="224"/>
      <c r="DL7" s="224"/>
      <c r="DM7" s="224"/>
      <c r="DN7" s="224"/>
      <c r="DO7" s="224"/>
      <c r="DP7" s="224"/>
      <c r="DQ7" s="224"/>
      <c r="DR7" s="224"/>
      <c r="DS7" s="224"/>
      <c r="DT7" s="224"/>
      <c r="DU7" s="224"/>
      <c r="DV7" s="224"/>
      <c r="DW7" s="224"/>
      <c r="DX7" s="224"/>
      <c r="DY7" s="224"/>
      <c r="DZ7" s="224"/>
      <c r="EA7" s="224"/>
      <c r="EB7" s="224"/>
      <c r="EC7" s="224"/>
      <c r="ED7" s="224"/>
      <c r="EE7" s="224"/>
      <c r="EF7" s="224"/>
      <c r="EG7" s="224"/>
      <c r="EH7" s="224"/>
      <c r="EI7" s="224"/>
      <c r="EJ7" s="224"/>
      <c r="EK7" s="224"/>
      <c r="EL7" s="224"/>
      <c r="EM7" s="224"/>
      <c r="EN7" s="224"/>
      <c r="EO7" s="224"/>
      <c r="EP7" s="224"/>
      <c r="EQ7" s="224"/>
      <c r="ER7" s="224"/>
      <c r="ES7" s="224"/>
      <c r="ET7" s="224"/>
      <c r="EU7" s="224"/>
      <c r="EV7" s="224"/>
      <c r="EW7" s="224"/>
      <c r="EX7" s="224"/>
      <c r="EY7" s="224"/>
      <c r="EZ7" s="224"/>
      <c r="FA7" s="224"/>
      <c r="FB7" s="224"/>
      <c r="FC7" s="224"/>
      <c r="FD7" s="224"/>
      <c r="FE7" s="224"/>
      <c r="FF7" s="224"/>
      <c r="FG7" s="224"/>
      <c r="FH7" s="224"/>
      <c r="FI7" s="224"/>
      <c r="FJ7" s="224"/>
      <c r="FK7" s="224"/>
      <c r="FL7" s="224"/>
      <c r="FM7" s="224"/>
      <c r="FN7" s="224"/>
      <c r="FO7" s="224"/>
      <c r="FP7" s="224"/>
      <c r="FQ7" s="224"/>
      <c r="FR7" s="224"/>
      <c r="FS7" s="224"/>
      <c r="FT7" s="224"/>
      <c r="FU7" s="224"/>
      <c r="FV7" s="224"/>
      <c r="FW7" s="224"/>
      <c r="FX7" s="224"/>
      <c r="FY7" s="224"/>
      <c r="FZ7" s="224"/>
      <c r="GA7" s="224"/>
      <c r="GB7" s="224"/>
      <c r="GC7" s="224"/>
      <c r="GD7" s="224"/>
      <c r="GE7" s="224"/>
      <c r="GF7" s="224"/>
      <c r="GG7" s="224"/>
      <c r="GH7" s="224"/>
      <c r="GI7" s="224"/>
      <c r="GJ7" s="224"/>
      <c r="GK7" s="224"/>
      <c r="GL7" s="224"/>
      <c r="GM7" s="224"/>
      <c r="GN7" s="224"/>
      <c r="GO7" s="224"/>
      <c r="GP7" s="224"/>
      <c r="GQ7" s="224"/>
      <c r="GR7" s="224"/>
      <c r="GS7" s="224"/>
      <c r="GT7" s="224"/>
      <c r="GU7" s="224"/>
      <c r="GV7" s="224"/>
      <c r="GW7" s="224"/>
      <c r="GX7" s="224"/>
      <c r="GY7" s="224"/>
      <c r="GZ7" s="224"/>
      <c r="HA7" s="224"/>
      <c r="HB7" s="224"/>
      <c r="HC7" s="224"/>
      <c r="HD7" s="224"/>
      <c r="HE7" s="224"/>
      <c r="HF7" s="224"/>
      <c r="HG7" s="224"/>
      <c r="HH7" s="224"/>
      <c r="HI7" s="224"/>
      <c r="HJ7" s="224"/>
      <c r="HK7" s="224"/>
      <c r="HL7" s="224"/>
      <c r="HM7" s="224"/>
      <c r="HN7" s="224"/>
      <c r="HO7" s="224"/>
      <c r="HP7" s="224"/>
      <c r="HQ7" s="224"/>
      <c r="HR7" s="224"/>
      <c r="HS7" s="224"/>
      <c r="HT7" s="224"/>
      <c r="HU7" s="224"/>
      <c r="HV7" s="224"/>
      <c r="HW7" s="224"/>
      <c r="HX7" s="224"/>
      <c r="HY7" s="224"/>
      <c r="HZ7" s="224"/>
      <c r="IA7" s="224"/>
      <c r="IB7" s="224"/>
      <c r="IC7" s="224"/>
      <c r="ID7" s="224"/>
      <c r="IE7" s="224"/>
      <c r="IF7" s="224"/>
      <c r="IG7" s="224"/>
      <c r="IH7" s="224"/>
      <c r="II7" s="224"/>
      <c r="IJ7" s="224"/>
      <c r="IK7" s="224"/>
      <c r="IL7" s="224"/>
      <c r="IM7" s="224"/>
      <c r="IN7" s="224"/>
      <c r="IO7" s="224"/>
      <c r="IP7" s="224"/>
      <c r="IQ7" s="224"/>
      <c r="IR7" s="224"/>
      <c r="IS7" s="224"/>
    </row>
    <row r="8" ht="15.75" customHeight="1" spans="1:253">
      <c r="A8" s="235" t="s">
        <v>267</v>
      </c>
      <c r="B8" s="23" t="s">
        <v>913</v>
      </c>
      <c r="C8" s="236" t="s">
        <v>914</v>
      </c>
      <c r="D8" s="23" t="s">
        <v>915</v>
      </c>
      <c r="E8" s="339" t="s">
        <v>916</v>
      </c>
      <c r="F8" s="260"/>
      <c r="G8" s="260"/>
      <c r="H8" s="260"/>
      <c r="I8" s="260"/>
      <c r="J8" s="260"/>
      <c r="K8" s="260"/>
      <c r="L8" s="260"/>
      <c r="M8" s="260"/>
      <c r="N8" s="260"/>
      <c r="O8" s="260"/>
      <c r="P8" s="260"/>
      <c r="Q8" s="260"/>
      <c r="R8" s="260"/>
      <c r="S8" s="260"/>
      <c r="T8" s="260"/>
      <c r="U8" s="260"/>
      <c r="V8" s="260"/>
      <c r="W8" s="260"/>
      <c r="X8" s="260"/>
      <c r="Y8" s="260"/>
      <c r="Z8" s="260"/>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c r="BQ8" s="260"/>
      <c r="BR8" s="260"/>
      <c r="BS8" s="260"/>
      <c r="BT8" s="260"/>
      <c r="BU8" s="260"/>
      <c r="BV8" s="260"/>
      <c r="BW8" s="260"/>
      <c r="BX8" s="260"/>
      <c r="BY8" s="260"/>
      <c r="BZ8" s="260"/>
      <c r="CA8" s="260"/>
      <c r="CB8" s="260"/>
      <c r="CC8" s="260"/>
      <c r="CD8" s="260"/>
      <c r="CE8" s="260"/>
      <c r="CF8" s="260"/>
      <c r="CG8" s="260"/>
      <c r="CH8" s="260"/>
      <c r="CI8" s="260"/>
      <c r="CJ8" s="260"/>
      <c r="CK8" s="260"/>
      <c r="CL8" s="260"/>
      <c r="CM8" s="260"/>
      <c r="CN8" s="260"/>
      <c r="CO8" s="260"/>
      <c r="CP8" s="260"/>
      <c r="CQ8" s="260"/>
      <c r="CR8" s="260"/>
      <c r="CS8" s="260"/>
      <c r="CT8" s="260"/>
      <c r="CU8" s="260"/>
      <c r="CV8" s="260"/>
      <c r="CW8" s="260"/>
      <c r="CX8" s="260"/>
      <c r="CY8" s="260"/>
      <c r="CZ8" s="260"/>
      <c r="DA8" s="260"/>
      <c r="DB8" s="260"/>
      <c r="DC8" s="260"/>
      <c r="DD8" s="260"/>
      <c r="DE8" s="260"/>
      <c r="DF8" s="260"/>
      <c r="DG8" s="260"/>
      <c r="DH8" s="260"/>
      <c r="DI8" s="260"/>
      <c r="DJ8" s="260"/>
      <c r="DK8" s="260"/>
      <c r="DL8" s="260"/>
      <c r="DM8" s="260"/>
      <c r="DN8" s="260"/>
      <c r="DO8" s="260"/>
      <c r="DP8" s="260"/>
      <c r="DQ8" s="260"/>
      <c r="DR8" s="260"/>
      <c r="DS8" s="260"/>
      <c r="DT8" s="260"/>
      <c r="DU8" s="260"/>
      <c r="DV8" s="260"/>
      <c r="DW8" s="260"/>
      <c r="DX8" s="260"/>
      <c r="DY8" s="260"/>
      <c r="DZ8" s="260"/>
      <c r="EA8" s="260"/>
      <c r="EB8" s="260"/>
      <c r="EC8" s="260"/>
      <c r="ED8" s="260"/>
      <c r="EE8" s="260"/>
      <c r="EF8" s="260"/>
      <c r="EG8" s="260"/>
      <c r="EH8" s="260"/>
      <c r="EI8" s="260"/>
      <c r="EJ8" s="260"/>
      <c r="EK8" s="260"/>
      <c r="EL8" s="260"/>
      <c r="EM8" s="260"/>
      <c r="EN8" s="260"/>
      <c r="EO8" s="260"/>
      <c r="EP8" s="260"/>
      <c r="EQ8" s="260"/>
      <c r="ER8" s="260"/>
      <c r="ES8" s="260"/>
      <c r="ET8" s="260"/>
      <c r="EU8" s="260"/>
      <c r="EV8" s="260"/>
      <c r="EW8" s="260"/>
      <c r="EX8" s="260"/>
      <c r="EY8" s="260"/>
      <c r="EZ8" s="260"/>
      <c r="FA8" s="260"/>
      <c r="FB8" s="260"/>
      <c r="FC8" s="260"/>
      <c r="FD8" s="260"/>
      <c r="FE8" s="260"/>
      <c r="FF8" s="260"/>
      <c r="FG8" s="260"/>
      <c r="FH8" s="260"/>
      <c r="FI8" s="260"/>
      <c r="FJ8" s="260"/>
      <c r="FK8" s="260"/>
      <c r="FL8" s="260"/>
      <c r="FM8" s="260"/>
      <c r="FN8" s="260"/>
      <c r="FO8" s="260"/>
      <c r="FP8" s="260"/>
      <c r="FQ8" s="260"/>
      <c r="FR8" s="260"/>
      <c r="FS8" s="260"/>
      <c r="FT8" s="260"/>
      <c r="FU8" s="260"/>
      <c r="FV8" s="260"/>
      <c r="FW8" s="260"/>
      <c r="FX8" s="260"/>
      <c r="FY8" s="260"/>
      <c r="FZ8" s="260"/>
      <c r="GA8" s="260"/>
      <c r="GB8" s="260"/>
      <c r="GC8" s="260"/>
      <c r="GD8" s="260"/>
      <c r="GE8" s="260"/>
      <c r="GF8" s="260"/>
      <c r="GG8" s="260"/>
      <c r="GH8" s="260"/>
      <c r="GI8" s="260"/>
      <c r="GJ8" s="260"/>
      <c r="GK8" s="260"/>
      <c r="GL8" s="260"/>
      <c r="GM8" s="260"/>
      <c r="GN8" s="260"/>
      <c r="GO8" s="260"/>
      <c r="GP8" s="260"/>
      <c r="GQ8" s="260"/>
      <c r="GR8" s="260"/>
      <c r="GS8" s="260"/>
      <c r="GT8" s="260"/>
      <c r="GU8" s="260"/>
      <c r="GV8" s="260"/>
      <c r="GW8" s="260"/>
      <c r="GX8" s="260"/>
      <c r="GY8" s="260"/>
      <c r="GZ8" s="260"/>
      <c r="HA8" s="260"/>
      <c r="HB8" s="260"/>
      <c r="HC8" s="260"/>
      <c r="HD8" s="260"/>
      <c r="HE8" s="260"/>
      <c r="HF8" s="260"/>
      <c r="HG8" s="260"/>
      <c r="HH8" s="260"/>
      <c r="HI8" s="260"/>
      <c r="HJ8" s="260"/>
      <c r="HK8" s="260"/>
      <c r="HL8" s="260"/>
      <c r="HM8" s="260"/>
      <c r="HN8" s="260"/>
      <c r="HO8" s="260"/>
      <c r="HP8" s="260"/>
      <c r="HQ8" s="260"/>
      <c r="HR8" s="260"/>
      <c r="HS8" s="260"/>
      <c r="HT8" s="260"/>
      <c r="HU8" s="260"/>
      <c r="HV8" s="260"/>
      <c r="HW8" s="260"/>
      <c r="HX8" s="260"/>
      <c r="HY8" s="260"/>
      <c r="HZ8" s="260"/>
      <c r="IA8" s="260"/>
      <c r="IB8" s="260"/>
      <c r="IC8" s="260"/>
      <c r="ID8" s="260"/>
      <c r="IE8" s="260"/>
      <c r="IF8" s="260"/>
      <c r="IG8" s="260"/>
      <c r="IH8" s="260"/>
      <c r="II8" s="260"/>
      <c r="IJ8" s="260"/>
      <c r="IK8" s="260"/>
      <c r="IL8" s="260"/>
      <c r="IM8" s="260"/>
      <c r="IN8" s="260"/>
      <c r="IO8" s="260"/>
      <c r="IP8" s="260"/>
      <c r="IQ8" s="260"/>
      <c r="IR8" s="260"/>
      <c r="IS8" s="260"/>
    </row>
    <row r="9" spans="1:253">
      <c r="A9" s="235"/>
      <c r="B9" s="23"/>
      <c r="C9" s="236"/>
      <c r="D9" s="23"/>
      <c r="E9" s="340"/>
      <c r="F9" s="260"/>
      <c r="G9" s="260"/>
      <c r="H9" s="260"/>
      <c r="I9" s="260"/>
      <c r="J9" s="260"/>
      <c r="K9" s="260"/>
      <c r="L9" s="260"/>
      <c r="M9" s="260"/>
      <c r="N9" s="260"/>
      <c r="O9" s="260"/>
      <c r="P9" s="260"/>
      <c r="Q9" s="260"/>
      <c r="R9" s="260"/>
      <c r="S9" s="260"/>
      <c r="T9" s="260"/>
      <c r="U9" s="260"/>
      <c r="V9" s="260"/>
      <c r="W9" s="260"/>
      <c r="X9" s="260"/>
      <c r="Y9" s="260"/>
      <c r="Z9" s="260"/>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c r="BQ9" s="260"/>
      <c r="BR9" s="260"/>
      <c r="BS9" s="260"/>
      <c r="BT9" s="260"/>
      <c r="BU9" s="260"/>
      <c r="BV9" s="260"/>
      <c r="BW9" s="260"/>
      <c r="BX9" s="260"/>
      <c r="BY9" s="260"/>
      <c r="BZ9" s="260"/>
      <c r="CA9" s="260"/>
      <c r="CB9" s="260"/>
      <c r="CC9" s="260"/>
      <c r="CD9" s="260"/>
      <c r="CE9" s="260"/>
      <c r="CF9" s="260"/>
      <c r="CG9" s="260"/>
      <c r="CH9" s="260"/>
      <c r="CI9" s="260"/>
      <c r="CJ9" s="260"/>
      <c r="CK9" s="260"/>
      <c r="CL9" s="260"/>
      <c r="CM9" s="260"/>
      <c r="CN9" s="260"/>
      <c r="CO9" s="260"/>
      <c r="CP9" s="260"/>
      <c r="CQ9" s="260"/>
      <c r="CR9" s="260"/>
      <c r="CS9" s="260"/>
      <c r="CT9" s="260"/>
      <c r="CU9" s="260"/>
      <c r="CV9" s="260"/>
      <c r="CW9" s="260"/>
      <c r="CX9" s="260"/>
      <c r="CY9" s="260"/>
      <c r="CZ9" s="260"/>
      <c r="DA9" s="260"/>
      <c r="DB9" s="260"/>
      <c r="DC9" s="260"/>
      <c r="DD9" s="260"/>
      <c r="DE9" s="260"/>
      <c r="DF9" s="260"/>
      <c r="DG9" s="260"/>
      <c r="DH9" s="260"/>
      <c r="DI9" s="260"/>
      <c r="DJ9" s="260"/>
      <c r="DK9" s="260"/>
      <c r="DL9" s="260"/>
      <c r="DM9" s="260"/>
      <c r="DN9" s="260"/>
      <c r="DO9" s="260"/>
      <c r="DP9" s="260"/>
      <c r="DQ9" s="260"/>
      <c r="DR9" s="260"/>
      <c r="DS9" s="260"/>
      <c r="DT9" s="260"/>
      <c r="DU9" s="260"/>
      <c r="DV9" s="260"/>
      <c r="DW9" s="260"/>
      <c r="DX9" s="260"/>
      <c r="DY9" s="260"/>
      <c r="DZ9" s="260"/>
      <c r="EA9" s="260"/>
      <c r="EB9" s="260"/>
      <c r="EC9" s="260"/>
      <c r="ED9" s="260"/>
      <c r="EE9" s="260"/>
      <c r="EF9" s="260"/>
      <c r="EG9" s="260"/>
      <c r="EH9" s="260"/>
      <c r="EI9" s="260"/>
      <c r="EJ9" s="260"/>
      <c r="EK9" s="260"/>
      <c r="EL9" s="260"/>
      <c r="EM9" s="260"/>
      <c r="EN9" s="260"/>
      <c r="EO9" s="260"/>
      <c r="EP9" s="260"/>
      <c r="EQ9" s="260"/>
      <c r="ER9" s="260"/>
      <c r="ES9" s="260"/>
      <c r="ET9" s="260"/>
      <c r="EU9" s="260"/>
      <c r="EV9" s="260"/>
      <c r="EW9" s="260"/>
      <c r="EX9" s="260"/>
      <c r="EY9" s="260"/>
      <c r="EZ9" s="260"/>
      <c r="FA9" s="260"/>
      <c r="FB9" s="260"/>
      <c r="FC9" s="260"/>
      <c r="FD9" s="260"/>
      <c r="FE9" s="260"/>
      <c r="FF9" s="260"/>
      <c r="FG9" s="260"/>
      <c r="FH9" s="260"/>
      <c r="FI9" s="260"/>
      <c r="FJ9" s="260"/>
      <c r="FK9" s="260"/>
      <c r="FL9" s="260"/>
      <c r="FM9" s="260"/>
      <c r="FN9" s="260"/>
      <c r="FO9" s="260"/>
      <c r="FP9" s="260"/>
      <c r="FQ9" s="260"/>
      <c r="FR9" s="260"/>
      <c r="FS9" s="260"/>
      <c r="FT9" s="260"/>
      <c r="FU9" s="260"/>
      <c r="FV9" s="260"/>
      <c r="FW9" s="260"/>
      <c r="FX9" s="260"/>
      <c r="FY9" s="260"/>
      <c r="FZ9" s="260"/>
      <c r="GA9" s="260"/>
      <c r="GB9" s="260"/>
      <c r="GC9" s="260"/>
      <c r="GD9" s="260"/>
      <c r="GE9" s="260"/>
      <c r="GF9" s="260"/>
      <c r="GG9" s="260"/>
      <c r="GH9" s="260"/>
      <c r="GI9" s="260"/>
      <c r="GJ9" s="260"/>
      <c r="GK9" s="260"/>
      <c r="GL9" s="260"/>
      <c r="GM9" s="260"/>
      <c r="GN9" s="260"/>
      <c r="GO9" s="260"/>
      <c r="GP9" s="260"/>
      <c r="GQ9" s="260"/>
      <c r="GR9" s="260"/>
      <c r="GS9" s="260"/>
      <c r="GT9" s="260"/>
      <c r="GU9" s="260"/>
      <c r="GV9" s="260"/>
      <c r="GW9" s="260"/>
      <c r="GX9" s="260"/>
      <c r="GY9" s="260"/>
      <c r="GZ9" s="260"/>
      <c r="HA9" s="260"/>
      <c r="HB9" s="260"/>
      <c r="HC9" s="260"/>
      <c r="HD9" s="260"/>
      <c r="HE9" s="260"/>
      <c r="HF9" s="260"/>
      <c r="HG9" s="260"/>
      <c r="HH9" s="260"/>
      <c r="HI9" s="260"/>
      <c r="HJ9" s="260"/>
      <c r="HK9" s="260"/>
      <c r="HL9" s="260"/>
      <c r="HM9" s="260"/>
      <c r="HN9" s="260"/>
      <c r="HO9" s="260"/>
      <c r="HP9" s="260"/>
      <c r="HQ9" s="260"/>
      <c r="HR9" s="260"/>
      <c r="HS9" s="260"/>
      <c r="HT9" s="260"/>
      <c r="HU9" s="260"/>
      <c r="HV9" s="260"/>
      <c r="HW9" s="260"/>
      <c r="HX9" s="260"/>
      <c r="HY9" s="260"/>
      <c r="HZ9" s="260"/>
      <c r="IA9" s="260"/>
      <c r="IB9" s="260"/>
      <c r="IC9" s="260"/>
      <c r="ID9" s="260"/>
      <c r="IE9" s="260"/>
      <c r="IF9" s="260"/>
      <c r="IG9" s="260"/>
      <c r="IH9" s="260"/>
      <c r="II9" s="260"/>
      <c r="IJ9" s="260"/>
      <c r="IK9" s="260"/>
      <c r="IL9" s="260"/>
      <c r="IM9" s="260"/>
      <c r="IN9" s="260"/>
      <c r="IO9" s="260"/>
      <c r="IP9" s="260"/>
      <c r="IQ9" s="260"/>
      <c r="IR9" s="260"/>
      <c r="IS9" s="260"/>
    </row>
    <row r="10" spans="1:253">
      <c r="A10" s="237">
        <v>1</v>
      </c>
      <c r="B10" s="154" t="s">
        <v>917</v>
      </c>
      <c r="C10" s="335" t="str">
        <f>IF(B10="","",VLOOKUP(B10,'CSDL Phi CN'!$B$3:$H$70,2,FALSE))</f>
        <v>Nỗ lực QTDA </v>
      </c>
      <c r="D10" s="556" t="s">
        <v>918</v>
      </c>
      <c r="E10" s="341">
        <f>0.1*'NL Chuc nang'!E341</f>
        <v>1067.624</v>
      </c>
      <c r="F10" s="261">
        <f>E10/8/22</f>
        <v>6.06604545454546</v>
      </c>
      <c r="G10" s="261"/>
      <c r="H10" s="261"/>
      <c r="I10" s="261"/>
      <c r="J10" s="261"/>
      <c r="K10" s="261"/>
      <c r="L10" s="261"/>
      <c r="M10" s="261"/>
      <c r="N10" s="261"/>
      <c r="O10" s="261"/>
      <c r="P10" s="261"/>
      <c r="Q10" s="261"/>
      <c r="R10" s="261"/>
      <c r="S10" s="261"/>
      <c r="T10" s="261"/>
      <c r="U10" s="261"/>
      <c r="V10" s="261"/>
      <c r="W10" s="261"/>
      <c r="X10" s="261"/>
      <c r="Y10" s="261"/>
      <c r="Z10" s="261"/>
      <c r="AA10" s="261"/>
      <c r="AB10" s="261"/>
      <c r="AC10" s="261"/>
      <c r="AD10" s="261"/>
      <c r="AE10" s="261"/>
      <c r="AF10" s="261"/>
      <c r="AG10" s="261"/>
      <c r="AH10" s="261"/>
      <c r="AI10" s="261"/>
      <c r="AJ10" s="261"/>
      <c r="AK10" s="261"/>
      <c r="AL10" s="261"/>
      <c r="AM10" s="261"/>
      <c r="AN10" s="261"/>
      <c r="AO10" s="261"/>
      <c r="AP10" s="261"/>
      <c r="AQ10" s="261"/>
      <c r="AR10" s="261"/>
      <c r="AS10" s="261"/>
      <c r="AT10" s="261"/>
      <c r="AU10" s="261"/>
      <c r="AV10" s="261"/>
      <c r="AW10" s="261"/>
      <c r="AX10" s="261"/>
      <c r="AY10" s="261"/>
      <c r="AZ10" s="261"/>
      <c r="BA10" s="261"/>
      <c r="BB10" s="261"/>
      <c r="BC10" s="261"/>
      <c r="BD10" s="261"/>
      <c r="BE10" s="261"/>
      <c r="BF10" s="261"/>
      <c r="BG10" s="261"/>
      <c r="BH10" s="261"/>
      <c r="BI10" s="261"/>
      <c r="BJ10" s="261"/>
      <c r="BK10" s="261"/>
      <c r="BL10" s="261"/>
      <c r="BM10" s="261"/>
      <c r="BN10" s="261"/>
      <c r="BO10" s="261"/>
      <c r="BP10" s="261"/>
      <c r="BQ10" s="261"/>
      <c r="BR10" s="261"/>
      <c r="BS10" s="261"/>
      <c r="BT10" s="261"/>
      <c r="BU10" s="261"/>
      <c r="BV10" s="261"/>
      <c r="BW10" s="261"/>
      <c r="BX10" s="261"/>
      <c r="BY10" s="261"/>
      <c r="BZ10" s="261"/>
      <c r="CA10" s="261"/>
      <c r="CB10" s="261"/>
      <c r="CC10" s="261"/>
      <c r="CD10" s="261"/>
      <c r="CE10" s="261"/>
      <c r="CF10" s="261"/>
      <c r="CG10" s="261"/>
      <c r="CH10" s="261"/>
      <c r="CI10" s="261"/>
      <c r="CJ10" s="261"/>
      <c r="CK10" s="261"/>
      <c r="CL10" s="261"/>
      <c r="CM10" s="261"/>
      <c r="CN10" s="261"/>
      <c r="CO10" s="261"/>
      <c r="CP10" s="261"/>
      <c r="CQ10" s="261"/>
      <c r="CR10" s="261"/>
      <c r="CS10" s="261"/>
      <c r="CT10" s="261"/>
      <c r="CU10" s="261"/>
      <c r="CV10" s="261"/>
      <c r="CW10" s="261"/>
      <c r="CX10" s="261"/>
      <c r="CY10" s="261"/>
      <c r="CZ10" s="261"/>
      <c r="DA10" s="261"/>
      <c r="DB10" s="261"/>
      <c r="DC10" s="261"/>
      <c r="DD10" s="261"/>
      <c r="DE10" s="261"/>
      <c r="DF10" s="261"/>
      <c r="DG10" s="261"/>
      <c r="DH10" s="261"/>
      <c r="DI10" s="261"/>
      <c r="DJ10" s="261"/>
      <c r="DK10" s="261"/>
      <c r="DL10" s="261"/>
      <c r="DM10" s="261"/>
      <c r="DN10" s="261"/>
      <c r="DO10" s="261"/>
      <c r="DP10" s="261"/>
      <c r="DQ10" s="261"/>
      <c r="DR10" s="261"/>
      <c r="DS10" s="261"/>
      <c r="DT10" s="261"/>
      <c r="DU10" s="261"/>
      <c r="DV10" s="261"/>
      <c r="DW10" s="261"/>
      <c r="DX10" s="261"/>
      <c r="DY10" s="261"/>
      <c r="DZ10" s="261"/>
      <c r="EA10" s="261"/>
      <c r="EB10" s="261"/>
      <c r="EC10" s="261"/>
      <c r="ED10" s="261"/>
      <c r="EE10" s="261"/>
      <c r="EF10" s="261"/>
      <c r="EG10" s="261"/>
      <c r="EH10" s="261"/>
      <c r="EI10" s="261"/>
      <c r="EJ10" s="261"/>
      <c r="EK10" s="261"/>
      <c r="EL10" s="261"/>
      <c r="EM10" s="261"/>
      <c r="EN10" s="261"/>
      <c r="EO10" s="261"/>
      <c r="EP10" s="261"/>
      <c r="EQ10" s="261"/>
      <c r="ER10" s="261"/>
      <c r="ES10" s="261"/>
      <c r="ET10" s="261"/>
      <c r="EU10" s="261"/>
      <c r="EV10" s="261"/>
      <c r="EW10" s="261"/>
      <c r="EX10" s="261"/>
      <c r="EY10" s="261"/>
      <c r="EZ10" s="261"/>
      <c r="FA10" s="261"/>
      <c r="FB10" s="261"/>
      <c r="FC10" s="261"/>
      <c r="FD10" s="261"/>
      <c r="FE10" s="261"/>
      <c r="FF10" s="261"/>
      <c r="FG10" s="261"/>
      <c r="FH10" s="261"/>
      <c r="FI10" s="261"/>
      <c r="FJ10" s="261"/>
      <c r="FK10" s="261"/>
      <c r="FL10" s="261"/>
      <c r="FM10" s="261"/>
      <c r="FN10" s="261"/>
      <c r="FO10" s="261"/>
      <c r="FP10" s="261"/>
      <c r="FQ10" s="261"/>
      <c r="FR10" s="261"/>
      <c r="FS10" s="261"/>
      <c r="FT10" s="261"/>
      <c r="FU10" s="261"/>
      <c r="FV10" s="261"/>
      <c r="FW10" s="261"/>
      <c r="FX10" s="261"/>
      <c r="FY10" s="261"/>
      <c r="FZ10" s="261"/>
      <c r="GA10" s="261"/>
      <c r="GB10" s="261"/>
      <c r="GC10" s="261"/>
      <c r="GD10" s="261"/>
      <c r="GE10" s="261"/>
      <c r="GF10" s="261"/>
      <c r="GG10" s="261"/>
      <c r="GH10" s="261"/>
      <c r="GI10" s="261"/>
      <c r="GJ10" s="261"/>
      <c r="GK10" s="261"/>
      <c r="GL10" s="261"/>
      <c r="GM10" s="261"/>
      <c r="GN10" s="261"/>
      <c r="GO10" s="261"/>
      <c r="GP10" s="261"/>
      <c r="GQ10" s="261"/>
      <c r="GR10" s="261"/>
      <c r="GS10" s="261"/>
      <c r="GT10" s="261"/>
      <c r="GU10" s="261"/>
      <c r="GV10" s="261"/>
      <c r="GW10" s="261"/>
      <c r="GX10" s="261"/>
      <c r="GY10" s="261"/>
      <c r="GZ10" s="261"/>
      <c r="HA10" s="261"/>
      <c r="HB10" s="261"/>
      <c r="HC10" s="261"/>
      <c r="HD10" s="261"/>
      <c r="HE10" s="261"/>
      <c r="HF10" s="261"/>
      <c r="HG10" s="261"/>
      <c r="HH10" s="261"/>
      <c r="HI10" s="261"/>
      <c r="HJ10" s="261"/>
      <c r="HK10" s="261"/>
      <c r="HL10" s="261"/>
      <c r="HM10" s="261"/>
      <c r="HN10" s="261"/>
      <c r="HO10" s="261"/>
      <c r="HP10" s="261"/>
      <c r="HQ10" s="261"/>
      <c r="HR10" s="261"/>
      <c r="HS10" s="261"/>
      <c r="HT10" s="261"/>
      <c r="HU10" s="261"/>
      <c r="HV10" s="261"/>
      <c r="HW10" s="261"/>
      <c r="HX10" s="261"/>
      <c r="HY10" s="261"/>
      <c r="HZ10" s="261"/>
      <c r="IA10" s="261"/>
      <c r="IB10" s="261"/>
      <c r="IC10" s="261"/>
      <c r="ID10" s="261"/>
      <c r="IE10" s="261"/>
      <c r="IF10" s="261"/>
      <c r="IG10" s="261"/>
      <c r="IH10" s="261"/>
      <c r="II10" s="261"/>
      <c r="IJ10" s="261"/>
      <c r="IK10" s="261"/>
      <c r="IL10" s="261"/>
      <c r="IM10" s="261"/>
      <c r="IN10" s="261"/>
      <c r="IO10" s="261"/>
      <c r="IP10" s="261"/>
      <c r="IQ10" s="261"/>
      <c r="IR10" s="261"/>
      <c r="IS10" s="261"/>
    </row>
    <row r="11" spans="1:253">
      <c r="A11" s="237">
        <v>2</v>
      </c>
      <c r="B11" s="156" t="s">
        <v>919</v>
      </c>
      <c r="C11" s="335" t="str">
        <f>IF(B11="","",VLOOKUP(B11,'CSDL Phi CN'!$B$3:$H$70,2,FALSE))</f>
        <v>Triển khai hệ thống mới trên hạ tầng mới</v>
      </c>
      <c r="D11" s="556" t="s">
        <v>920</v>
      </c>
      <c r="E11" s="341">
        <f>IF(B11="","",VLOOKUP(B11,'CSDL Phi CN'!$B$3:$H$72,6,FALSE))</f>
        <v>6.4</v>
      </c>
      <c r="F11" s="261"/>
      <c r="G11" s="261"/>
      <c r="H11" s="261"/>
      <c r="I11" s="261"/>
      <c r="J11" s="261"/>
      <c r="K11" s="261"/>
      <c r="L11" s="261"/>
      <c r="M11" s="261"/>
      <c r="N11" s="261"/>
      <c r="O11" s="261"/>
      <c r="P11" s="261"/>
      <c r="Q11" s="261"/>
      <c r="R11" s="261"/>
      <c r="S11" s="261"/>
      <c r="T11" s="261"/>
      <c r="U11" s="261"/>
      <c r="V11" s="261"/>
      <c r="W11" s="261"/>
      <c r="X11" s="261"/>
      <c r="Y11" s="261"/>
      <c r="Z11" s="261"/>
      <c r="AA11" s="261"/>
      <c r="AB11" s="261"/>
      <c r="AC11" s="261"/>
      <c r="AD11" s="261"/>
      <c r="AE11" s="261"/>
      <c r="AF11" s="261"/>
      <c r="AG11" s="261"/>
      <c r="AH11" s="261"/>
      <c r="AI11" s="261"/>
      <c r="AJ11" s="261"/>
      <c r="AK11" s="261"/>
      <c r="AL11" s="261"/>
      <c r="AM11" s="261"/>
      <c r="AN11" s="261"/>
      <c r="AO11" s="261"/>
      <c r="AP11" s="261"/>
      <c r="AQ11" s="261"/>
      <c r="AR11" s="261"/>
      <c r="AS11" s="261"/>
      <c r="AT11" s="261"/>
      <c r="AU11" s="261"/>
      <c r="AV11" s="261"/>
      <c r="AW11" s="261"/>
      <c r="AX11" s="261"/>
      <c r="AY11" s="261"/>
      <c r="AZ11" s="261"/>
      <c r="BA11" s="261"/>
      <c r="BB11" s="261"/>
      <c r="BC11" s="261"/>
      <c r="BD11" s="261"/>
      <c r="BE11" s="261"/>
      <c r="BF11" s="261"/>
      <c r="BG11" s="261"/>
      <c r="BH11" s="261"/>
      <c r="BI11" s="261"/>
      <c r="BJ11" s="261"/>
      <c r="BK11" s="261"/>
      <c r="BL11" s="261"/>
      <c r="BM11" s="261"/>
      <c r="BN11" s="261"/>
      <c r="BO11" s="261"/>
      <c r="BP11" s="261"/>
      <c r="BQ11" s="261"/>
      <c r="BR11" s="261"/>
      <c r="BS11" s="261"/>
      <c r="BT11" s="261"/>
      <c r="BU11" s="261"/>
      <c r="BV11" s="261"/>
      <c r="BW11" s="261"/>
      <c r="BX11" s="261"/>
      <c r="BY11" s="261"/>
      <c r="BZ11" s="261"/>
      <c r="CA11" s="261"/>
      <c r="CB11" s="261"/>
      <c r="CC11" s="261"/>
      <c r="CD11" s="261"/>
      <c r="CE11" s="261"/>
      <c r="CF11" s="261"/>
      <c r="CG11" s="261"/>
      <c r="CH11" s="261"/>
      <c r="CI11" s="261"/>
      <c r="CJ11" s="261"/>
      <c r="CK11" s="261"/>
      <c r="CL11" s="261"/>
      <c r="CM11" s="261"/>
      <c r="CN11" s="261"/>
      <c r="CO11" s="261"/>
      <c r="CP11" s="261"/>
      <c r="CQ11" s="261"/>
      <c r="CR11" s="261"/>
      <c r="CS11" s="261"/>
      <c r="CT11" s="261"/>
      <c r="CU11" s="261"/>
      <c r="CV11" s="261"/>
      <c r="CW11" s="261"/>
      <c r="CX11" s="261"/>
      <c r="CY11" s="261"/>
      <c r="CZ11" s="261"/>
      <c r="DA11" s="261"/>
      <c r="DB11" s="261"/>
      <c r="DC11" s="261"/>
      <c r="DD11" s="261"/>
      <c r="DE11" s="261"/>
      <c r="DF11" s="261"/>
      <c r="DG11" s="261"/>
      <c r="DH11" s="261"/>
      <c r="DI11" s="261"/>
      <c r="DJ11" s="261"/>
      <c r="DK11" s="261"/>
      <c r="DL11" s="261"/>
      <c r="DM11" s="261"/>
      <c r="DN11" s="261"/>
      <c r="DO11" s="261"/>
      <c r="DP11" s="261"/>
      <c r="DQ11" s="261"/>
      <c r="DR11" s="261"/>
      <c r="DS11" s="261"/>
      <c r="DT11" s="261"/>
      <c r="DU11" s="261"/>
      <c r="DV11" s="261"/>
      <c r="DW11" s="261"/>
      <c r="DX11" s="261"/>
      <c r="DY11" s="261"/>
      <c r="DZ11" s="261"/>
      <c r="EA11" s="261"/>
      <c r="EB11" s="261"/>
      <c r="EC11" s="261"/>
      <c r="ED11" s="261"/>
      <c r="EE11" s="261"/>
      <c r="EF11" s="261"/>
      <c r="EG11" s="261"/>
      <c r="EH11" s="261"/>
      <c r="EI11" s="261"/>
      <c r="EJ11" s="261"/>
      <c r="EK11" s="261"/>
      <c r="EL11" s="261"/>
      <c r="EM11" s="261"/>
      <c r="EN11" s="261"/>
      <c r="EO11" s="261"/>
      <c r="EP11" s="261"/>
      <c r="EQ11" s="261"/>
      <c r="ER11" s="261"/>
      <c r="ES11" s="261"/>
      <c r="ET11" s="261"/>
      <c r="EU11" s="261"/>
      <c r="EV11" s="261"/>
      <c r="EW11" s="261"/>
      <c r="EX11" s="261"/>
      <c r="EY11" s="261"/>
      <c r="EZ11" s="261"/>
      <c r="FA11" s="261"/>
      <c r="FB11" s="261"/>
      <c r="FC11" s="261"/>
      <c r="FD11" s="261"/>
      <c r="FE11" s="261"/>
      <c r="FF11" s="261"/>
      <c r="FG11" s="261"/>
      <c r="FH11" s="261"/>
      <c r="FI11" s="261"/>
      <c r="FJ11" s="261"/>
      <c r="FK11" s="261"/>
      <c r="FL11" s="261"/>
      <c r="FM11" s="261"/>
      <c r="FN11" s="261"/>
      <c r="FO11" s="261"/>
      <c r="FP11" s="261"/>
      <c r="FQ11" s="261"/>
      <c r="FR11" s="261"/>
      <c r="FS11" s="261"/>
      <c r="FT11" s="261"/>
      <c r="FU11" s="261"/>
      <c r="FV11" s="261"/>
      <c r="FW11" s="261"/>
      <c r="FX11" s="261"/>
      <c r="FY11" s="261"/>
      <c r="FZ11" s="261"/>
      <c r="GA11" s="261"/>
      <c r="GB11" s="261"/>
      <c r="GC11" s="261"/>
      <c r="GD11" s="261"/>
      <c r="GE11" s="261"/>
      <c r="GF11" s="261"/>
      <c r="GG11" s="261"/>
      <c r="GH11" s="261"/>
      <c r="GI11" s="261"/>
      <c r="GJ11" s="261"/>
      <c r="GK11" s="261"/>
      <c r="GL11" s="261"/>
      <c r="GM11" s="261"/>
      <c r="GN11" s="261"/>
      <c r="GO11" s="261"/>
      <c r="GP11" s="261"/>
      <c r="GQ11" s="261"/>
      <c r="GR11" s="261"/>
      <c r="GS11" s="261"/>
      <c r="GT11" s="261"/>
      <c r="GU11" s="261"/>
      <c r="GV11" s="261"/>
      <c r="GW11" s="261"/>
      <c r="GX11" s="261"/>
      <c r="GY11" s="261"/>
      <c r="GZ11" s="261"/>
      <c r="HA11" s="261"/>
      <c r="HB11" s="261"/>
      <c r="HC11" s="261"/>
      <c r="HD11" s="261"/>
      <c r="HE11" s="261"/>
      <c r="HF11" s="261"/>
      <c r="HG11" s="261"/>
      <c r="HH11" s="261"/>
      <c r="HI11" s="261"/>
      <c r="HJ11" s="261"/>
      <c r="HK11" s="261"/>
      <c r="HL11" s="261"/>
      <c r="HM11" s="261"/>
      <c r="HN11" s="261"/>
      <c r="HO11" s="261"/>
      <c r="HP11" s="261"/>
      <c r="HQ11" s="261"/>
      <c r="HR11" s="261"/>
      <c r="HS11" s="261"/>
      <c r="HT11" s="261"/>
      <c r="HU11" s="261"/>
      <c r="HV11" s="261"/>
      <c r="HW11" s="261"/>
      <c r="HX11" s="261"/>
      <c r="HY11" s="261"/>
      <c r="HZ11" s="261"/>
      <c r="IA11" s="261"/>
      <c r="IB11" s="261"/>
      <c r="IC11" s="261"/>
      <c r="ID11" s="261"/>
      <c r="IE11" s="261"/>
      <c r="IF11" s="261"/>
      <c r="IG11" s="261"/>
      <c r="IH11" s="261"/>
      <c r="II11" s="261"/>
      <c r="IJ11" s="261"/>
      <c r="IK11" s="261"/>
      <c r="IL11" s="261"/>
      <c r="IM11" s="261"/>
      <c r="IN11" s="261"/>
      <c r="IO11" s="261"/>
      <c r="IP11" s="261"/>
      <c r="IQ11" s="261"/>
      <c r="IR11" s="261"/>
      <c r="IS11" s="261"/>
    </row>
    <row r="12" spans="1:253">
      <c r="A12" s="237">
        <v>3</v>
      </c>
      <c r="B12" s="156" t="s">
        <v>921</v>
      </c>
      <c r="C12" s="335" t="str">
        <f>IF(B12="","",VLOOKUP(B12,'CSDL Phi CN'!$B$3:$H$70,2,FALSE))</f>
        <v>Đào tạo VHKT</v>
      </c>
      <c r="D12" s="556" t="s">
        <v>922</v>
      </c>
      <c r="E12" s="341">
        <f>IF(B12="","",VLOOKUP(B12,'CSDL Phi CN'!$B$3:$H$72,6,FALSE))</f>
        <v>2</v>
      </c>
      <c r="F12" s="261"/>
      <c r="G12" s="261"/>
      <c r="H12" s="261"/>
      <c r="I12" s="261"/>
      <c r="J12" s="261"/>
      <c r="K12" s="261"/>
      <c r="L12" s="261"/>
      <c r="M12" s="261"/>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1"/>
      <c r="AS12" s="261"/>
      <c r="AT12" s="261"/>
      <c r="AU12" s="261"/>
      <c r="AV12" s="261"/>
      <c r="AW12" s="261"/>
      <c r="AX12" s="261"/>
      <c r="AY12" s="261"/>
      <c r="AZ12" s="261"/>
      <c r="BA12" s="261"/>
      <c r="BB12" s="261"/>
      <c r="BC12" s="261"/>
      <c r="BD12" s="261"/>
      <c r="BE12" s="261"/>
      <c r="BF12" s="261"/>
      <c r="BG12" s="261"/>
      <c r="BH12" s="261"/>
      <c r="BI12" s="261"/>
      <c r="BJ12" s="261"/>
      <c r="BK12" s="261"/>
      <c r="BL12" s="261"/>
      <c r="BM12" s="261"/>
      <c r="BN12" s="261"/>
      <c r="BO12" s="261"/>
      <c r="BP12" s="261"/>
      <c r="BQ12" s="261"/>
      <c r="BR12" s="261"/>
      <c r="BS12" s="261"/>
      <c r="BT12" s="261"/>
      <c r="BU12" s="261"/>
      <c r="BV12" s="261"/>
      <c r="BW12" s="261"/>
      <c r="BX12" s="261"/>
      <c r="BY12" s="261"/>
      <c r="BZ12" s="261"/>
      <c r="CA12" s="261"/>
      <c r="CB12" s="261"/>
      <c r="CC12" s="261"/>
      <c r="CD12" s="261"/>
      <c r="CE12" s="261"/>
      <c r="CF12" s="261"/>
      <c r="CG12" s="261"/>
      <c r="CH12" s="261"/>
      <c r="CI12" s="261"/>
      <c r="CJ12" s="261"/>
      <c r="CK12" s="261"/>
      <c r="CL12" s="261"/>
      <c r="CM12" s="261"/>
      <c r="CN12" s="261"/>
      <c r="CO12" s="261"/>
      <c r="CP12" s="261"/>
      <c r="CQ12" s="261"/>
      <c r="CR12" s="261"/>
      <c r="CS12" s="261"/>
      <c r="CT12" s="261"/>
      <c r="CU12" s="261"/>
      <c r="CV12" s="261"/>
      <c r="CW12" s="261"/>
      <c r="CX12" s="261"/>
      <c r="CY12" s="261"/>
      <c r="CZ12" s="261"/>
      <c r="DA12" s="261"/>
      <c r="DB12" s="261"/>
      <c r="DC12" s="261"/>
      <c r="DD12" s="261"/>
      <c r="DE12" s="261"/>
      <c r="DF12" s="261"/>
      <c r="DG12" s="261"/>
      <c r="DH12" s="261"/>
      <c r="DI12" s="261"/>
      <c r="DJ12" s="261"/>
      <c r="DK12" s="261"/>
      <c r="DL12" s="261"/>
      <c r="DM12" s="261"/>
      <c r="DN12" s="261"/>
      <c r="DO12" s="261"/>
      <c r="DP12" s="261"/>
      <c r="DQ12" s="261"/>
      <c r="DR12" s="261"/>
      <c r="DS12" s="261"/>
      <c r="DT12" s="261"/>
      <c r="DU12" s="261"/>
      <c r="DV12" s="261"/>
      <c r="DW12" s="261"/>
      <c r="DX12" s="261"/>
      <c r="DY12" s="261"/>
      <c r="DZ12" s="261"/>
      <c r="EA12" s="261"/>
      <c r="EB12" s="261"/>
      <c r="EC12" s="261"/>
      <c r="ED12" s="261"/>
      <c r="EE12" s="261"/>
      <c r="EF12" s="261"/>
      <c r="EG12" s="261"/>
      <c r="EH12" s="261"/>
      <c r="EI12" s="261"/>
      <c r="EJ12" s="261"/>
      <c r="EK12" s="261"/>
      <c r="EL12" s="261"/>
      <c r="EM12" s="261"/>
      <c r="EN12" s="261"/>
      <c r="EO12" s="261"/>
      <c r="EP12" s="261"/>
      <c r="EQ12" s="261"/>
      <c r="ER12" s="261"/>
      <c r="ES12" s="261"/>
      <c r="ET12" s="261"/>
      <c r="EU12" s="261"/>
      <c r="EV12" s="261"/>
      <c r="EW12" s="261"/>
      <c r="EX12" s="261"/>
      <c r="EY12" s="261"/>
      <c r="EZ12" s="261"/>
      <c r="FA12" s="261"/>
      <c r="FB12" s="261"/>
      <c r="FC12" s="261"/>
      <c r="FD12" s="261"/>
      <c r="FE12" s="261"/>
      <c r="FF12" s="261"/>
      <c r="FG12" s="261"/>
      <c r="FH12" s="261"/>
      <c r="FI12" s="261"/>
      <c r="FJ12" s="261"/>
      <c r="FK12" s="261"/>
      <c r="FL12" s="261"/>
      <c r="FM12" s="261"/>
      <c r="FN12" s="261"/>
      <c r="FO12" s="261"/>
      <c r="FP12" s="261"/>
      <c r="FQ12" s="261"/>
      <c r="FR12" s="261"/>
      <c r="FS12" s="261"/>
      <c r="FT12" s="261"/>
      <c r="FU12" s="261"/>
      <c r="FV12" s="261"/>
      <c r="FW12" s="261"/>
      <c r="FX12" s="261"/>
      <c r="FY12" s="261"/>
      <c r="FZ12" s="261"/>
      <c r="GA12" s="261"/>
      <c r="GB12" s="261"/>
      <c r="GC12" s="261"/>
      <c r="GD12" s="261"/>
      <c r="GE12" s="261"/>
      <c r="GF12" s="261"/>
      <c r="GG12" s="261"/>
      <c r="GH12" s="261"/>
      <c r="GI12" s="261"/>
      <c r="GJ12" s="261"/>
      <c r="GK12" s="261"/>
      <c r="GL12" s="261"/>
      <c r="GM12" s="261"/>
      <c r="GN12" s="261"/>
      <c r="GO12" s="261"/>
      <c r="GP12" s="261"/>
      <c r="GQ12" s="261"/>
      <c r="GR12" s="261"/>
      <c r="GS12" s="261"/>
      <c r="GT12" s="261"/>
      <c r="GU12" s="261"/>
      <c r="GV12" s="261"/>
      <c r="GW12" s="261"/>
      <c r="GX12" s="261"/>
      <c r="GY12" s="261"/>
      <c r="GZ12" s="261"/>
      <c r="HA12" s="261"/>
      <c r="HB12" s="261"/>
      <c r="HC12" s="261"/>
      <c r="HD12" s="261"/>
      <c r="HE12" s="261"/>
      <c r="HF12" s="261"/>
      <c r="HG12" s="261"/>
      <c r="HH12" s="261"/>
      <c r="HI12" s="261"/>
      <c r="HJ12" s="261"/>
      <c r="HK12" s="261"/>
      <c r="HL12" s="261"/>
      <c r="HM12" s="261"/>
      <c r="HN12" s="261"/>
      <c r="HO12" s="261"/>
      <c r="HP12" s="261"/>
      <c r="HQ12" s="261"/>
      <c r="HR12" s="261"/>
      <c r="HS12" s="261"/>
      <c r="HT12" s="261"/>
      <c r="HU12" s="261"/>
      <c r="HV12" s="261"/>
      <c r="HW12" s="261"/>
      <c r="HX12" s="261"/>
      <c r="HY12" s="261"/>
      <c r="HZ12" s="261"/>
      <c r="IA12" s="261"/>
      <c r="IB12" s="261"/>
      <c r="IC12" s="261"/>
      <c r="ID12" s="261"/>
      <c r="IE12" s="261"/>
      <c r="IF12" s="261"/>
      <c r="IG12" s="261"/>
      <c r="IH12" s="261"/>
      <c r="II12" s="261"/>
      <c r="IJ12" s="261"/>
      <c r="IK12" s="261"/>
      <c r="IL12" s="261"/>
      <c r="IM12" s="261"/>
      <c r="IN12" s="261"/>
      <c r="IO12" s="261"/>
      <c r="IP12" s="261"/>
      <c r="IQ12" s="261"/>
      <c r="IR12" s="261"/>
      <c r="IS12" s="261"/>
    </row>
    <row r="13" spans="1:253">
      <c r="A13" s="237">
        <v>4</v>
      </c>
      <c r="B13" s="156" t="s">
        <v>923</v>
      </c>
      <c r="C13" s="335" t="str">
        <f>IF(B13="","",VLOOKUP(B13,'CSDL Phi CN'!$B$3:$H$70,2,FALSE))</f>
        <v>Đào tạo Người dùng</v>
      </c>
      <c r="D13" s="556" t="s">
        <v>924</v>
      </c>
      <c r="E13" s="341">
        <f>IF(B13="","",VLOOKUP(B13,'CSDL Phi CN'!$B$3:$H$72,6,FALSE))</f>
        <v>2</v>
      </c>
      <c r="F13" s="261"/>
      <c r="G13" s="261"/>
      <c r="H13" s="261"/>
      <c r="I13" s="261"/>
      <c r="J13" s="261"/>
      <c r="K13" s="261"/>
      <c r="L13" s="261"/>
      <c r="M13" s="261"/>
      <c r="N13" s="261"/>
      <c r="O13" s="261"/>
      <c r="P13" s="261"/>
      <c r="Q13" s="261"/>
      <c r="R13" s="261"/>
      <c r="S13" s="261"/>
      <c r="T13" s="261"/>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1"/>
      <c r="BC13" s="261"/>
      <c r="BD13" s="261"/>
      <c r="BE13" s="261"/>
      <c r="BF13" s="261"/>
      <c r="BG13" s="261"/>
      <c r="BH13" s="261"/>
      <c r="BI13" s="261"/>
      <c r="BJ13" s="261"/>
      <c r="BK13" s="261"/>
      <c r="BL13" s="261"/>
      <c r="BM13" s="261"/>
      <c r="BN13" s="261"/>
      <c r="BO13" s="261"/>
      <c r="BP13" s="261"/>
      <c r="BQ13" s="261"/>
      <c r="BR13" s="261"/>
      <c r="BS13" s="261"/>
      <c r="BT13" s="261"/>
      <c r="BU13" s="261"/>
      <c r="BV13" s="261"/>
      <c r="BW13" s="261"/>
      <c r="BX13" s="261"/>
      <c r="BY13" s="261"/>
      <c r="BZ13" s="261"/>
      <c r="CA13" s="261"/>
      <c r="CB13" s="261"/>
      <c r="CC13" s="261"/>
      <c r="CD13" s="261"/>
      <c r="CE13" s="261"/>
      <c r="CF13" s="261"/>
      <c r="CG13" s="261"/>
      <c r="CH13" s="261"/>
      <c r="CI13" s="261"/>
      <c r="CJ13" s="261"/>
      <c r="CK13" s="261"/>
      <c r="CL13" s="261"/>
      <c r="CM13" s="261"/>
      <c r="CN13" s="261"/>
      <c r="CO13" s="261"/>
      <c r="CP13" s="261"/>
      <c r="CQ13" s="261"/>
      <c r="CR13" s="261"/>
      <c r="CS13" s="261"/>
      <c r="CT13" s="261"/>
      <c r="CU13" s="261"/>
      <c r="CV13" s="261"/>
      <c r="CW13" s="261"/>
      <c r="CX13" s="261"/>
      <c r="CY13" s="261"/>
      <c r="CZ13" s="261"/>
      <c r="DA13" s="261"/>
      <c r="DB13" s="261"/>
      <c r="DC13" s="261"/>
      <c r="DD13" s="261"/>
      <c r="DE13" s="261"/>
      <c r="DF13" s="261"/>
      <c r="DG13" s="261"/>
      <c r="DH13" s="261"/>
      <c r="DI13" s="261"/>
      <c r="DJ13" s="261"/>
      <c r="DK13" s="261"/>
      <c r="DL13" s="261"/>
      <c r="DM13" s="261"/>
      <c r="DN13" s="261"/>
      <c r="DO13" s="261"/>
      <c r="DP13" s="261"/>
      <c r="DQ13" s="261"/>
      <c r="DR13" s="261"/>
      <c r="DS13" s="261"/>
      <c r="DT13" s="261"/>
      <c r="DU13" s="261"/>
      <c r="DV13" s="261"/>
      <c r="DW13" s="261"/>
      <c r="DX13" s="261"/>
      <c r="DY13" s="261"/>
      <c r="DZ13" s="261"/>
      <c r="EA13" s="261"/>
      <c r="EB13" s="261"/>
      <c r="EC13" s="261"/>
      <c r="ED13" s="261"/>
      <c r="EE13" s="261"/>
      <c r="EF13" s="261"/>
      <c r="EG13" s="261"/>
      <c r="EH13" s="261"/>
      <c r="EI13" s="261"/>
      <c r="EJ13" s="261"/>
      <c r="EK13" s="261"/>
      <c r="EL13" s="261"/>
      <c r="EM13" s="261"/>
      <c r="EN13" s="261"/>
      <c r="EO13" s="261"/>
      <c r="EP13" s="261"/>
      <c r="EQ13" s="261"/>
      <c r="ER13" s="261"/>
      <c r="ES13" s="261"/>
      <c r="ET13" s="261"/>
      <c r="EU13" s="261"/>
      <c r="EV13" s="261"/>
      <c r="EW13" s="261"/>
      <c r="EX13" s="261"/>
      <c r="EY13" s="261"/>
      <c r="EZ13" s="261"/>
      <c r="FA13" s="261"/>
      <c r="FB13" s="261"/>
      <c r="FC13" s="261"/>
      <c r="FD13" s="261"/>
      <c r="FE13" s="261"/>
      <c r="FF13" s="261"/>
      <c r="FG13" s="261"/>
      <c r="FH13" s="261"/>
      <c r="FI13" s="261"/>
      <c r="FJ13" s="261"/>
      <c r="FK13" s="261"/>
      <c r="FL13" s="261"/>
      <c r="FM13" s="261"/>
      <c r="FN13" s="261"/>
      <c r="FO13" s="261"/>
      <c r="FP13" s="261"/>
      <c r="FQ13" s="261"/>
      <c r="FR13" s="261"/>
      <c r="FS13" s="261"/>
      <c r="FT13" s="261"/>
      <c r="FU13" s="261"/>
      <c r="FV13" s="261"/>
      <c r="FW13" s="261"/>
      <c r="FX13" s="261"/>
      <c r="FY13" s="261"/>
      <c r="FZ13" s="261"/>
      <c r="GA13" s="261"/>
      <c r="GB13" s="261"/>
      <c r="GC13" s="261"/>
      <c r="GD13" s="261"/>
      <c r="GE13" s="261"/>
      <c r="GF13" s="261"/>
      <c r="GG13" s="261"/>
      <c r="GH13" s="261"/>
      <c r="GI13" s="261"/>
      <c r="GJ13" s="261"/>
      <c r="GK13" s="261"/>
      <c r="GL13" s="261"/>
      <c r="GM13" s="261"/>
      <c r="GN13" s="261"/>
      <c r="GO13" s="261"/>
      <c r="GP13" s="261"/>
      <c r="GQ13" s="261"/>
      <c r="GR13" s="261"/>
      <c r="GS13" s="261"/>
      <c r="GT13" s="261"/>
      <c r="GU13" s="261"/>
      <c r="GV13" s="261"/>
      <c r="GW13" s="261"/>
      <c r="GX13" s="261"/>
      <c r="GY13" s="261"/>
      <c r="GZ13" s="261"/>
      <c r="HA13" s="261"/>
      <c r="HB13" s="261"/>
      <c r="HC13" s="261"/>
      <c r="HD13" s="261"/>
      <c r="HE13" s="261"/>
      <c r="HF13" s="261"/>
      <c r="HG13" s="261"/>
      <c r="HH13" s="261"/>
      <c r="HI13" s="261"/>
      <c r="HJ13" s="261"/>
      <c r="HK13" s="261"/>
      <c r="HL13" s="261"/>
      <c r="HM13" s="261"/>
      <c r="HN13" s="261"/>
      <c r="HO13" s="261"/>
      <c r="HP13" s="261"/>
      <c r="HQ13" s="261"/>
      <c r="HR13" s="261"/>
      <c r="HS13" s="261"/>
      <c r="HT13" s="261"/>
      <c r="HU13" s="261"/>
      <c r="HV13" s="261"/>
      <c r="HW13" s="261"/>
      <c r="HX13" s="261"/>
      <c r="HY13" s="261"/>
      <c r="HZ13" s="261"/>
      <c r="IA13" s="261"/>
      <c r="IB13" s="261"/>
      <c r="IC13" s="261"/>
      <c r="ID13" s="261"/>
      <c r="IE13" s="261"/>
      <c r="IF13" s="261"/>
      <c r="IG13" s="261"/>
      <c r="IH13" s="261"/>
      <c r="II13" s="261"/>
      <c r="IJ13" s="261"/>
      <c r="IK13" s="261"/>
      <c r="IL13" s="261"/>
      <c r="IM13" s="261"/>
      <c r="IN13" s="261"/>
      <c r="IO13" s="261"/>
      <c r="IP13" s="261"/>
      <c r="IQ13" s="261"/>
      <c r="IR13" s="261"/>
      <c r="IS13" s="261"/>
    </row>
    <row r="14" spans="1:253">
      <c r="A14" s="237">
        <v>5</v>
      </c>
      <c r="B14" s="156" t="s">
        <v>925</v>
      </c>
      <c r="C14" s="335" t="str">
        <f>IF(B14="","",VLOOKUP(B14,'CSDL Phi CN'!$B$3:$H$70,2,FALSE))</f>
        <v>Đào tạo CSKH</v>
      </c>
      <c r="D14" s="556" t="s">
        <v>924</v>
      </c>
      <c r="E14" s="341">
        <f>IF(B14="","",VLOOKUP(B14,'CSDL Phi CN'!$B$3:$H$72,6,FALSE))</f>
        <v>2</v>
      </c>
      <c r="F14" s="261"/>
      <c r="G14" s="261"/>
      <c r="H14" s="261"/>
      <c r="I14" s="261"/>
      <c r="J14" s="261"/>
      <c r="K14" s="261"/>
      <c r="L14" s="261"/>
      <c r="M14" s="261"/>
      <c r="N14" s="261"/>
      <c r="O14" s="261"/>
      <c r="P14" s="261"/>
      <c r="Q14" s="261"/>
      <c r="R14" s="261"/>
      <c r="S14" s="261"/>
      <c r="T14" s="261"/>
      <c r="U14" s="261"/>
      <c r="V14" s="261"/>
      <c r="W14" s="261"/>
      <c r="X14" s="261"/>
      <c r="Y14" s="261"/>
      <c r="Z14" s="261"/>
      <c r="AA14" s="261"/>
      <c r="AB14" s="261"/>
      <c r="AC14" s="261"/>
      <c r="AD14" s="261"/>
      <c r="AE14" s="261"/>
      <c r="AF14" s="261"/>
      <c r="AG14" s="261"/>
      <c r="AH14" s="261"/>
      <c r="AI14" s="261"/>
      <c r="AJ14" s="261"/>
      <c r="AK14" s="261"/>
      <c r="AL14" s="261"/>
      <c r="AM14" s="261"/>
      <c r="AN14" s="261"/>
      <c r="AO14" s="261"/>
      <c r="AP14" s="261"/>
      <c r="AQ14" s="261"/>
      <c r="AR14" s="261"/>
      <c r="AS14" s="261"/>
      <c r="AT14" s="261"/>
      <c r="AU14" s="261"/>
      <c r="AV14" s="261"/>
      <c r="AW14" s="261"/>
      <c r="AX14" s="261"/>
      <c r="AY14" s="261"/>
      <c r="AZ14" s="261"/>
      <c r="BA14" s="261"/>
      <c r="BB14" s="261"/>
      <c r="BC14" s="261"/>
      <c r="BD14" s="261"/>
      <c r="BE14" s="261"/>
      <c r="BF14" s="261"/>
      <c r="BG14" s="261"/>
      <c r="BH14" s="261"/>
      <c r="BI14" s="261"/>
      <c r="BJ14" s="261"/>
      <c r="BK14" s="261"/>
      <c r="BL14" s="261"/>
      <c r="BM14" s="261"/>
      <c r="BN14" s="261"/>
      <c r="BO14" s="261"/>
      <c r="BP14" s="261"/>
      <c r="BQ14" s="261"/>
      <c r="BR14" s="261"/>
      <c r="BS14" s="261"/>
      <c r="BT14" s="261"/>
      <c r="BU14" s="261"/>
      <c r="BV14" s="261"/>
      <c r="BW14" s="261"/>
      <c r="BX14" s="261"/>
      <c r="BY14" s="261"/>
      <c r="BZ14" s="261"/>
      <c r="CA14" s="261"/>
      <c r="CB14" s="261"/>
      <c r="CC14" s="261"/>
      <c r="CD14" s="261"/>
      <c r="CE14" s="261"/>
      <c r="CF14" s="261"/>
      <c r="CG14" s="261"/>
      <c r="CH14" s="261"/>
      <c r="CI14" s="261"/>
      <c r="CJ14" s="261"/>
      <c r="CK14" s="261"/>
      <c r="CL14" s="261"/>
      <c r="CM14" s="261"/>
      <c r="CN14" s="261"/>
      <c r="CO14" s="261"/>
      <c r="CP14" s="261"/>
      <c r="CQ14" s="261"/>
      <c r="CR14" s="261"/>
      <c r="CS14" s="261"/>
      <c r="CT14" s="261"/>
      <c r="CU14" s="261"/>
      <c r="CV14" s="261"/>
      <c r="CW14" s="261"/>
      <c r="CX14" s="261"/>
      <c r="CY14" s="261"/>
      <c r="CZ14" s="261"/>
      <c r="DA14" s="261"/>
      <c r="DB14" s="261"/>
      <c r="DC14" s="261"/>
      <c r="DD14" s="261"/>
      <c r="DE14" s="261"/>
      <c r="DF14" s="261"/>
      <c r="DG14" s="261"/>
      <c r="DH14" s="261"/>
      <c r="DI14" s="261"/>
      <c r="DJ14" s="261"/>
      <c r="DK14" s="261"/>
      <c r="DL14" s="261"/>
      <c r="DM14" s="261"/>
      <c r="DN14" s="261"/>
      <c r="DO14" s="261"/>
      <c r="DP14" s="261"/>
      <c r="DQ14" s="261"/>
      <c r="DR14" s="261"/>
      <c r="DS14" s="261"/>
      <c r="DT14" s="261"/>
      <c r="DU14" s="261"/>
      <c r="DV14" s="261"/>
      <c r="DW14" s="261"/>
      <c r="DX14" s="261"/>
      <c r="DY14" s="261"/>
      <c r="DZ14" s="261"/>
      <c r="EA14" s="261"/>
      <c r="EB14" s="261"/>
      <c r="EC14" s="261"/>
      <c r="ED14" s="261"/>
      <c r="EE14" s="261"/>
      <c r="EF14" s="261"/>
      <c r="EG14" s="261"/>
      <c r="EH14" s="261"/>
      <c r="EI14" s="261"/>
      <c r="EJ14" s="261"/>
      <c r="EK14" s="261"/>
      <c r="EL14" s="261"/>
      <c r="EM14" s="261"/>
      <c r="EN14" s="261"/>
      <c r="EO14" s="261"/>
      <c r="EP14" s="261"/>
      <c r="EQ14" s="261"/>
      <c r="ER14" s="261"/>
      <c r="ES14" s="261"/>
      <c r="ET14" s="261"/>
      <c r="EU14" s="261"/>
      <c r="EV14" s="261"/>
      <c r="EW14" s="261"/>
      <c r="EX14" s="261"/>
      <c r="EY14" s="261"/>
      <c r="EZ14" s="261"/>
      <c r="FA14" s="261"/>
      <c r="FB14" s="261"/>
      <c r="FC14" s="261"/>
      <c r="FD14" s="261"/>
      <c r="FE14" s="261"/>
      <c r="FF14" s="261"/>
      <c r="FG14" s="261"/>
      <c r="FH14" s="261"/>
      <c r="FI14" s="261"/>
      <c r="FJ14" s="261"/>
      <c r="FK14" s="261"/>
      <c r="FL14" s="261"/>
      <c r="FM14" s="261"/>
      <c r="FN14" s="261"/>
      <c r="FO14" s="261"/>
      <c r="FP14" s="261"/>
      <c r="FQ14" s="261"/>
      <c r="FR14" s="261"/>
      <c r="FS14" s="261"/>
      <c r="FT14" s="261"/>
      <c r="FU14" s="261"/>
      <c r="FV14" s="261"/>
      <c r="FW14" s="261"/>
      <c r="FX14" s="261"/>
      <c r="FY14" s="261"/>
      <c r="FZ14" s="261"/>
      <c r="GA14" s="261"/>
      <c r="GB14" s="261"/>
      <c r="GC14" s="261"/>
      <c r="GD14" s="261"/>
      <c r="GE14" s="261"/>
      <c r="GF14" s="261"/>
      <c r="GG14" s="261"/>
      <c r="GH14" s="261"/>
      <c r="GI14" s="261"/>
      <c r="GJ14" s="261"/>
      <c r="GK14" s="261"/>
      <c r="GL14" s="261"/>
      <c r="GM14" s="261"/>
      <c r="GN14" s="261"/>
      <c r="GO14" s="261"/>
      <c r="GP14" s="261"/>
      <c r="GQ14" s="261"/>
      <c r="GR14" s="261"/>
      <c r="GS14" s="261"/>
      <c r="GT14" s="261"/>
      <c r="GU14" s="261"/>
      <c r="GV14" s="261"/>
      <c r="GW14" s="261"/>
      <c r="GX14" s="261"/>
      <c r="GY14" s="261"/>
      <c r="GZ14" s="261"/>
      <c r="HA14" s="261"/>
      <c r="HB14" s="261"/>
      <c r="HC14" s="261"/>
      <c r="HD14" s="261"/>
      <c r="HE14" s="261"/>
      <c r="HF14" s="261"/>
      <c r="HG14" s="261"/>
      <c r="HH14" s="261"/>
      <c r="HI14" s="261"/>
      <c r="HJ14" s="261"/>
      <c r="HK14" s="261"/>
      <c r="HL14" s="261"/>
      <c r="HM14" s="261"/>
      <c r="HN14" s="261"/>
      <c r="HO14" s="261"/>
      <c r="HP14" s="261"/>
      <c r="HQ14" s="261"/>
      <c r="HR14" s="261"/>
      <c r="HS14" s="261"/>
      <c r="HT14" s="261"/>
      <c r="HU14" s="261"/>
      <c r="HV14" s="261"/>
      <c r="HW14" s="261"/>
      <c r="HX14" s="261"/>
      <c r="HY14" s="261"/>
      <c r="HZ14" s="261"/>
      <c r="IA14" s="261"/>
      <c r="IB14" s="261"/>
      <c r="IC14" s="261"/>
      <c r="ID14" s="261"/>
      <c r="IE14" s="261"/>
      <c r="IF14" s="261"/>
      <c r="IG14" s="261"/>
      <c r="IH14" s="261"/>
      <c r="II14" s="261"/>
      <c r="IJ14" s="261"/>
      <c r="IK14" s="261"/>
      <c r="IL14" s="261"/>
      <c r="IM14" s="261"/>
      <c r="IN14" s="261"/>
      <c r="IO14" s="261"/>
      <c r="IP14" s="261"/>
      <c r="IQ14" s="261"/>
      <c r="IR14" s="261"/>
      <c r="IS14" s="261"/>
    </row>
    <row r="15" spans="1:253">
      <c r="A15" s="237">
        <v>6</v>
      </c>
      <c r="B15" s="156" t="s">
        <v>926</v>
      </c>
      <c r="C15" s="335" t="str">
        <f>IF(B15="","",VLOOKUP(B15,'CSDL Phi CN'!$B$3:$H$70,2,FALSE))</f>
        <v>Tài liệu HDVH</v>
      </c>
      <c r="D15" s="556" t="s">
        <v>924</v>
      </c>
      <c r="E15" s="341">
        <f>IF(B15="","",VLOOKUP(B15,'CSDL Phi CN'!$B$3:$H$72,6,FALSE))</f>
        <v>4</v>
      </c>
      <c r="F15" s="261"/>
      <c r="G15" s="261"/>
      <c r="H15" s="261"/>
      <c r="I15" s="261"/>
      <c r="J15" s="261"/>
      <c r="K15" s="261"/>
      <c r="L15" s="261"/>
      <c r="M15" s="261"/>
      <c r="N15" s="261"/>
      <c r="O15" s="261"/>
      <c r="P15" s="261"/>
      <c r="Q15" s="261"/>
      <c r="R15" s="261"/>
      <c r="S15" s="261"/>
      <c r="T15" s="261"/>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c r="BF15" s="261"/>
      <c r="BG15" s="261"/>
      <c r="BH15" s="261"/>
      <c r="BI15" s="261"/>
      <c r="BJ15" s="261"/>
      <c r="BK15" s="261"/>
      <c r="BL15" s="261"/>
      <c r="BM15" s="261"/>
      <c r="BN15" s="261"/>
      <c r="BO15" s="261"/>
      <c r="BP15" s="261"/>
      <c r="BQ15" s="261"/>
      <c r="BR15" s="261"/>
      <c r="BS15" s="261"/>
      <c r="BT15" s="261"/>
      <c r="BU15" s="261"/>
      <c r="BV15" s="261"/>
      <c r="BW15" s="261"/>
      <c r="BX15" s="261"/>
      <c r="BY15" s="261"/>
      <c r="BZ15" s="261"/>
      <c r="CA15" s="261"/>
      <c r="CB15" s="261"/>
      <c r="CC15" s="261"/>
      <c r="CD15" s="261"/>
      <c r="CE15" s="261"/>
      <c r="CF15" s="261"/>
      <c r="CG15" s="261"/>
      <c r="CH15" s="261"/>
      <c r="CI15" s="261"/>
      <c r="CJ15" s="261"/>
      <c r="CK15" s="261"/>
      <c r="CL15" s="261"/>
      <c r="CM15" s="261"/>
      <c r="CN15" s="261"/>
      <c r="CO15" s="261"/>
      <c r="CP15" s="261"/>
      <c r="CQ15" s="261"/>
      <c r="CR15" s="261"/>
      <c r="CS15" s="261"/>
      <c r="CT15" s="261"/>
      <c r="CU15" s="261"/>
      <c r="CV15" s="261"/>
      <c r="CW15" s="261"/>
      <c r="CX15" s="261"/>
      <c r="CY15" s="261"/>
      <c r="CZ15" s="261"/>
      <c r="DA15" s="261"/>
      <c r="DB15" s="261"/>
      <c r="DC15" s="261"/>
      <c r="DD15" s="261"/>
      <c r="DE15" s="261"/>
      <c r="DF15" s="261"/>
      <c r="DG15" s="261"/>
      <c r="DH15" s="261"/>
      <c r="DI15" s="261"/>
      <c r="DJ15" s="261"/>
      <c r="DK15" s="261"/>
      <c r="DL15" s="261"/>
      <c r="DM15" s="261"/>
      <c r="DN15" s="261"/>
      <c r="DO15" s="261"/>
      <c r="DP15" s="261"/>
      <c r="DQ15" s="261"/>
      <c r="DR15" s="261"/>
      <c r="DS15" s="261"/>
      <c r="DT15" s="261"/>
      <c r="DU15" s="261"/>
      <c r="DV15" s="261"/>
      <c r="DW15" s="261"/>
      <c r="DX15" s="261"/>
      <c r="DY15" s="261"/>
      <c r="DZ15" s="261"/>
      <c r="EA15" s="261"/>
      <c r="EB15" s="261"/>
      <c r="EC15" s="261"/>
      <c r="ED15" s="261"/>
      <c r="EE15" s="261"/>
      <c r="EF15" s="261"/>
      <c r="EG15" s="261"/>
      <c r="EH15" s="261"/>
      <c r="EI15" s="261"/>
      <c r="EJ15" s="261"/>
      <c r="EK15" s="261"/>
      <c r="EL15" s="261"/>
      <c r="EM15" s="261"/>
      <c r="EN15" s="261"/>
      <c r="EO15" s="261"/>
      <c r="EP15" s="261"/>
      <c r="EQ15" s="261"/>
      <c r="ER15" s="261"/>
      <c r="ES15" s="261"/>
      <c r="ET15" s="261"/>
      <c r="EU15" s="261"/>
      <c r="EV15" s="261"/>
      <c r="EW15" s="261"/>
      <c r="EX15" s="261"/>
      <c r="EY15" s="261"/>
      <c r="EZ15" s="261"/>
      <c r="FA15" s="261"/>
      <c r="FB15" s="261"/>
      <c r="FC15" s="261"/>
      <c r="FD15" s="261"/>
      <c r="FE15" s="261"/>
      <c r="FF15" s="261"/>
      <c r="FG15" s="261"/>
      <c r="FH15" s="261"/>
      <c r="FI15" s="261"/>
      <c r="FJ15" s="261"/>
      <c r="FK15" s="261"/>
      <c r="FL15" s="261"/>
      <c r="FM15" s="261"/>
      <c r="FN15" s="261"/>
      <c r="FO15" s="261"/>
      <c r="FP15" s="261"/>
      <c r="FQ15" s="261"/>
      <c r="FR15" s="261"/>
      <c r="FS15" s="261"/>
      <c r="FT15" s="261"/>
      <c r="FU15" s="261"/>
      <c r="FV15" s="261"/>
      <c r="FW15" s="261"/>
      <c r="FX15" s="261"/>
      <c r="FY15" s="261"/>
      <c r="FZ15" s="261"/>
      <c r="GA15" s="261"/>
      <c r="GB15" s="261"/>
      <c r="GC15" s="261"/>
      <c r="GD15" s="261"/>
      <c r="GE15" s="261"/>
      <c r="GF15" s="261"/>
      <c r="GG15" s="261"/>
      <c r="GH15" s="261"/>
      <c r="GI15" s="261"/>
      <c r="GJ15" s="261"/>
      <c r="GK15" s="261"/>
      <c r="GL15" s="261"/>
      <c r="GM15" s="261"/>
      <c r="GN15" s="261"/>
      <c r="GO15" s="261"/>
      <c r="GP15" s="261"/>
      <c r="GQ15" s="261"/>
      <c r="GR15" s="261"/>
      <c r="GS15" s="261"/>
      <c r="GT15" s="261"/>
      <c r="GU15" s="261"/>
      <c r="GV15" s="261"/>
      <c r="GW15" s="261"/>
      <c r="GX15" s="261"/>
      <c r="GY15" s="261"/>
      <c r="GZ15" s="261"/>
      <c r="HA15" s="261"/>
      <c r="HB15" s="261"/>
      <c r="HC15" s="261"/>
      <c r="HD15" s="261"/>
      <c r="HE15" s="261"/>
      <c r="HF15" s="261"/>
      <c r="HG15" s="261"/>
      <c r="HH15" s="261"/>
      <c r="HI15" s="261"/>
      <c r="HJ15" s="261"/>
      <c r="HK15" s="261"/>
      <c r="HL15" s="261"/>
      <c r="HM15" s="261"/>
      <c r="HN15" s="261"/>
      <c r="HO15" s="261"/>
      <c r="HP15" s="261"/>
      <c r="HQ15" s="261"/>
      <c r="HR15" s="261"/>
      <c r="HS15" s="261"/>
      <c r="HT15" s="261"/>
      <c r="HU15" s="261"/>
      <c r="HV15" s="261"/>
      <c r="HW15" s="261"/>
      <c r="HX15" s="261"/>
      <c r="HY15" s="261"/>
      <c r="HZ15" s="261"/>
      <c r="IA15" s="261"/>
      <c r="IB15" s="261"/>
      <c r="IC15" s="261"/>
      <c r="ID15" s="261"/>
      <c r="IE15" s="261"/>
      <c r="IF15" s="261"/>
      <c r="IG15" s="261"/>
      <c r="IH15" s="261"/>
      <c r="II15" s="261"/>
      <c r="IJ15" s="261"/>
      <c r="IK15" s="261"/>
      <c r="IL15" s="261"/>
      <c r="IM15" s="261"/>
      <c r="IN15" s="261"/>
      <c r="IO15" s="261"/>
      <c r="IP15" s="261"/>
      <c r="IQ15" s="261"/>
      <c r="IR15" s="261"/>
      <c r="IS15" s="261"/>
    </row>
    <row r="16" spans="1:253">
      <c r="A16" s="237">
        <v>7</v>
      </c>
      <c r="B16" s="156" t="s">
        <v>927</v>
      </c>
      <c r="C16" s="335" t="str">
        <f>IF(B16="","",VLOOKUP(B16,'CSDL Phi CN'!$B$3:$H$70,2,FALSE))</f>
        <v>Tài liệu HDKT</v>
      </c>
      <c r="D16" s="556" t="s">
        <v>924</v>
      </c>
      <c r="E16" s="341">
        <f>IF(B16="","",VLOOKUP(B16,'CSDL Phi CN'!$B$3:$H$72,6,FALSE))</f>
        <v>2</v>
      </c>
      <c r="F16" s="261"/>
      <c r="G16" s="261"/>
      <c r="H16" s="261"/>
      <c r="I16" s="261"/>
      <c r="J16" s="261"/>
      <c r="K16" s="261"/>
      <c r="L16" s="261"/>
      <c r="M16" s="261"/>
      <c r="N16" s="261"/>
      <c r="O16" s="261"/>
      <c r="P16" s="261"/>
      <c r="Q16" s="261"/>
      <c r="R16" s="261"/>
      <c r="S16" s="261"/>
      <c r="T16" s="261"/>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c r="BF16" s="261"/>
      <c r="BG16" s="261"/>
      <c r="BH16" s="261"/>
      <c r="BI16" s="261"/>
      <c r="BJ16" s="261"/>
      <c r="BK16" s="261"/>
      <c r="BL16" s="261"/>
      <c r="BM16" s="261"/>
      <c r="BN16" s="261"/>
      <c r="BO16" s="261"/>
      <c r="BP16" s="261"/>
      <c r="BQ16" s="261"/>
      <c r="BR16" s="261"/>
      <c r="BS16" s="261"/>
      <c r="BT16" s="261"/>
      <c r="BU16" s="261"/>
      <c r="BV16" s="261"/>
      <c r="BW16" s="261"/>
      <c r="BX16" s="261"/>
      <c r="BY16" s="261"/>
      <c r="BZ16" s="261"/>
      <c r="CA16" s="261"/>
      <c r="CB16" s="261"/>
      <c r="CC16" s="261"/>
      <c r="CD16" s="261"/>
      <c r="CE16" s="261"/>
      <c r="CF16" s="261"/>
      <c r="CG16" s="261"/>
      <c r="CH16" s="261"/>
      <c r="CI16" s="261"/>
      <c r="CJ16" s="261"/>
      <c r="CK16" s="261"/>
      <c r="CL16" s="261"/>
      <c r="CM16" s="261"/>
      <c r="CN16" s="261"/>
      <c r="CO16" s="261"/>
      <c r="CP16" s="261"/>
      <c r="CQ16" s="261"/>
      <c r="CR16" s="261"/>
      <c r="CS16" s="261"/>
      <c r="CT16" s="261"/>
      <c r="CU16" s="261"/>
      <c r="CV16" s="261"/>
      <c r="CW16" s="261"/>
      <c r="CX16" s="261"/>
      <c r="CY16" s="261"/>
      <c r="CZ16" s="261"/>
      <c r="DA16" s="261"/>
      <c r="DB16" s="261"/>
      <c r="DC16" s="261"/>
      <c r="DD16" s="261"/>
      <c r="DE16" s="261"/>
      <c r="DF16" s="261"/>
      <c r="DG16" s="261"/>
      <c r="DH16" s="261"/>
      <c r="DI16" s="261"/>
      <c r="DJ16" s="261"/>
      <c r="DK16" s="261"/>
      <c r="DL16" s="261"/>
      <c r="DM16" s="261"/>
      <c r="DN16" s="261"/>
      <c r="DO16" s="261"/>
      <c r="DP16" s="261"/>
      <c r="DQ16" s="261"/>
      <c r="DR16" s="261"/>
      <c r="DS16" s="261"/>
      <c r="DT16" s="261"/>
      <c r="DU16" s="261"/>
      <c r="DV16" s="261"/>
      <c r="DW16" s="261"/>
      <c r="DX16" s="261"/>
      <c r="DY16" s="261"/>
      <c r="DZ16" s="261"/>
      <c r="EA16" s="261"/>
      <c r="EB16" s="261"/>
      <c r="EC16" s="261"/>
      <c r="ED16" s="261"/>
      <c r="EE16" s="261"/>
      <c r="EF16" s="261"/>
      <c r="EG16" s="261"/>
      <c r="EH16" s="261"/>
      <c r="EI16" s="261"/>
      <c r="EJ16" s="261"/>
      <c r="EK16" s="261"/>
      <c r="EL16" s="261"/>
      <c r="EM16" s="261"/>
      <c r="EN16" s="261"/>
      <c r="EO16" s="261"/>
      <c r="EP16" s="261"/>
      <c r="EQ16" s="261"/>
      <c r="ER16" s="261"/>
      <c r="ES16" s="261"/>
      <c r="ET16" s="261"/>
      <c r="EU16" s="261"/>
      <c r="EV16" s="261"/>
      <c r="EW16" s="261"/>
      <c r="EX16" s="261"/>
      <c r="EY16" s="261"/>
      <c r="EZ16" s="261"/>
      <c r="FA16" s="261"/>
      <c r="FB16" s="261"/>
      <c r="FC16" s="261"/>
      <c r="FD16" s="261"/>
      <c r="FE16" s="261"/>
      <c r="FF16" s="261"/>
      <c r="FG16" s="261"/>
      <c r="FH16" s="261"/>
      <c r="FI16" s="261"/>
      <c r="FJ16" s="261"/>
      <c r="FK16" s="261"/>
      <c r="FL16" s="261"/>
      <c r="FM16" s="261"/>
      <c r="FN16" s="261"/>
      <c r="FO16" s="261"/>
      <c r="FP16" s="261"/>
      <c r="FQ16" s="261"/>
      <c r="FR16" s="261"/>
      <c r="FS16" s="261"/>
      <c r="FT16" s="261"/>
      <c r="FU16" s="261"/>
      <c r="FV16" s="261"/>
      <c r="FW16" s="261"/>
      <c r="FX16" s="261"/>
      <c r="FY16" s="261"/>
      <c r="FZ16" s="261"/>
      <c r="GA16" s="261"/>
      <c r="GB16" s="261"/>
      <c r="GC16" s="261"/>
      <c r="GD16" s="261"/>
      <c r="GE16" s="261"/>
      <c r="GF16" s="261"/>
      <c r="GG16" s="261"/>
      <c r="GH16" s="261"/>
      <c r="GI16" s="261"/>
      <c r="GJ16" s="261"/>
      <c r="GK16" s="261"/>
      <c r="GL16" s="261"/>
      <c r="GM16" s="261"/>
      <c r="GN16" s="261"/>
      <c r="GO16" s="261"/>
      <c r="GP16" s="261"/>
      <c r="GQ16" s="261"/>
      <c r="GR16" s="261"/>
      <c r="GS16" s="261"/>
      <c r="GT16" s="261"/>
      <c r="GU16" s="261"/>
      <c r="GV16" s="261"/>
      <c r="GW16" s="261"/>
      <c r="GX16" s="261"/>
      <c r="GY16" s="261"/>
      <c r="GZ16" s="261"/>
      <c r="HA16" s="261"/>
      <c r="HB16" s="261"/>
      <c r="HC16" s="261"/>
      <c r="HD16" s="261"/>
      <c r="HE16" s="261"/>
      <c r="HF16" s="261"/>
      <c r="HG16" s="261"/>
      <c r="HH16" s="261"/>
      <c r="HI16" s="261"/>
      <c r="HJ16" s="261"/>
      <c r="HK16" s="261"/>
      <c r="HL16" s="261"/>
      <c r="HM16" s="261"/>
      <c r="HN16" s="261"/>
      <c r="HO16" s="261"/>
      <c r="HP16" s="261"/>
      <c r="HQ16" s="261"/>
      <c r="HR16" s="261"/>
      <c r="HS16" s="261"/>
      <c r="HT16" s="261"/>
      <c r="HU16" s="261"/>
      <c r="HV16" s="261"/>
      <c r="HW16" s="261"/>
      <c r="HX16" s="261"/>
      <c r="HY16" s="261"/>
      <c r="HZ16" s="261"/>
      <c r="IA16" s="261"/>
      <c r="IB16" s="261"/>
      <c r="IC16" s="261"/>
      <c r="ID16" s="261"/>
      <c r="IE16" s="261"/>
      <c r="IF16" s="261"/>
      <c r="IG16" s="261"/>
      <c r="IH16" s="261"/>
      <c r="II16" s="261"/>
      <c r="IJ16" s="261"/>
      <c r="IK16" s="261"/>
      <c r="IL16" s="261"/>
      <c r="IM16" s="261"/>
      <c r="IN16" s="261"/>
      <c r="IO16" s="261"/>
      <c r="IP16" s="261"/>
      <c r="IQ16" s="261"/>
      <c r="IR16" s="261"/>
      <c r="IS16" s="261"/>
    </row>
    <row r="17" spans="1:253">
      <c r="A17" s="237">
        <v>8</v>
      </c>
      <c r="B17" s="156" t="s">
        <v>928</v>
      </c>
      <c r="C17" s="335" t="str">
        <f>IF(B17="","",VLOOKUP(B17,'CSDL Phi CN'!$B$3:$H$70,2,FALSE))</f>
        <v>Tài liệu hướng dẫn cài đặt</v>
      </c>
      <c r="D17" s="556" t="s">
        <v>924</v>
      </c>
      <c r="E17" s="341">
        <f>IF(B17="","",VLOOKUP(B17,'CSDL Phi CN'!$B$3:$H$72,6,FALSE))</f>
        <v>4</v>
      </c>
      <c r="F17" s="261"/>
      <c r="G17" s="261"/>
      <c r="H17" s="261"/>
      <c r="I17" s="261"/>
      <c r="J17" s="261"/>
      <c r="K17" s="261"/>
      <c r="L17" s="261"/>
      <c r="M17" s="261"/>
      <c r="N17" s="261"/>
      <c r="O17" s="261"/>
      <c r="P17" s="261"/>
      <c r="Q17" s="261"/>
      <c r="R17" s="261"/>
      <c r="S17" s="261"/>
      <c r="T17" s="261"/>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c r="BF17" s="261"/>
      <c r="BG17" s="261"/>
      <c r="BH17" s="261"/>
      <c r="BI17" s="261"/>
      <c r="BJ17" s="261"/>
      <c r="BK17" s="261"/>
      <c r="BL17" s="261"/>
      <c r="BM17" s="261"/>
      <c r="BN17" s="261"/>
      <c r="BO17" s="261"/>
      <c r="BP17" s="261"/>
      <c r="BQ17" s="261"/>
      <c r="BR17" s="261"/>
      <c r="BS17" s="261"/>
      <c r="BT17" s="261"/>
      <c r="BU17" s="261"/>
      <c r="BV17" s="261"/>
      <c r="BW17" s="261"/>
      <c r="BX17" s="261"/>
      <c r="BY17" s="261"/>
      <c r="BZ17" s="261"/>
      <c r="CA17" s="261"/>
      <c r="CB17" s="261"/>
      <c r="CC17" s="261"/>
      <c r="CD17" s="261"/>
      <c r="CE17" s="261"/>
      <c r="CF17" s="261"/>
      <c r="CG17" s="261"/>
      <c r="CH17" s="261"/>
      <c r="CI17" s="261"/>
      <c r="CJ17" s="261"/>
      <c r="CK17" s="261"/>
      <c r="CL17" s="261"/>
      <c r="CM17" s="261"/>
      <c r="CN17" s="261"/>
      <c r="CO17" s="261"/>
      <c r="CP17" s="261"/>
      <c r="CQ17" s="261"/>
      <c r="CR17" s="261"/>
      <c r="CS17" s="261"/>
      <c r="CT17" s="261"/>
      <c r="CU17" s="261"/>
      <c r="CV17" s="261"/>
      <c r="CW17" s="261"/>
      <c r="CX17" s="261"/>
      <c r="CY17" s="261"/>
      <c r="CZ17" s="261"/>
      <c r="DA17" s="261"/>
      <c r="DB17" s="261"/>
      <c r="DC17" s="261"/>
      <c r="DD17" s="261"/>
      <c r="DE17" s="261"/>
      <c r="DF17" s="261"/>
      <c r="DG17" s="261"/>
      <c r="DH17" s="261"/>
      <c r="DI17" s="261"/>
      <c r="DJ17" s="261"/>
      <c r="DK17" s="261"/>
      <c r="DL17" s="261"/>
      <c r="DM17" s="261"/>
      <c r="DN17" s="261"/>
      <c r="DO17" s="261"/>
      <c r="DP17" s="261"/>
      <c r="DQ17" s="261"/>
      <c r="DR17" s="261"/>
      <c r="DS17" s="261"/>
      <c r="DT17" s="261"/>
      <c r="DU17" s="261"/>
      <c r="DV17" s="261"/>
      <c r="DW17" s="261"/>
      <c r="DX17" s="261"/>
      <c r="DY17" s="261"/>
      <c r="DZ17" s="261"/>
      <c r="EA17" s="261"/>
      <c r="EB17" s="261"/>
      <c r="EC17" s="261"/>
      <c r="ED17" s="261"/>
      <c r="EE17" s="261"/>
      <c r="EF17" s="261"/>
      <c r="EG17" s="261"/>
      <c r="EH17" s="261"/>
      <c r="EI17" s="261"/>
      <c r="EJ17" s="261"/>
      <c r="EK17" s="261"/>
      <c r="EL17" s="261"/>
      <c r="EM17" s="261"/>
      <c r="EN17" s="261"/>
      <c r="EO17" s="261"/>
      <c r="EP17" s="261"/>
      <c r="EQ17" s="261"/>
      <c r="ER17" s="261"/>
      <c r="ES17" s="261"/>
      <c r="ET17" s="261"/>
      <c r="EU17" s="261"/>
      <c r="EV17" s="261"/>
      <c r="EW17" s="261"/>
      <c r="EX17" s="261"/>
      <c r="EY17" s="261"/>
      <c r="EZ17" s="261"/>
      <c r="FA17" s="261"/>
      <c r="FB17" s="261"/>
      <c r="FC17" s="261"/>
      <c r="FD17" s="261"/>
      <c r="FE17" s="261"/>
      <c r="FF17" s="261"/>
      <c r="FG17" s="261"/>
      <c r="FH17" s="261"/>
      <c r="FI17" s="261"/>
      <c r="FJ17" s="261"/>
      <c r="FK17" s="261"/>
      <c r="FL17" s="261"/>
      <c r="FM17" s="261"/>
      <c r="FN17" s="261"/>
      <c r="FO17" s="261"/>
      <c r="FP17" s="261"/>
      <c r="FQ17" s="261"/>
      <c r="FR17" s="261"/>
      <c r="FS17" s="261"/>
      <c r="FT17" s="261"/>
      <c r="FU17" s="261"/>
      <c r="FV17" s="261"/>
      <c r="FW17" s="261"/>
      <c r="FX17" s="261"/>
      <c r="FY17" s="261"/>
      <c r="FZ17" s="261"/>
      <c r="GA17" s="261"/>
      <c r="GB17" s="261"/>
      <c r="GC17" s="261"/>
      <c r="GD17" s="261"/>
      <c r="GE17" s="261"/>
      <c r="GF17" s="261"/>
      <c r="GG17" s="261"/>
      <c r="GH17" s="261"/>
      <c r="GI17" s="261"/>
      <c r="GJ17" s="261"/>
      <c r="GK17" s="261"/>
      <c r="GL17" s="261"/>
      <c r="GM17" s="261"/>
      <c r="GN17" s="261"/>
      <c r="GO17" s="261"/>
      <c r="GP17" s="261"/>
      <c r="GQ17" s="261"/>
      <c r="GR17" s="261"/>
      <c r="GS17" s="261"/>
      <c r="GT17" s="261"/>
      <c r="GU17" s="261"/>
      <c r="GV17" s="261"/>
      <c r="GW17" s="261"/>
      <c r="GX17" s="261"/>
      <c r="GY17" s="261"/>
      <c r="GZ17" s="261"/>
      <c r="HA17" s="261"/>
      <c r="HB17" s="261"/>
      <c r="HC17" s="261"/>
      <c r="HD17" s="261"/>
      <c r="HE17" s="261"/>
      <c r="HF17" s="261"/>
      <c r="HG17" s="261"/>
      <c r="HH17" s="261"/>
      <c r="HI17" s="261"/>
      <c r="HJ17" s="261"/>
      <c r="HK17" s="261"/>
      <c r="HL17" s="261"/>
      <c r="HM17" s="261"/>
      <c r="HN17" s="261"/>
      <c r="HO17" s="261"/>
      <c r="HP17" s="261"/>
      <c r="HQ17" s="261"/>
      <c r="HR17" s="261"/>
      <c r="HS17" s="261"/>
      <c r="HT17" s="261"/>
      <c r="HU17" s="261"/>
      <c r="HV17" s="261"/>
      <c r="HW17" s="261"/>
      <c r="HX17" s="261"/>
      <c r="HY17" s="261"/>
      <c r="HZ17" s="261"/>
      <c r="IA17" s="261"/>
      <c r="IB17" s="261"/>
      <c r="IC17" s="261"/>
      <c r="ID17" s="261"/>
      <c r="IE17" s="261"/>
      <c r="IF17" s="261"/>
      <c r="IG17" s="261"/>
      <c r="IH17" s="261"/>
      <c r="II17" s="261"/>
      <c r="IJ17" s="261"/>
      <c r="IK17" s="261"/>
      <c r="IL17" s="261"/>
      <c r="IM17" s="261"/>
      <c r="IN17" s="261"/>
      <c r="IO17" s="261"/>
      <c r="IP17" s="261"/>
      <c r="IQ17" s="261"/>
      <c r="IR17" s="261"/>
      <c r="IS17" s="261"/>
    </row>
    <row r="18" spans="1:253">
      <c r="A18" s="237">
        <v>9</v>
      </c>
      <c r="B18" s="156" t="s">
        <v>929</v>
      </c>
      <c r="C18" s="335" t="str">
        <f>IF(B18="","",VLOOKUP(B18,'CSDL Phi CN'!$B$3:$H$70,2,FALSE))</f>
        <v>Rà soát ATTT server</v>
      </c>
      <c r="D18" s="556" t="s">
        <v>930</v>
      </c>
      <c r="E18" s="341">
        <f>IF(B18="","",VLOOKUP(B18,'CSDL Phi CN'!$B$3:$H$72,6,FALSE))</f>
        <v>4</v>
      </c>
      <c r="F18" s="261"/>
      <c r="G18" s="261"/>
      <c r="H18" s="261"/>
      <c r="I18" s="261"/>
      <c r="J18" s="261"/>
      <c r="K18" s="261"/>
      <c r="L18" s="261"/>
      <c r="M18" s="261"/>
      <c r="N18" s="261"/>
      <c r="O18" s="261"/>
      <c r="P18" s="261"/>
      <c r="Q18" s="261"/>
      <c r="R18" s="261"/>
      <c r="S18" s="261"/>
      <c r="T18" s="261"/>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c r="BF18" s="261"/>
      <c r="BG18" s="261"/>
      <c r="BH18" s="261"/>
      <c r="BI18" s="261"/>
      <c r="BJ18" s="261"/>
      <c r="BK18" s="261"/>
      <c r="BL18" s="261"/>
      <c r="BM18" s="261"/>
      <c r="BN18" s="261"/>
      <c r="BO18" s="261"/>
      <c r="BP18" s="261"/>
      <c r="BQ18" s="261"/>
      <c r="BR18" s="261"/>
      <c r="BS18" s="261"/>
      <c r="BT18" s="261"/>
      <c r="BU18" s="261"/>
      <c r="BV18" s="261"/>
      <c r="BW18" s="261"/>
      <c r="BX18" s="261"/>
      <c r="BY18" s="261"/>
      <c r="BZ18" s="261"/>
      <c r="CA18" s="261"/>
      <c r="CB18" s="261"/>
      <c r="CC18" s="261"/>
      <c r="CD18" s="261"/>
      <c r="CE18" s="261"/>
      <c r="CF18" s="261"/>
      <c r="CG18" s="261"/>
      <c r="CH18" s="261"/>
      <c r="CI18" s="261"/>
      <c r="CJ18" s="261"/>
      <c r="CK18" s="261"/>
      <c r="CL18" s="261"/>
      <c r="CM18" s="261"/>
      <c r="CN18" s="261"/>
      <c r="CO18" s="261"/>
      <c r="CP18" s="261"/>
      <c r="CQ18" s="261"/>
      <c r="CR18" s="261"/>
      <c r="CS18" s="261"/>
      <c r="CT18" s="261"/>
      <c r="CU18" s="261"/>
      <c r="CV18" s="261"/>
      <c r="CW18" s="261"/>
      <c r="CX18" s="261"/>
      <c r="CY18" s="261"/>
      <c r="CZ18" s="261"/>
      <c r="DA18" s="261"/>
      <c r="DB18" s="261"/>
      <c r="DC18" s="261"/>
      <c r="DD18" s="261"/>
      <c r="DE18" s="261"/>
      <c r="DF18" s="261"/>
      <c r="DG18" s="261"/>
      <c r="DH18" s="261"/>
      <c r="DI18" s="261"/>
      <c r="DJ18" s="261"/>
      <c r="DK18" s="261"/>
      <c r="DL18" s="261"/>
      <c r="DM18" s="261"/>
      <c r="DN18" s="261"/>
      <c r="DO18" s="261"/>
      <c r="DP18" s="261"/>
      <c r="DQ18" s="261"/>
      <c r="DR18" s="261"/>
      <c r="DS18" s="261"/>
      <c r="DT18" s="261"/>
      <c r="DU18" s="261"/>
      <c r="DV18" s="261"/>
      <c r="DW18" s="261"/>
      <c r="DX18" s="261"/>
      <c r="DY18" s="261"/>
      <c r="DZ18" s="261"/>
      <c r="EA18" s="261"/>
      <c r="EB18" s="261"/>
      <c r="EC18" s="261"/>
      <c r="ED18" s="261"/>
      <c r="EE18" s="261"/>
      <c r="EF18" s="261"/>
      <c r="EG18" s="261"/>
      <c r="EH18" s="261"/>
      <c r="EI18" s="261"/>
      <c r="EJ18" s="261"/>
      <c r="EK18" s="261"/>
      <c r="EL18" s="261"/>
      <c r="EM18" s="261"/>
      <c r="EN18" s="261"/>
      <c r="EO18" s="261"/>
      <c r="EP18" s="261"/>
      <c r="EQ18" s="261"/>
      <c r="ER18" s="261"/>
      <c r="ES18" s="261"/>
      <c r="ET18" s="261"/>
      <c r="EU18" s="261"/>
      <c r="EV18" s="261"/>
      <c r="EW18" s="261"/>
      <c r="EX18" s="261"/>
      <c r="EY18" s="261"/>
      <c r="EZ18" s="261"/>
      <c r="FA18" s="261"/>
      <c r="FB18" s="261"/>
      <c r="FC18" s="261"/>
      <c r="FD18" s="261"/>
      <c r="FE18" s="261"/>
      <c r="FF18" s="261"/>
      <c r="FG18" s="261"/>
      <c r="FH18" s="261"/>
      <c r="FI18" s="261"/>
      <c r="FJ18" s="261"/>
      <c r="FK18" s="261"/>
      <c r="FL18" s="261"/>
      <c r="FM18" s="261"/>
      <c r="FN18" s="261"/>
      <c r="FO18" s="261"/>
      <c r="FP18" s="261"/>
      <c r="FQ18" s="261"/>
      <c r="FR18" s="261"/>
      <c r="FS18" s="261"/>
      <c r="FT18" s="261"/>
      <c r="FU18" s="261"/>
      <c r="FV18" s="261"/>
      <c r="FW18" s="261"/>
      <c r="FX18" s="261"/>
      <c r="FY18" s="261"/>
      <c r="FZ18" s="261"/>
      <c r="GA18" s="261"/>
      <c r="GB18" s="261"/>
      <c r="GC18" s="261"/>
      <c r="GD18" s="261"/>
      <c r="GE18" s="261"/>
      <c r="GF18" s="261"/>
      <c r="GG18" s="261"/>
      <c r="GH18" s="261"/>
      <c r="GI18" s="261"/>
      <c r="GJ18" s="261"/>
      <c r="GK18" s="261"/>
      <c r="GL18" s="261"/>
      <c r="GM18" s="261"/>
      <c r="GN18" s="261"/>
      <c r="GO18" s="261"/>
      <c r="GP18" s="261"/>
      <c r="GQ18" s="261"/>
      <c r="GR18" s="261"/>
      <c r="GS18" s="261"/>
      <c r="GT18" s="261"/>
      <c r="GU18" s="261"/>
      <c r="GV18" s="261"/>
      <c r="GW18" s="261"/>
      <c r="GX18" s="261"/>
      <c r="GY18" s="261"/>
      <c r="GZ18" s="261"/>
      <c r="HA18" s="261"/>
      <c r="HB18" s="261"/>
      <c r="HC18" s="261"/>
      <c r="HD18" s="261"/>
      <c r="HE18" s="261"/>
      <c r="HF18" s="261"/>
      <c r="HG18" s="261"/>
      <c r="HH18" s="261"/>
      <c r="HI18" s="261"/>
      <c r="HJ18" s="261"/>
      <c r="HK18" s="261"/>
      <c r="HL18" s="261"/>
      <c r="HM18" s="261"/>
      <c r="HN18" s="261"/>
      <c r="HO18" s="261"/>
      <c r="HP18" s="261"/>
      <c r="HQ18" s="261"/>
      <c r="HR18" s="261"/>
      <c r="HS18" s="261"/>
      <c r="HT18" s="261"/>
      <c r="HU18" s="261"/>
      <c r="HV18" s="261"/>
      <c r="HW18" s="261"/>
      <c r="HX18" s="261"/>
      <c r="HY18" s="261"/>
      <c r="HZ18" s="261"/>
      <c r="IA18" s="261"/>
      <c r="IB18" s="261"/>
      <c r="IC18" s="261"/>
      <c r="ID18" s="261"/>
      <c r="IE18" s="261"/>
      <c r="IF18" s="261"/>
      <c r="IG18" s="261"/>
      <c r="IH18" s="261"/>
      <c r="II18" s="261"/>
      <c r="IJ18" s="261"/>
      <c r="IK18" s="261"/>
      <c r="IL18" s="261"/>
      <c r="IM18" s="261"/>
      <c r="IN18" s="261"/>
      <c r="IO18" s="261"/>
      <c r="IP18" s="261"/>
      <c r="IQ18" s="261"/>
      <c r="IR18" s="261"/>
      <c r="IS18" s="261"/>
    </row>
    <row r="19" spans="1:253">
      <c r="A19" s="237">
        <v>10</v>
      </c>
      <c r="B19" s="156" t="s">
        <v>931</v>
      </c>
      <c r="C19" s="335" t="str">
        <f>IF(B19="","",VLOOKUP(B19,'CSDL Phi CN'!$B$3:$H$70,2,FALSE))</f>
        <v>Rà soát ATTT ứng dụng</v>
      </c>
      <c r="D19" s="556" t="s">
        <v>932</v>
      </c>
      <c r="E19" s="341">
        <f>IF(B19="","",VLOOKUP(B19,'CSDL Phi CN'!$B$3:$H$72,6,FALSE))</f>
        <v>4</v>
      </c>
      <c r="F19" s="261"/>
      <c r="G19" s="261"/>
      <c r="H19" s="261"/>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c r="BF19" s="261"/>
      <c r="BG19" s="261"/>
      <c r="BH19" s="261"/>
      <c r="BI19" s="261"/>
      <c r="BJ19" s="261"/>
      <c r="BK19" s="261"/>
      <c r="BL19" s="261"/>
      <c r="BM19" s="261"/>
      <c r="BN19" s="261"/>
      <c r="BO19" s="261"/>
      <c r="BP19" s="261"/>
      <c r="BQ19" s="261"/>
      <c r="BR19" s="261"/>
      <c r="BS19" s="261"/>
      <c r="BT19" s="261"/>
      <c r="BU19" s="261"/>
      <c r="BV19" s="261"/>
      <c r="BW19" s="261"/>
      <c r="BX19" s="261"/>
      <c r="BY19" s="261"/>
      <c r="BZ19" s="261"/>
      <c r="CA19" s="261"/>
      <c r="CB19" s="261"/>
      <c r="CC19" s="261"/>
      <c r="CD19" s="261"/>
      <c r="CE19" s="261"/>
      <c r="CF19" s="261"/>
      <c r="CG19" s="261"/>
      <c r="CH19" s="261"/>
      <c r="CI19" s="261"/>
      <c r="CJ19" s="261"/>
      <c r="CK19" s="261"/>
      <c r="CL19" s="261"/>
      <c r="CM19" s="261"/>
      <c r="CN19" s="261"/>
      <c r="CO19" s="261"/>
      <c r="CP19" s="261"/>
      <c r="CQ19" s="261"/>
      <c r="CR19" s="261"/>
      <c r="CS19" s="261"/>
      <c r="CT19" s="261"/>
      <c r="CU19" s="261"/>
      <c r="CV19" s="261"/>
      <c r="CW19" s="261"/>
      <c r="CX19" s="261"/>
      <c r="CY19" s="261"/>
      <c r="CZ19" s="261"/>
      <c r="DA19" s="261"/>
      <c r="DB19" s="261"/>
      <c r="DC19" s="261"/>
      <c r="DD19" s="261"/>
      <c r="DE19" s="261"/>
      <c r="DF19" s="261"/>
      <c r="DG19" s="261"/>
      <c r="DH19" s="261"/>
      <c r="DI19" s="261"/>
      <c r="DJ19" s="261"/>
      <c r="DK19" s="261"/>
      <c r="DL19" s="261"/>
      <c r="DM19" s="261"/>
      <c r="DN19" s="261"/>
      <c r="DO19" s="261"/>
      <c r="DP19" s="261"/>
      <c r="DQ19" s="261"/>
      <c r="DR19" s="261"/>
      <c r="DS19" s="261"/>
      <c r="DT19" s="261"/>
      <c r="DU19" s="261"/>
      <c r="DV19" s="261"/>
      <c r="DW19" s="261"/>
      <c r="DX19" s="261"/>
      <c r="DY19" s="261"/>
      <c r="DZ19" s="261"/>
      <c r="EA19" s="261"/>
      <c r="EB19" s="261"/>
      <c r="EC19" s="261"/>
      <c r="ED19" s="261"/>
      <c r="EE19" s="261"/>
      <c r="EF19" s="261"/>
      <c r="EG19" s="261"/>
      <c r="EH19" s="261"/>
      <c r="EI19" s="261"/>
      <c r="EJ19" s="261"/>
      <c r="EK19" s="261"/>
      <c r="EL19" s="261"/>
      <c r="EM19" s="261"/>
      <c r="EN19" s="261"/>
      <c r="EO19" s="261"/>
      <c r="EP19" s="261"/>
      <c r="EQ19" s="261"/>
      <c r="ER19" s="261"/>
      <c r="ES19" s="261"/>
      <c r="ET19" s="261"/>
      <c r="EU19" s="261"/>
      <c r="EV19" s="261"/>
      <c r="EW19" s="261"/>
      <c r="EX19" s="261"/>
      <c r="EY19" s="261"/>
      <c r="EZ19" s="261"/>
      <c r="FA19" s="261"/>
      <c r="FB19" s="261"/>
      <c r="FC19" s="261"/>
      <c r="FD19" s="261"/>
      <c r="FE19" s="261"/>
      <c r="FF19" s="261"/>
      <c r="FG19" s="261"/>
      <c r="FH19" s="261"/>
      <c r="FI19" s="261"/>
      <c r="FJ19" s="261"/>
      <c r="FK19" s="261"/>
      <c r="FL19" s="261"/>
      <c r="FM19" s="261"/>
      <c r="FN19" s="261"/>
      <c r="FO19" s="261"/>
      <c r="FP19" s="261"/>
      <c r="FQ19" s="261"/>
      <c r="FR19" s="261"/>
      <c r="FS19" s="261"/>
      <c r="FT19" s="261"/>
      <c r="FU19" s="261"/>
      <c r="FV19" s="261"/>
      <c r="FW19" s="261"/>
      <c r="FX19" s="261"/>
      <c r="FY19" s="261"/>
      <c r="FZ19" s="261"/>
      <c r="GA19" s="261"/>
      <c r="GB19" s="261"/>
      <c r="GC19" s="261"/>
      <c r="GD19" s="261"/>
      <c r="GE19" s="261"/>
      <c r="GF19" s="261"/>
      <c r="GG19" s="261"/>
      <c r="GH19" s="261"/>
      <c r="GI19" s="261"/>
      <c r="GJ19" s="261"/>
      <c r="GK19" s="261"/>
      <c r="GL19" s="261"/>
      <c r="GM19" s="261"/>
      <c r="GN19" s="261"/>
      <c r="GO19" s="261"/>
      <c r="GP19" s="261"/>
      <c r="GQ19" s="261"/>
      <c r="GR19" s="261"/>
      <c r="GS19" s="261"/>
      <c r="GT19" s="261"/>
      <c r="GU19" s="261"/>
      <c r="GV19" s="261"/>
      <c r="GW19" s="261"/>
      <c r="GX19" s="261"/>
      <c r="GY19" s="261"/>
      <c r="GZ19" s="261"/>
      <c r="HA19" s="261"/>
      <c r="HB19" s="261"/>
      <c r="HC19" s="261"/>
      <c r="HD19" s="261"/>
      <c r="HE19" s="261"/>
      <c r="HF19" s="261"/>
      <c r="HG19" s="261"/>
      <c r="HH19" s="261"/>
      <c r="HI19" s="261"/>
      <c r="HJ19" s="261"/>
      <c r="HK19" s="261"/>
      <c r="HL19" s="261"/>
      <c r="HM19" s="261"/>
      <c r="HN19" s="261"/>
      <c r="HO19" s="261"/>
      <c r="HP19" s="261"/>
      <c r="HQ19" s="261"/>
      <c r="HR19" s="261"/>
      <c r="HS19" s="261"/>
      <c r="HT19" s="261"/>
      <c r="HU19" s="261"/>
      <c r="HV19" s="261"/>
      <c r="HW19" s="261"/>
      <c r="HX19" s="261"/>
      <c r="HY19" s="261"/>
      <c r="HZ19" s="261"/>
      <c r="IA19" s="261"/>
      <c r="IB19" s="261"/>
      <c r="IC19" s="261"/>
      <c r="ID19" s="261"/>
      <c r="IE19" s="261"/>
      <c r="IF19" s="261"/>
      <c r="IG19" s="261"/>
      <c r="IH19" s="261"/>
      <c r="II19" s="261"/>
      <c r="IJ19" s="261"/>
      <c r="IK19" s="261"/>
      <c r="IL19" s="261"/>
      <c r="IM19" s="261"/>
      <c r="IN19" s="261"/>
      <c r="IO19" s="261"/>
      <c r="IP19" s="261"/>
      <c r="IQ19" s="261"/>
      <c r="IR19" s="261"/>
      <c r="IS19" s="261"/>
    </row>
    <row r="20" spans="1:253">
      <c r="A20" s="237">
        <v>11</v>
      </c>
      <c r="B20" s="156" t="s">
        <v>933</v>
      </c>
      <c r="C20" s="335" t="str">
        <f>IF(B20="","",VLOOKUP(B20,'CSDL Phi CN'!$B$3:$H$70,2,FALSE))</f>
        <v>Fix lỗi sau triển khai</v>
      </c>
      <c r="D20" s="556" t="s">
        <v>934</v>
      </c>
      <c r="E20" s="341">
        <f>IF(B20="","",VLOOKUP(B20,'CSDL Phi CN'!$B$3:$H$72,6,FALSE))</f>
        <v>4</v>
      </c>
      <c r="F20" s="261"/>
      <c r="G20" s="261"/>
      <c r="H20" s="261"/>
      <c r="I20" s="261"/>
      <c r="J20" s="261"/>
      <c r="K20" s="261"/>
      <c r="L20" s="261"/>
      <c r="M20" s="261"/>
      <c r="N20" s="261"/>
      <c r="O20" s="261"/>
      <c r="P20" s="261"/>
      <c r="Q20" s="261"/>
      <c r="R20" s="261"/>
      <c r="S20" s="261"/>
      <c r="T20" s="261"/>
      <c r="U20" s="261"/>
      <c r="V20" s="261"/>
      <c r="W20" s="261"/>
      <c r="X20" s="261"/>
      <c r="Y20" s="261"/>
      <c r="Z20" s="261"/>
      <c r="AA20" s="261"/>
      <c r="AB20" s="261"/>
      <c r="AC20" s="261"/>
      <c r="AD20" s="261"/>
      <c r="AE20" s="261"/>
      <c r="AF20" s="261"/>
      <c r="AG20" s="261"/>
      <c r="AH20" s="261"/>
      <c r="AI20" s="261"/>
      <c r="AJ20" s="261"/>
      <c r="AK20" s="261"/>
      <c r="AL20" s="261"/>
      <c r="AM20" s="261"/>
      <c r="AN20" s="261"/>
      <c r="AO20" s="261"/>
      <c r="AP20" s="261"/>
      <c r="AQ20" s="261"/>
      <c r="AR20" s="261"/>
      <c r="AS20" s="261"/>
      <c r="AT20" s="261"/>
      <c r="AU20" s="261"/>
      <c r="AV20" s="261"/>
      <c r="AW20" s="261"/>
      <c r="AX20" s="261"/>
      <c r="AY20" s="261"/>
      <c r="AZ20" s="261"/>
      <c r="BA20" s="261"/>
      <c r="BB20" s="261"/>
      <c r="BC20" s="261"/>
      <c r="BD20" s="261"/>
      <c r="BE20" s="261"/>
      <c r="BF20" s="261"/>
      <c r="BG20" s="261"/>
      <c r="BH20" s="261"/>
      <c r="BI20" s="261"/>
      <c r="BJ20" s="261"/>
      <c r="BK20" s="261"/>
      <c r="BL20" s="261"/>
      <c r="BM20" s="261"/>
      <c r="BN20" s="261"/>
      <c r="BO20" s="261"/>
      <c r="BP20" s="261"/>
      <c r="BQ20" s="261"/>
      <c r="BR20" s="261"/>
      <c r="BS20" s="261"/>
      <c r="BT20" s="261"/>
      <c r="BU20" s="261"/>
      <c r="BV20" s="261"/>
      <c r="BW20" s="261"/>
      <c r="BX20" s="261"/>
      <c r="BY20" s="261"/>
      <c r="BZ20" s="261"/>
      <c r="CA20" s="261"/>
      <c r="CB20" s="261"/>
      <c r="CC20" s="261"/>
      <c r="CD20" s="261"/>
      <c r="CE20" s="261"/>
      <c r="CF20" s="261"/>
      <c r="CG20" s="261"/>
      <c r="CH20" s="261"/>
      <c r="CI20" s="261"/>
      <c r="CJ20" s="261"/>
      <c r="CK20" s="261"/>
      <c r="CL20" s="261"/>
      <c r="CM20" s="261"/>
      <c r="CN20" s="261"/>
      <c r="CO20" s="261"/>
      <c r="CP20" s="261"/>
      <c r="CQ20" s="261"/>
      <c r="CR20" s="261"/>
      <c r="CS20" s="261"/>
      <c r="CT20" s="261"/>
      <c r="CU20" s="261"/>
      <c r="CV20" s="261"/>
      <c r="CW20" s="261"/>
      <c r="CX20" s="261"/>
      <c r="CY20" s="261"/>
      <c r="CZ20" s="261"/>
      <c r="DA20" s="261"/>
      <c r="DB20" s="261"/>
      <c r="DC20" s="261"/>
      <c r="DD20" s="261"/>
      <c r="DE20" s="261"/>
      <c r="DF20" s="261"/>
      <c r="DG20" s="261"/>
      <c r="DH20" s="261"/>
      <c r="DI20" s="261"/>
      <c r="DJ20" s="261"/>
      <c r="DK20" s="261"/>
      <c r="DL20" s="261"/>
      <c r="DM20" s="261"/>
      <c r="DN20" s="261"/>
      <c r="DO20" s="261"/>
      <c r="DP20" s="261"/>
      <c r="DQ20" s="261"/>
      <c r="DR20" s="261"/>
      <c r="DS20" s="261"/>
      <c r="DT20" s="261"/>
      <c r="DU20" s="261"/>
      <c r="DV20" s="261"/>
      <c r="DW20" s="261"/>
      <c r="DX20" s="261"/>
      <c r="DY20" s="261"/>
      <c r="DZ20" s="261"/>
      <c r="EA20" s="261"/>
      <c r="EB20" s="261"/>
      <c r="EC20" s="261"/>
      <c r="ED20" s="261"/>
      <c r="EE20" s="261"/>
      <c r="EF20" s="261"/>
      <c r="EG20" s="261"/>
      <c r="EH20" s="261"/>
      <c r="EI20" s="261"/>
      <c r="EJ20" s="261"/>
      <c r="EK20" s="261"/>
      <c r="EL20" s="261"/>
      <c r="EM20" s="261"/>
      <c r="EN20" s="261"/>
      <c r="EO20" s="261"/>
      <c r="EP20" s="261"/>
      <c r="EQ20" s="261"/>
      <c r="ER20" s="261"/>
      <c r="ES20" s="261"/>
      <c r="ET20" s="261"/>
      <c r="EU20" s="261"/>
      <c r="EV20" s="261"/>
      <c r="EW20" s="261"/>
      <c r="EX20" s="261"/>
      <c r="EY20" s="261"/>
      <c r="EZ20" s="261"/>
      <c r="FA20" s="261"/>
      <c r="FB20" s="261"/>
      <c r="FC20" s="261"/>
      <c r="FD20" s="261"/>
      <c r="FE20" s="261"/>
      <c r="FF20" s="261"/>
      <c r="FG20" s="261"/>
      <c r="FH20" s="261"/>
      <c r="FI20" s="261"/>
      <c r="FJ20" s="261"/>
      <c r="FK20" s="261"/>
      <c r="FL20" s="261"/>
      <c r="FM20" s="261"/>
      <c r="FN20" s="261"/>
      <c r="FO20" s="261"/>
      <c r="FP20" s="261"/>
      <c r="FQ20" s="261"/>
      <c r="FR20" s="261"/>
      <c r="FS20" s="261"/>
      <c r="FT20" s="261"/>
      <c r="FU20" s="261"/>
      <c r="FV20" s="261"/>
      <c r="FW20" s="261"/>
      <c r="FX20" s="261"/>
      <c r="FY20" s="261"/>
      <c r="FZ20" s="261"/>
      <c r="GA20" s="261"/>
      <c r="GB20" s="261"/>
      <c r="GC20" s="261"/>
      <c r="GD20" s="261"/>
      <c r="GE20" s="261"/>
      <c r="GF20" s="261"/>
      <c r="GG20" s="261"/>
      <c r="GH20" s="261"/>
      <c r="GI20" s="261"/>
      <c r="GJ20" s="261"/>
      <c r="GK20" s="261"/>
      <c r="GL20" s="261"/>
      <c r="GM20" s="261"/>
      <c r="GN20" s="261"/>
      <c r="GO20" s="261"/>
      <c r="GP20" s="261"/>
      <c r="GQ20" s="261"/>
      <c r="GR20" s="261"/>
      <c r="GS20" s="261"/>
      <c r="GT20" s="261"/>
      <c r="GU20" s="261"/>
      <c r="GV20" s="261"/>
      <c r="GW20" s="261"/>
      <c r="GX20" s="261"/>
      <c r="GY20" s="261"/>
      <c r="GZ20" s="261"/>
      <c r="HA20" s="261"/>
      <c r="HB20" s="261"/>
      <c r="HC20" s="261"/>
      <c r="HD20" s="261"/>
      <c r="HE20" s="261"/>
      <c r="HF20" s="261"/>
      <c r="HG20" s="261"/>
      <c r="HH20" s="261"/>
      <c r="HI20" s="261"/>
      <c r="HJ20" s="261"/>
      <c r="HK20" s="261"/>
      <c r="HL20" s="261"/>
      <c r="HM20" s="261"/>
      <c r="HN20" s="261"/>
      <c r="HO20" s="261"/>
      <c r="HP20" s="261"/>
      <c r="HQ20" s="261"/>
      <c r="HR20" s="261"/>
      <c r="HS20" s="261"/>
      <c r="HT20" s="261"/>
      <c r="HU20" s="261"/>
      <c r="HV20" s="261"/>
      <c r="HW20" s="261"/>
      <c r="HX20" s="261"/>
      <c r="HY20" s="261"/>
      <c r="HZ20" s="261"/>
      <c r="IA20" s="261"/>
      <c r="IB20" s="261"/>
      <c r="IC20" s="261"/>
      <c r="ID20" s="261"/>
      <c r="IE20" s="261"/>
      <c r="IF20" s="261"/>
      <c r="IG20" s="261"/>
      <c r="IH20" s="261"/>
      <c r="II20" s="261"/>
      <c r="IJ20" s="261"/>
      <c r="IK20" s="261"/>
      <c r="IL20" s="261"/>
      <c r="IM20" s="261"/>
      <c r="IN20" s="261"/>
      <c r="IO20" s="261"/>
      <c r="IP20" s="261"/>
      <c r="IQ20" s="261"/>
      <c r="IR20" s="261"/>
      <c r="IS20" s="261"/>
    </row>
    <row r="21" spans="1:253">
      <c r="A21" s="237">
        <v>12</v>
      </c>
      <c r="B21" s="156" t="s">
        <v>935</v>
      </c>
      <c r="C21" s="335" t="str">
        <f>IF(B21="","",VLOOKUP(B21,'CSDL Phi CN'!$B$3:$H$70,2,FALSE))</f>
        <v>Test fix lỗi sau triển khai</v>
      </c>
      <c r="D21" s="196" t="s">
        <v>936</v>
      </c>
      <c r="E21" s="341">
        <f>IF(B21="","",VLOOKUP(B21,'CSDL Phi CN'!$B$3:$H$72,6,FALSE))</f>
        <v>68</v>
      </c>
      <c r="F21" s="261"/>
      <c r="G21" s="261"/>
      <c r="H21" s="261"/>
      <c r="I21" s="261"/>
      <c r="J21" s="261"/>
      <c r="K21" s="261"/>
      <c r="L21" s="261"/>
      <c r="M21" s="261"/>
      <c r="N21" s="261"/>
      <c r="O21" s="261"/>
      <c r="P21" s="261"/>
      <c r="Q21" s="261"/>
      <c r="R21" s="261"/>
      <c r="S21" s="261"/>
      <c r="T21" s="261"/>
      <c r="U21" s="261"/>
      <c r="V21" s="261"/>
      <c r="W21" s="261"/>
      <c r="X21" s="261"/>
      <c r="Y21" s="261"/>
      <c r="Z21" s="261"/>
      <c r="AA21" s="261"/>
      <c r="AB21" s="261"/>
      <c r="AC21" s="261"/>
      <c r="AD21" s="261"/>
      <c r="AE21" s="261"/>
      <c r="AF21" s="261"/>
      <c r="AG21" s="261"/>
      <c r="AH21" s="261"/>
      <c r="AI21" s="261"/>
      <c r="AJ21" s="261"/>
      <c r="AK21" s="261"/>
      <c r="AL21" s="261"/>
      <c r="AM21" s="261"/>
      <c r="AN21" s="261"/>
      <c r="AO21" s="261"/>
      <c r="AP21" s="261"/>
      <c r="AQ21" s="261"/>
      <c r="AR21" s="261"/>
      <c r="AS21" s="261"/>
      <c r="AT21" s="261"/>
      <c r="AU21" s="261"/>
      <c r="AV21" s="261"/>
      <c r="AW21" s="261"/>
      <c r="AX21" s="261"/>
      <c r="AY21" s="261"/>
      <c r="AZ21" s="261"/>
      <c r="BA21" s="261"/>
      <c r="BB21" s="261"/>
      <c r="BC21" s="261"/>
      <c r="BD21" s="261"/>
      <c r="BE21" s="261"/>
      <c r="BF21" s="261"/>
      <c r="BG21" s="261"/>
      <c r="BH21" s="261"/>
      <c r="BI21" s="261"/>
      <c r="BJ21" s="261"/>
      <c r="BK21" s="261"/>
      <c r="BL21" s="261"/>
      <c r="BM21" s="261"/>
      <c r="BN21" s="261"/>
      <c r="BO21" s="261"/>
      <c r="BP21" s="261"/>
      <c r="BQ21" s="261"/>
      <c r="BR21" s="261"/>
      <c r="BS21" s="261"/>
      <c r="BT21" s="261"/>
      <c r="BU21" s="261"/>
      <c r="BV21" s="261"/>
      <c r="BW21" s="261"/>
      <c r="BX21" s="261"/>
      <c r="BY21" s="261"/>
      <c r="BZ21" s="261"/>
      <c r="CA21" s="261"/>
      <c r="CB21" s="261"/>
      <c r="CC21" s="261"/>
      <c r="CD21" s="261"/>
      <c r="CE21" s="261"/>
      <c r="CF21" s="261"/>
      <c r="CG21" s="261"/>
      <c r="CH21" s="261"/>
      <c r="CI21" s="261"/>
      <c r="CJ21" s="261"/>
      <c r="CK21" s="261"/>
      <c r="CL21" s="261"/>
      <c r="CM21" s="261"/>
      <c r="CN21" s="261"/>
      <c r="CO21" s="261"/>
      <c r="CP21" s="261"/>
      <c r="CQ21" s="261"/>
      <c r="CR21" s="261"/>
      <c r="CS21" s="261"/>
      <c r="CT21" s="261"/>
      <c r="CU21" s="261"/>
      <c r="CV21" s="261"/>
      <c r="CW21" s="261"/>
      <c r="CX21" s="261"/>
      <c r="CY21" s="261"/>
      <c r="CZ21" s="261"/>
      <c r="DA21" s="261"/>
      <c r="DB21" s="261"/>
      <c r="DC21" s="261"/>
      <c r="DD21" s="261"/>
      <c r="DE21" s="261"/>
      <c r="DF21" s="261"/>
      <c r="DG21" s="261"/>
      <c r="DH21" s="261"/>
      <c r="DI21" s="261"/>
      <c r="DJ21" s="261"/>
      <c r="DK21" s="261"/>
      <c r="DL21" s="261"/>
      <c r="DM21" s="261"/>
      <c r="DN21" s="261"/>
      <c r="DO21" s="261"/>
      <c r="DP21" s="261"/>
      <c r="DQ21" s="261"/>
      <c r="DR21" s="261"/>
      <c r="DS21" s="261"/>
      <c r="DT21" s="261"/>
      <c r="DU21" s="261"/>
      <c r="DV21" s="261"/>
      <c r="DW21" s="261"/>
      <c r="DX21" s="261"/>
      <c r="DY21" s="261"/>
      <c r="DZ21" s="261"/>
      <c r="EA21" s="261"/>
      <c r="EB21" s="261"/>
      <c r="EC21" s="261"/>
      <c r="ED21" s="261"/>
      <c r="EE21" s="261"/>
      <c r="EF21" s="261"/>
      <c r="EG21" s="261"/>
      <c r="EH21" s="261"/>
      <c r="EI21" s="261"/>
      <c r="EJ21" s="261"/>
      <c r="EK21" s="261"/>
      <c r="EL21" s="261"/>
      <c r="EM21" s="261"/>
      <c r="EN21" s="261"/>
      <c r="EO21" s="261"/>
      <c r="EP21" s="261"/>
      <c r="EQ21" s="261"/>
      <c r="ER21" s="261"/>
      <c r="ES21" s="261"/>
      <c r="ET21" s="261"/>
      <c r="EU21" s="261"/>
      <c r="EV21" s="261"/>
      <c r="EW21" s="261"/>
      <c r="EX21" s="261"/>
      <c r="EY21" s="261"/>
      <c r="EZ21" s="261"/>
      <c r="FA21" s="261"/>
      <c r="FB21" s="261"/>
      <c r="FC21" s="261"/>
      <c r="FD21" s="261"/>
      <c r="FE21" s="261"/>
      <c r="FF21" s="261"/>
      <c r="FG21" s="261"/>
      <c r="FH21" s="261"/>
      <c r="FI21" s="261"/>
      <c r="FJ21" s="261"/>
      <c r="FK21" s="261"/>
      <c r="FL21" s="261"/>
      <c r="FM21" s="261"/>
      <c r="FN21" s="261"/>
      <c r="FO21" s="261"/>
      <c r="FP21" s="261"/>
      <c r="FQ21" s="261"/>
      <c r="FR21" s="261"/>
      <c r="FS21" s="261"/>
      <c r="FT21" s="261"/>
      <c r="FU21" s="261"/>
      <c r="FV21" s="261"/>
      <c r="FW21" s="261"/>
      <c r="FX21" s="261"/>
      <c r="FY21" s="261"/>
      <c r="FZ21" s="261"/>
      <c r="GA21" s="261"/>
      <c r="GB21" s="261"/>
      <c r="GC21" s="261"/>
      <c r="GD21" s="261"/>
      <c r="GE21" s="261"/>
      <c r="GF21" s="261"/>
      <c r="GG21" s="261"/>
      <c r="GH21" s="261"/>
      <c r="GI21" s="261"/>
      <c r="GJ21" s="261"/>
      <c r="GK21" s="261"/>
      <c r="GL21" s="261"/>
      <c r="GM21" s="261"/>
      <c r="GN21" s="261"/>
      <c r="GO21" s="261"/>
      <c r="GP21" s="261"/>
      <c r="GQ21" s="261"/>
      <c r="GR21" s="261"/>
      <c r="GS21" s="261"/>
      <c r="GT21" s="261"/>
      <c r="GU21" s="261"/>
      <c r="GV21" s="261"/>
      <c r="GW21" s="261"/>
      <c r="GX21" s="261"/>
      <c r="GY21" s="261"/>
      <c r="GZ21" s="261"/>
      <c r="HA21" s="261"/>
      <c r="HB21" s="261"/>
      <c r="HC21" s="261"/>
      <c r="HD21" s="261"/>
      <c r="HE21" s="261"/>
      <c r="HF21" s="261"/>
      <c r="HG21" s="261"/>
      <c r="HH21" s="261"/>
      <c r="HI21" s="261"/>
      <c r="HJ21" s="261"/>
      <c r="HK21" s="261"/>
      <c r="HL21" s="261"/>
      <c r="HM21" s="261"/>
      <c r="HN21" s="261"/>
      <c r="HO21" s="261"/>
      <c r="HP21" s="261"/>
      <c r="HQ21" s="261"/>
      <c r="HR21" s="261"/>
      <c r="HS21" s="261"/>
      <c r="HT21" s="261"/>
      <c r="HU21" s="261"/>
      <c r="HV21" s="261"/>
      <c r="HW21" s="261"/>
      <c r="HX21" s="261"/>
      <c r="HY21" s="261"/>
      <c r="HZ21" s="261"/>
      <c r="IA21" s="261"/>
      <c r="IB21" s="261"/>
      <c r="IC21" s="261"/>
      <c r="ID21" s="261"/>
      <c r="IE21" s="261"/>
      <c r="IF21" s="261"/>
      <c r="IG21" s="261"/>
      <c r="IH21" s="261"/>
      <c r="II21" s="261"/>
      <c r="IJ21" s="261"/>
      <c r="IK21" s="261"/>
      <c r="IL21" s="261"/>
      <c r="IM21" s="261"/>
      <c r="IN21" s="261"/>
      <c r="IO21" s="261"/>
      <c r="IP21" s="261"/>
      <c r="IQ21" s="261"/>
      <c r="IR21" s="261"/>
      <c r="IS21" s="261"/>
    </row>
    <row r="22" spans="1:253">
      <c r="A22" s="237">
        <v>13</v>
      </c>
      <c r="B22" s="156" t="s">
        <v>937</v>
      </c>
      <c r="C22" s="335" t="str">
        <f>IF(B22="","",VLOOKUP(B22,'CSDL Phi CN'!$B$3:$H$70,2,FALSE))</f>
        <v>Theo dõi log hệ thống sau khi triển khai</v>
      </c>
      <c r="D22" s="184" t="s">
        <v>938</v>
      </c>
      <c r="E22" s="341">
        <f>IF(B22="","",VLOOKUP(B22,'CSDL Phi CN'!$B$3:$H$72,6,FALSE))</f>
        <v>24</v>
      </c>
      <c r="F22" s="261"/>
      <c r="G22" s="261"/>
      <c r="H22" s="261"/>
      <c r="I22" s="261"/>
      <c r="J22" s="261"/>
      <c r="K22" s="261"/>
      <c r="L22" s="261"/>
      <c r="M22" s="261"/>
      <c r="N22" s="261"/>
      <c r="O22" s="261"/>
      <c r="P22" s="261"/>
      <c r="Q22" s="261"/>
      <c r="R22" s="261"/>
      <c r="S22" s="261"/>
      <c r="T22" s="261"/>
      <c r="U22" s="261"/>
      <c r="V22" s="261"/>
      <c r="W22" s="261"/>
      <c r="X22" s="261"/>
      <c r="Y22" s="261"/>
      <c r="Z22" s="261"/>
      <c r="AA22" s="261"/>
      <c r="AB22" s="261"/>
      <c r="AC22" s="261"/>
      <c r="AD22" s="261"/>
      <c r="AE22" s="261"/>
      <c r="AF22" s="261"/>
      <c r="AG22" s="261"/>
      <c r="AH22" s="261"/>
      <c r="AI22" s="261"/>
      <c r="AJ22" s="261"/>
      <c r="AK22" s="261"/>
      <c r="AL22" s="261"/>
      <c r="AM22" s="261"/>
      <c r="AN22" s="261"/>
      <c r="AO22" s="261"/>
      <c r="AP22" s="261"/>
      <c r="AQ22" s="261"/>
      <c r="AR22" s="261"/>
      <c r="AS22" s="261"/>
      <c r="AT22" s="261"/>
      <c r="AU22" s="261"/>
      <c r="AV22" s="261"/>
      <c r="AW22" s="261"/>
      <c r="AX22" s="261"/>
      <c r="AY22" s="261"/>
      <c r="AZ22" s="261"/>
      <c r="BA22" s="261"/>
      <c r="BB22" s="261"/>
      <c r="BC22" s="261"/>
      <c r="BD22" s="261"/>
      <c r="BE22" s="261"/>
      <c r="BF22" s="261"/>
      <c r="BG22" s="261"/>
      <c r="BH22" s="261"/>
      <c r="BI22" s="261"/>
      <c r="BJ22" s="261"/>
      <c r="BK22" s="261"/>
      <c r="BL22" s="261"/>
      <c r="BM22" s="261"/>
      <c r="BN22" s="261"/>
      <c r="BO22" s="261"/>
      <c r="BP22" s="261"/>
      <c r="BQ22" s="261"/>
      <c r="BR22" s="261"/>
      <c r="BS22" s="261"/>
      <c r="BT22" s="261"/>
      <c r="BU22" s="261"/>
      <c r="BV22" s="261"/>
      <c r="BW22" s="261"/>
      <c r="BX22" s="261"/>
      <c r="BY22" s="261"/>
      <c r="BZ22" s="261"/>
      <c r="CA22" s="261"/>
      <c r="CB22" s="261"/>
      <c r="CC22" s="261"/>
      <c r="CD22" s="261"/>
      <c r="CE22" s="261"/>
      <c r="CF22" s="261"/>
      <c r="CG22" s="261"/>
      <c r="CH22" s="261"/>
      <c r="CI22" s="261"/>
      <c r="CJ22" s="261"/>
      <c r="CK22" s="261"/>
      <c r="CL22" s="261"/>
      <c r="CM22" s="261"/>
      <c r="CN22" s="261"/>
      <c r="CO22" s="261"/>
      <c r="CP22" s="261"/>
      <c r="CQ22" s="261"/>
      <c r="CR22" s="261"/>
      <c r="CS22" s="261"/>
      <c r="CT22" s="261"/>
      <c r="CU22" s="261"/>
      <c r="CV22" s="261"/>
      <c r="CW22" s="261"/>
      <c r="CX22" s="261"/>
      <c r="CY22" s="261"/>
      <c r="CZ22" s="261"/>
      <c r="DA22" s="261"/>
      <c r="DB22" s="261"/>
      <c r="DC22" s="261"/>
      <c r="DD22" s="261"/>
      <c r="DE22" s="261"/>
      <c r="DF22" s="261"/>
      <c r="DG22" s="261"/>
      <c r="DH22" s="261"/>
      <c r="DI22" s="261"/>
      <c r="DJ22" s="261"/>
      <c r="DK22" s="261"/>
      <c r="DL22" s="261"/>
      <c r="DM22" s="261"/>
      <c r="DN22" s="261"/>
      <c r="DO22" s="261"/>
      <c r="DP22" s="261"/>
      <c r="DQ22" s="261"/>
      <c r="DR22" s="261"/>
      <c r="DS22" s="261"/>
      <c r="DT22" s="261"/>
      <c r="DU22" s="261"/>
      <c r="DV22" s="261"/>
      <c r="DW22" s="261"/>
      <c r="DX22" s="261"/>
      <c r="DY22" s="261"/>
      <c r="DZ22" s="261"/>
      <c r="EA22" s="261"/>
      <c r="EB22" s="261"/>
      <c r="EC22" s="261"/>
      <c r="ED22" s="261"/>
      <c r="EE22" s="261"/>
      <c r="EF22" s="261"/>
      <c r="EG22" s="261"/>
      <c r="EH22" s="261"/>
      <c r="EI22" s="261"/>
      <c r="EJ22" s="261"/>
      <c r="EK22" s="261"/>
      <c r="EL22" s="261"/>
      <c r="EM22" s="261"/>
      <c r="EN22" s="261"/>
      <c r="EO22" s="261"/>
      <c r="EP22" s="261"/>
      <c r="EQ22" s="261"/>
      <c r="ER22" s="261"/>
      <c r="ES22" s="261"/>
      <c r="ET22" s="261"/>
      <c r="EU22" s="261"/>
      <c r="EV22" s="261"/>
      <c r="EW22" s="261"/>
      <c r="EX22" s="261"/>
      <c r="EY22" s="261"/>
      <c r="EZ22" s="261"/>
      <c r="FA22" s="261"/>
      <c r="FB22" s="261"/>
      <c r="FC22" s="261"/>
      <c r="FD22" s="261"/>
      <c r="FE22" s="261"/>
      <c r="FF22" s="261"/>
      <c r="FG22" s="261"/>
      <c r="FH22" s="261"/>
      <c r="FI22" s="261"/>
      <c r="FJ22" s="261"/>
      <c r="FK22" s="261"/>
      <c r="FL22" s="261"/>
      <c r="FM22" s="261"/>
      <c r="FN22" s="261"/>
      <c r="FO22" s="261"/>
      <c r="FP22" s="261"/>
      <c r="FQ22" s="261"/>
      <c r="FR22" s="261"/>
      <c r="FS22" s="261"/>
      <c r="FT22" s="261"/>
      <c r="FU22" s="261"/>
      <c r="FV22" s="261"/>
      <c r="FW22" s="261"/>
      <c r="FX22" s="261"/>
      <c r="FY22" s="261"/>
      <c r="FZ22" s="261"/>
      <c r="GA22" s="261"/>
      <c r="GB22" s="261"/>
      <c r="GC22" s="261"/>
      <c r="GD22" s="261"/>
      <c r="GE22" s="261"/>
      <c r="GF22" s="261"/>
      <c r="GG22" s="261"/>
      <c r="GH22" s="261"/>
      <c r="GI22" s="261"/>
      <c r="GJ22" s="261"/>
      <c r="GK22" s="261"/>
      <c r="GL22" s="261"/>
      <c r="GM22" s="261"/>
      <c r="GN22" s="261"/>
      <c r="GO22" s="261"/>
      <c r="GP22" s="261"/>
      <c r="GQ22" s="261"/>
      <c r="GR22" s="261"/>
      <c r="GS22" s="261"/>
      <c r="GT22" s="261"/>
      <c r="GU22" s="261"/>
      <c r="GV22" s="261"/>
      <c r="GW22" s="261"/>
      <c r="GX22" s="261"/>
      <c r="GY22" s="261"/>
      <c r="GZ22" s="261"/>
      <c r="HA22" s="261"/>
      <c r="HB22" s="261"/>
      <c r="HC22" s="261"/>
      <c r="HD22" s="261"/>
      <c r="HE22" s="261"/>
      <c r="HF22" s="261"/>
      <c r="HG22" s="261"/>
      <c r="HH22" s="261"/>
      <c r="HI22" s="261"/>
      <c r="HJ22" s="261"/>
      <c r="HK22" s="261"/>
      <c r="HL22" s="261"/>
      <c r="HM22" s="261"/>
      <c r="HN22" s="261"/>
      <c r="HO22" s="261"/>
      <c r="HP22" s="261"/>
      <c r="HQ22" s="261"/>
      <c r="HR22" s="261"/>
      <c r="HS22" s="261"/>
      <c r="HT22" s="261"/>
      <c r="HU22" s="261"/>
      <c r="HV22" s="261"/>
      <c r="HW22" s="261"/>
      <c r="HX22" s="261"/>
      <c r="HY22" s="261"/>
      <c r="HZ22" s="261"/>
      <c r="IA22" s="261"/>
      <c r="IB22" s="261"/>
      <c r="IC22" s="261"/>
      <c r="ID22" s="261"/>
      <c r="IE22" s="261"/>
      <c r="IF22" s="261"/>
      <c r="IG22" s="261"/>
      <c r="IH22" s="261"/>
      <c r="II22" s="261"/>
      <c r="IJ22" s="261"/>
      <c r="IK22" s="261"/>
      <c r="IL22" s="261"/>
      <c r="IM22" s="261"/>
      <c r="IN22" s="261"/>
      <c r="IO22" s="261"/>
      <c r="IP22" s="261"/>
      <c r="IQ22" s="261"/>
      <c r="IR22" s="261"/>
      <c r="IS22" s="261"/>
    </row>
    <row r="23" spans="1:5">
      <c r="A23" s="237">
        <v>14</v>
      </c>
      <c r="B23" s="156" t="s">
        <v>939</v>
      </c>
      <c r="C23" s="335" t="str">
        <f>IF(B23="","",VLOOKUP(B23,'CSDL Phi CN'!$B$3:$H$70,2,FALSE))</f>
        <v>Triển khai trên hạ tầng có sẵn</v>
      </c>
      <c r="D23" s="167" t="s">
        <v>940</v>
      </c>
      <c r="E23" s="341">
        <f>IF(B23="","",VLOOKUP(B23,'CSDL Phi CN'!$B$3:$H$72,6,FALSE))</f>
        <v>6.05</v>
      </c>
    </row>
    <row r="24" ht="30" spans="1:5">
      <c r="A24" s="237">
        <v>15</v>
      </c>
      <c r="B24" s="156" t="s">
        <v>941</v>
      </c>
      <c r="C24" s="335" t="str">
        <f>IF(B24="","",VLOOKUP(B24,'CSDL Phi CN'!$B$3:$H$70,2,FALSE))</f>
        <v>Xây dựng kế hoạch dự án trình ký BGĐ/Ban TGĐ</v>
      </c>
      <c r="D24" s="167" t="s">
        <v>942</v>
      </c>
      <c r="E24" s="341">
        <f>IF(B24="","",VLOOKUP(B24,'CSDL Phi CN'!$B$3:$H$72,6,FALSE))</f>
        <v>40</v>
      </c>
    </row>
    <row r="25" ht="30" spans="1:253">
      <c r="A25" s="237">
        <v>16</v>
      </c>
      <c r="B25" s="156" t="s">
        <v>943</v>
      </c>
      <c r="C25" s="335" t="str">
        <f>IF(B25="","",VLOOKUP(B25,'CSDL Phi CN'!$B$3:$H$70,2,FALSE))</f>
        <v>Xây dựng kế hoạch dựa trên ULNL và tình hình nhân sự của dự án.</v>
      </c>
      <c r="D25" s="196" t="s">
        <v>944</v>
      </c>
      <c r="E25" s="341">
        <f>IF(B25="","",VLOOKUP(B25,'CSDL Phi CN'!$B$3:$H$72,6,FALSE))</f>
        <v>1.43818181818182</v>
      </c>
      <c r="F25" s="261">
        <f>SUM(E11:E25)/8/22</f>
        <v>0.988001033057851</v>
      </c>
      <c r="G25" s="261"/>
      <c r="H25" s="261"/>
      <c r="I25" s="261"/>
      <c r="J25" s="261"/>
      <c r="K25" s="261"/>
      <c r="L25" s="261"/>
      <c r="M25" s="261"/>
      <c r="N25" s="261"/>
      <c r="O25" s="261"/>
      <c r="P25" s="261"/>
      <c r="Q25" s="261"/>
      <c r="R25" s="261"/>
      <c r="S25" s="261"/>
      <c r="T25" s="261"/>
      <c r="U25" s="261"/>
      <c r="V25" s="261"/>
      <c r="W25" s="261"/>
      <c r="X25" s="261"/>
      <c r="Y25" s="261"/>
      <c r="Z25" s="261"/>
      <c r="AA25" s="261"/>
      <c r="AB25" s="261"/>
      <c r="AC25" s="261"/>
      <c r="AD25" s="261"/>
      <c r="AE25" s="261"/>
      <c r="AF25" s="261"/>
      <c r="AG25" s="261"/>
      <c r="AH25" s="261"/>
      <c r="AI25" s="261"/>
      <c r="AJ25" s="261"/>
      <c r="AK25" s="261"/>
      <c r="AL25" s="261"/>
      <c r="AM25" s="261"/>
      <c r="AN25" s="261"/>
      <c r="AO25" s="261"/>
      <c r="AP25" s="261"/>
      <c r="AQ25" s="261"/>
      <c r="AR25" s="261"/>
      <c r="AS25" s="261"/>
      <c r="AT25" s="261"/>
      <c r="AU25" s="261"/>
      <c r="AV25" s="261"/>
      <c r="AW25" s="261"/>
      <c r="AX25" s="261"/>
      <c r="AY25" s="261"/>
      <c r="AZ25" s="261"/>
      <c r="BA25" s="261"/>
      <c r="BB25" s="261"/>
      <c r="BC25" s="261"/>
      <c r="BD25" s="261"/>
      <c r="BE25" s="261"/>
      <c r="BF25" s="261"/>
      <c r="BG25" s="261"/>
      <c r="BH25" s="261"/>
      <c r="BI25" s="261"/>
      <c r="BJ25" s="261"/>
      <c r="BK25" s="261"/>
      <c r="BL25" s="261"/>
      <c r="BM25" s="261"/>
      <c r="BN25" s="261"/>
      <c r="BO25" s="261"/>
      <c r="BP25" s="261"/>
      <c r="BQ25" s="261"/>
      <c r="BR25" s="261"/>
      <c r="BS25" s="261"/>
      <c r="BT25" s="261"/>
      <c r="BU25" s="261"/>
      <c r="BV25" s="261"/>
      <c r="BW25" s="261"/>
      <c r="BX25" s="261"/>
      <c r="BY25" s="261"/>
      <c r="BZ25" s="261"/>
      <c r="CA25" s="261"/>
      <c r="CB25" s="261"/>
      <c r="CC25" s="261"/>
      <c r="CD25" s="261"/>
      <c r="CE25" s="261"/>
      <c r="CF25" s="261"/>
      <c r="CG25" s="261"/>
      <c r="CH25" s="261"/>
      <c r="CI25" s="261"/>
      <c r="CJ25" s="261"/>
      <c r="CK25" s="261"/>
      <c r="CL25" s="261"/>
      <c r="CM25" s="261"/>
      <c r="CN25" s="261"/>
      <c r="CO25" s="261"/>
      <c r="CP25" s="261"/>
      <c r="CQ25" s="261"/>
      <c r="CR25" s="261"/>
      <c r="CS25" s="261"/>
      <c r="CT25" s="261"/>
      <c r="CU25" s="261"/>
      <c r="CV25" s="261"/>
      <c r="CW25" s="261"/>
      <c r="CX25" s="261"/>
      <c r="CY25" s="261"/>
      <c r="CZ25" s="261"/>
      <c r="DA25" s="261"/>
      <c r="DB25" s="261"/>
      <c r="DC25" s="261"/>
      <c r="DD25" s="261"/>
      <c r="DE25" s="261"/>
      <c r="DF25" s="261"/>
      <c r="DG25" s="261"/>
      <c r="DH25" s="261"/>
      <c r="DI25" s="261"/>
      <c r="DJ25" s="261"/>
      <c r="DK25" s="261"/>
      <c r="DL25" s="261"/>
      <c r="DM25" s="261"/>
      <c r="DN25" s="261"/>
      <c r="DO25" s="261"/>
      <c r="DP25" s="261"/>
      <c r="DQ25" s="261"/>
      <c r="DR25" s="261"/>
      <c r="DS25" s="261"/>
      <c r="DT25" s="261"/>
      <c r="DU25" s="261"/>
      <c r="DV25" s="261"/>
      <c r="DW25" s="261"/>
      <c r="DX25" s="261"/>
      <c r="DY25" s="261"/>
      <c r="DZ25" s="261"/>
      <c r="EA25" s="261"/>
      <c r="EB25" s="261"/>
      <c r="EC25" s="261"/>
      <c r="ED25" s="261"/>
      <c r="EE25" s="261"/>
      <c r="EF25" s="261"/>
      <c r="EG25" s="261"/>
      <c r="EH25" s="261"/>
      <c r="EI25" s="261"/>
      <c r="EJ25" s="261"/>
      <c r="EK25" s="261"/>
      <c r="EL25" s="261"/>
      <c r="EM25" s="261"/>
      <c r="EN25" s="261"/>
      <c r="EO25" s="261"/>
      <c r="EP25" s="261"/>
      <c r="EQ25" s="261"/>
      <c r="ER25" s="261"/>
      <c r="ES25" s="261"/>
      <c r="ET25" s="261"/>
      <c r="EU25" s="261"/>
      <c r="EV25" s="261"/>
      <c r="EW25" s="261"/>
      <c r="EX25" s="261"/>
      <c r="EY25" s="261"/>
      <c r="EZ25" s="261"/>
      <c r="FA25" s="261"/>
      <c r="FB25" s="261"/>
      <c r="FC25" s="261"/>
      <c r="FD25" s="261"/>
      <c r="FE25" s="261"/>
      <c r="FF25" s="261"/>
      <c r="FG25" s="261"/>
      <c r="FH25" s="261"/>
      <c r="FI25" s="261"/>
      <c r="FJ25" s="261"/>
      <c r="FK25" s="261"/>
      <c r="FL25" s="261"/>
      <c r="FM25" s="261"/>
      <c r="FN25" s="261"/>
      <c r="FO25" s="261"/>
      <c r="FP25" s="261"/>
      <c r="FQ25" s="261"/>
      <c r="FR25" s="261"/>
      <c r="FS25" s="261"/>
      <c r="FT25" s="261"/>
      <c r="FU25" s="261"/>
      <c r="FV25" s="261"/>
      <c r="FW25" s="261"/>
      <c r="FX25" s="261"/>
      <c r="FY25" s="261"/>
      <c r="FZ25" s="261"/>
      <c r="GA25" s="261"/>
      <c r="GB25" s="261"/>
      <c r="GC25" s="261"/>
      <c r="GD25" s="261"/>
      <c r="GE25" s="261"/>
      <c r="GF25" s="261"/>
      <c r="GG25" s="261"/>
      <c r="GH25" s="261"/>
      <c r="GI25" s="261"/>
      <c r="GJ25" s="261"/>
      <c r="GK25" s="261"/>
      <c r="GL25" s="261"/>
      <c r="GM25" s="261"/>
      <c r="GN25" s="261"/>
      <c r="GO25" s="261"/>
      <c r="GP25" s="261"/>
      <c r="GQ25" s="261"/>
      <c r="GR25" s="261"/>
      <c r="GS25" s="261"/>
      <c r="GT25" s="261"/>
      <c r="GU25" s="261"/>
      <c r="GV25" s="261"/>
      <c r="GW25" s="261"/>
      <c r="GX25" s="261"/>
      <c r="GY25" s="261"/>
      <c r="GZ25" s="261"/>
      <c r="HA25" s="261"/>
      <c r="HB25" s="261"/>
      <c r="HC25" s="261"/>
      <c r="HD25" s="261"/>
      <c r="HE25" s="261"/>
      <c r="HF25" s="261"/>
      <c r="HG25" s="261"/>
      <c r="HH25" s="261"/>
      <c r="HI25" s="261"/>
      <c r="HJ25" s="261"/>
      <c r="HK25" s="261"/>
      <c r="HL25" s="261"/>
      <c r="HM25" s="261"/>
      <c r="HN25" s="261"/>
      <c r="HO25" s="261"/>
      <c r="HP25" s="261"/>
      <c r="HQ25" s="261"/>
      <c r="HR25" s="261"/>
      <c r="HS25" s="261"/>
      <c r="HT25" s="261"/>
      <c r="HU25" s="261"/>
      <c r="HV25" s="261"/>
      <c r="HW25" s="261"/>
      <c r="HX25" s="261"/>
      <c r="HY25" s="261"/>
      <c r="HZ25" s="261"/>
      <c r="IA25" s="261"/>
      <c r="IB25" s="261"/>
      <c r="IC25" s="261"/>
      <c r="ID25" s="261"/>
      <c r="IE25" s="261"/>
      <c r="IF25" s="261"/>
      <c r="IG25" s="261"/>
      <c r="IH25" s="261"/>
      <c r="II25" s="261"/>
      <c r="IJ25" s="261"/>
      <c r="IK25" s="261"/>
      <c r="IL25" s="261"/>
      <c r="IM25" s="261"/>
      <c r="IN25" s="261"/>
      <c r="IO25" s="261"/>
      <c r="IP25" s="261"/>
      <c r="IQ25" s="261"/>
      <c r="IR25" s="261"/>
      <c r="IS25" s="261"/>
    </row>
    <row r="26" spans="1:5">
      <c r="A26" s="237">
        <v>17</v>
      </c>
      <c r="B26" s="336" t="s">
        <v>945</v>
      </c>
      <c r="C26" s="335" t="str">
        <f>IF(B26="","",VLOOKUP(B26,'CSDL Phi CN'!$B$3:$H$70,2,FALSE))</f>
        <v>Merge code</v>
      </c>
      <c r="D26" s="167" t="s">
        <v>946</v>
      </c>
      <c r="E26" s="342">
        <f>0.05*'NL Chuc nang'!G341</f>
        <v>169.52</v>
      </c>
    </row>
    <row r="27" spans="1:5">
      <c r="A27" s="237">
        <v>18</v>
      </c>
      <c r="B27" s="336" t="s">
        <v>947</v>
      </c>
      <c r="C27" s="335" t="str">
        <f>IF(B27="","",VLOOKUP(B27,'CSDL Phi CN'!$B$3:$H$70,2,FALSE))</f>
        <v>Test Merge code</v>
      </c>
      <c r="D27" s="167" t="s">
        <v>948</v>
      </c>
      <c r="E27" s="342">
        <f>0.2*'NL Chuc nang'!I341</f>
        <v>477.600000000002</v>
      </c>
    </row>
    <row r="28" spans="1:5">
      <c r="A28" s="237">
        <v>19</v>
      </c>
      <c r="B28" s="336" t="s">
        <v>949</v>
      </c>
      <c r="C28" s="335" t="str">
        <f>IF(B28="","",VLOOKUP(B28,'CSDL Phi CN'!$B$3:$H$70,2,FALSE))</f>
        <v>Tham gia upcode</v>
      </c>
      <c r="D28" s="167" t="s">
        <v>950</v>
      </c>
      <c r="E28" s="342">
        <f>IF(B28="","",VLOOKUP(B28,'CSDL Phi CN'!$B$3:$H$72,6,FALSE))</f>
        <v>3.38385093167702</v>
      </c>
    </row>
    <row r="29" ht="30" spans="1:5">
      <c r="A29" s="237">
        <v>20</v>
      </c>
      <c r="B29" s="153" t="s">
        <v>951</v>
      </c>
      <c r="C29" s="335" t="str">
        <f>IF(B29="","",VLOOKUP(B29,'CSDL Phi CN'!$B$3:$H$70,2,FALSE))</f>
        <v>Họp dự án/ họp thống nhất giải pháp/Họp triển khai …</v>
      </c>
      <c r="D29" s="167" t="s">
        <v>952</v>
      </c>
      <c r="E29" s="342">
        <f>IF(B29="","",VLOOKUP(B29,'CSDL Phi CN'!$B$3:$H$72,6,FALSE))</f>
        <v>4</v>
      </c>
    </row>
    <row r="30" ht="30" spans="1:5">
      <c r="A30" s="237">
        <v>21</v>
      </c>
      <c r="B30" s="153" t="s">
        <v>951</v>
      </c>
      <c r="C30" s="335" t="str">
        <f>IF(B30="","",VLOOKUP(B30,'CSDL Phi CN'!$B$3:$H$70,2,FALSE))</f>
        <v>Họp dự án/ họp thống nhất giải pháp/Họp triển khai …</v>
      </c>
      <c r="D30" s="167" t="s">
        <v>953</v>
      </c>
      <c r="E30" s="342">
        <f>IF(B30="","",VLOOKUP(B30,'CSDL Phi CN'!$B$3:$H$72,6,FALSE))</f>
        <v>4</v>
      </c>
    </row>
    <row r="31" ht="30" spans="1:5">
      <c r="A31" s="237">
        <v>22</v>
      </c>
      <c r="B31" s="153" t="s">
        <v>951</v>
      </c>
      <c r="C31" s="335" t="str">
        <f>IF(B31="","",VLOOKUP(B31,'CSDL Phi CN'!$B$3:$H$70,2,FALSE))</f>
        <v>Họp dự án/ họp thống nhất giải pháp/Họp triển khai …</v>
      </c>
      <c r="D31" s="167" t="s">
        <v>954</v>
      </c>
      <c r="E31" s="342">
        <f>IF(B31="","",VLOOKUP(B31,'CSDL Phi CN'!$B$3:$H$72,6,FALSE))</f>
        <v>4</v>
      </c>
    </row>
    <row r="32" ht="30" spans="1:5">
      <c r="A32" s="237">
        <v>23</v>
      </c>
      <c r="B32" s="153" t="s">
        <v>951</v>
      </c>
      <c r="C32" s="335" t="str">
        <f>IF(B32="","",VLOOKUP(B32,'CSDL Phi CN'!$B$3:$H$70,2,FALSE))</f>
        <v>Họp dự án/ họp thống nhất giải pháp/Họp triển khai …</v>
      </c>
      <c r="D32" s="167" t="s">
        <v>955</v>
      </c>
      <c r="E32" s="342">
        <f>IF(B32="","",VLOOKUP(B32,'CSDL Phi CN'!$B$3:$H$72,6,FALSE))</f>
        <v>4</v>
      </c>
    </row>
    <row r="33" ht="30" spans="1:5">
      <c r="A33" s="237">
        <v>24</v>
      </c>
      <c r="B33" s="153" t="s">
        <v>951</v>
      </c>
      <c r="C33" s="335" t="str">
        <f>IF(B33="","",VLOOKUP(B33,'CSDL Phi CN'!$B$3:$H$70,2,FALSE))</f>
        <v>Họp dự án/ họp thống nhất giải pháp/Họp triển khai …</v>
      </c>
      <c r="D33" s="167" t="s">
        <v>956</v>
      </c>
      <c r="E33" s="342">
        <f>IF(B33="","",VLOOKUP(B33,'CSDL Phi CN'!$B$3:$H$72,6,FALSE))</f>
        <v>4</v>
      </c>
    </row>
    <row r="34" ht="30" spans="1:5">
      <c r="A34" s="237">
        <v>26</v>
      </c>
      <c r="B34" s="337" t="s">
        <v>957</v>
      </c>
      <c r="C34" s="335" t="str">
        <f>IF(B34="","",VLOOKUP(B34,'CSDL Phi CN'!$B$3:$H$70,2,FALSE))</f>
        <v>Test hiệu năng</v>
      </c>
      <c r="D34" s="557" t="s">
        <v>958</v>
      </c>
      <c r="E34" s="342">
        <f>IF(B34="","",VLOOKUP(B34,'CSDL Phi CN'!$B$3:$H$72,6,FALSE))</f>
        <v>12</v>
      </c>
    </row>
    <row r="35" ht="30" spans="1:5">
      <c r="A35" s="237">
        <v>27</v>
      </c>
      <c r="B35" s="337" t="s">
        <v>957</v>
      </c>
      <c r="C35" s="335" t="str">
        <f>IF(B35="","",VLOOKUP(B35,'CSDL Phi CN'!$B$3:$H$70,2,FALSE))</f>
        <v>Test hiệu năng</v>
      </c>
      <c r="D35" s="557" t="s">
        <v>959</v>
      </c>
      <c r="E35" s="342">
        <f>IF(B35="","",VLOOKUP(B35,'CSDL Phi CN'!$B$3:$H$72,6,FALSE))</f>
        <v>12</v>
      </c>
    </row>
    <row r="36" ht="30" spans="1:5">
      <c r="A36" s="237">
        <v>28</v>
      </c>
      <c r="B36" s="337" t="s">
        <v>957</v>
      </c>
      <c r="C36" s="335" t="str">
        <f>IF(B36="","",VLOOKUP(B36,'CSDL Phi CN'!$B$3:$H$70,2,FALSE))</f>
        <v>Test hiệu năng</v>
      </c>
      <c r="D36" s="557" t="s">
        <v>960</v>
      </c>
      <c r="E36" s="342">
        <f>IF(B36="","",VLOOKUP(B36,'CSDL Phi CN'!$B$3:$H$72,6,FALSE))</f>
        <v>12</v>
      </c>
    </row>
    <row r="37" ht="30" spans="1:5">
      <c r="A37" s="237">
        <v>29</v>
      </c>
      <c r="B37" s="337" t="s">
        <v>957</v>
      </c>
      <c r="C37" s="335" t="str">
        <f>IF(B37="","",VLOOKUP(B37,'CSDL Phi CN'!$B$3:$H$70,2,FALSE))</f>
        <v>Test hiệu năng</v>
      </c>
      <c r="D37" s="557" t="s">
        <v>961</v>
      </c>
      <c r="E37" s="342">
        <f>IF(B37="","",VLOOKUP(B37,'CSDL Phi CN'!$B$3:$H$72,6,FALSE))</f>
        <v>12</v>
      </c>
    </row>
    <row r="38" ht="30" spans="1:5">
      <c r="A38" s="237">
        <v>30</v>
      </c>
      <c r="B38" s="337" t="s">
        <v>957</v>
      </c>
      <c r="C38" s="335" t="str">
        <f>IF(B38="","",VLOOKUP(B38,'CSDL Phi CN'!$B$3:$H$70,2,FALSE))</f>
        <v>Test hiệu năng</v>
      </c>
      <c r="D38" s="557" t="s">
        <v>962</v>
      </c>
      <c r="E38" s="342">
        <f>IF(B38="","",VLOOKUP(B38,'CSDL Phi CN'!$B$3:$H$72,6,FALSE))</f>
        <v>12</v>
      </c>
    </row>
    <row r="39" ht="30" spans="1:5">
      <c r="A39" s="237">
        <v>31</v>
      </c>
      <c r="B39" s="337" t="s">
        <v>957</v>
      </c>
      <c r="C39" s="335" t="str">
        <f>IF(B39="","",VLOOKUP(B39,'CSDL Phi CN'!$B$3:$H$70,2,FALSE))</f>
        <v>Test hiệu năng</v>
      </c>
      <c r="D39" s="557" t="s">
        <v>963</v>
      </c>
      <c r="E39" s="342">
        <f>IF(B39="","",VLOOKUP(B39,'CSDL Phi CN'!$B$3:$H$72,6,FALSE))</f>
        <v>12</v>
      </c>
    </row>
    <row r="40" ht="30" spans="1:5">
      <c r="A40" s="237">
        <v>32</v>
      </c>
      <c r="B40" s="337" t="s">
        <v>964</v>
      </c>
      <c r="C40" s="335" t="str">
        <f>IF(B40="","",VLOOKUP(B40,'CSDL Phi CN'!$B$3:$H$70,2,FALSE))</f>
        <v>Báo cáo và đánh giá hệ thống sau test hiệu năng</v>
      </c>
      <c r="D40" s="557" t="s">
        <v>965</v>
      </c>
      <c r="E40" s="342">
        <f>IF(B40="","",VLOOKUP(B40,'CSDL Phi CN'!$B$3:$H$72,6,FALSE))</f>
        <v>7.2</v>
      </c>
    </row>
    <row r="41" ht="30" spans="1:5">
      <c r="A41" s="237">
        <v>33</v>
      </c>
      <c r="B41" s="337" t="s">
        <v>964</v>
      </c>
      <c r="C41" s="335" t="str">
        <f>IF(B41="","",VLOOKUP(B41,'CSDL Phi CN'!$B$3:$H$70,2,FALSE))</f>
        <v>Báo cáo và đánh giá hệ thống sau test hiệu năng</v>
      </c>
      <c r="D41" s="557" t="s">
        <v>966</v>
      </c>
      <c r="E41" s="342">
        <f>IF(B41="","",VLOOKUP(B41,'CSDL Phi CN'!$B$3:$H$72,6,FALSE))</f>
        <v>7.2</v>
      </c>
    </row>
    <row r="42" ht="30" spans="1:5">
      <c r="A42" s="237">
        <v>34</v>
      </c>
      <c r="B42" s="337" t="s">
        <v>964</v>
      </c>
      <c r="C42" s="335" t="str">
        <f>IF(B42="","",VLOOKUP(B42,'CSDL Phi CN'!$B$3:$H$70,2,FALSE))</f>
        <v>Báo cáo và đánh giá hệ thống sau test hiệu năng</v>
      </c>
      <c r="D42" s="557" t="s">
        <v>967</v>
      </c>
      <c r="E42" s="342">
        <f>IF(B42="","",VLOOKUP(B42,'CSDL Phi CN'!$B$3:$H$72,6,FALSE))</f>
        <v>7.2</v>
      </c>
    </row>
    <row r="43" ht="30" spans="1:5">
      <c r="A43" s="237">
        <v>35</v>
      </c>
      <c r="B43" s="337" t="s">
        <v>964</v>
      </c>
      <c r="C43" s="335" t="str">
        <f>IF(B43="","",VLOOKUP(B43,'CSDL Phi CN'!$B$3:$H$70,2,FALSE))</f>
        <v>Báo cáo và đánh giá hệ thống sau test hiệu năng</v>
      </c>
      <c r="D43" s="557" t="s">
        <v>968</v>
      </c>
      <c r="E43" s="342">
        <f>IF(B43="","",VLOOKUP(B43,'CSDL Phi CN'!$B$3:$H$72,6,FALSE))</f>
        <v>7.2</v>
      </c>
    </row>
    <row r="44" ht="30" spans="1:5">
      <c r="A44" s="237">
        <v>36</v>
      </c>
      <c r="B44" s="337" t="s">
        <v>964</v>
      </c>
      <c r="C44" s="335" t="str">
        <f>IF(B44="","",VLOOKUP(B44,'CSDL Phi CN'!$B$3:$H$70,2,FALSE))</f>
        <v>Báo cáo và đánh giá hệ thống sau test hiệu năng</v>
      </c>
      <c r="D44" s="557" t="s">
        <v>969</v>
      </c>
      <c r="E44" s="342">
        <f>IF(B44="","",VLOOKUP(B44,'CSDL Phi CN'!$B$3:$H$72,6,FALSE))</f>
        <v>7.2</v>
      </c>
    </row>
    <row r="45" ht="30" spans="1:5">
      <c r="A45" s="237">
        <v>37</v>
      </c>
      <c r="B45" s="337" t="s">
        <v>964</v>
      </c>
      <c r="C45" s="335" t="str">
        <f>IF(B45="","",VLOOKUP(B45,'CSDL Phi CN'!$B$3:$H$70,2,FALSE))</f>
        <v>Báo cáo và đánh giá hệ thống sau test hiệu năng</v>
      </c>
      <c r="D45" s="557" t="s">
        <v>970</v>
      </c>
      <c r="E45" s="342">
        <f>IF(B45="","",VLOOKUP(B45,'CSDL Phi CN'!$B$3:$H$72,6,FALSE))</f>
        <v>7.2</v>
      </c>
    </row>
    <row r="46" spans="1:5">
      <c r="A46" s="242"/>
      <c r="B46" s="242"/>
      <c r="C46" s="235"/>
      <c r="D46" s="243" t="s">
        <v>902</v>
      </c>
      <c r="E46" s="257">
        <f>SUM(E10:E45)</f>
        <v>2027.21603274986</v>
      </c>
    </row>
    <row r="47" spans="1:5">
      <c r="A47" s="242"/>
      <c r="B47" s="242"/>
      <c r="C47" s="235"/>
      <c r="D47" s="243" t="s">
        <v>903</v>
      </c>
      <c r="E47" s="257">
        <f>E46/8</f>
        <v>253.402004093733</v>
      </c>
    </row>
    <row r="48" spans="2:3">
      <c r="B48" s="244"/>
      <c r="C48" s="244"/>
    </row>
  </sheetData>
  <mergeCells count="8">
    <mergeCell ref="A1:E1"/>
    <mergeCell ref="A2:E2"/>
    <mergeCell ref="B48:C48"/>
    <mergeCell ref="A8:A9"/>
    <mergeCell ref="B8:B9"/>
    <mergeCell ref="C8:C9"/>
    <mergeCell ref="D8:D9"/>
    <mergeCell ref="E8:E9"/>
  </mergeCells>
  <dataValidations count="5">
    <dataValidation type="list" allowBlank="1" showInputMessage="1" showErrorMessage="1" sqref="IH10:IH45 IH65478:IH65536">
      <formula1>"Đơn giản, Trung bình, Phức tạp, &gt;Phức tạp"</formula1>
    </dataValidation>
    <dataValidation type="list" allowBlank="1" showInputMessage="1" showErrorMessage="1" sqref="IE10:IE45 IE65478:IE65536">
      <formula1>"WFW, PHP, Tiến trình, Mobile Client"</formula1>
    </dataValidation>
    <dataValidation type="list" allowBlank="1" showInputMessage="1" showErrorMessage="1" sqref="IH65477">
      <formula1>DPT</formula1>
    </dataValidation>
    <dataValidation type="list" allowBlank="1" showInputMessage="1" showErrorMessage="1" sqref="IF10:IF45 IF65478:IF65536">
      <formula1>LOAI_CN</formula1>
    </dataValidation>
    <dataValidation type="list" allowBlank="1" showInputMessage="1" showErrorMessage="1" sqref="IE65477:IF65477">
      <formula1>DS_LCN</formula1>
    </dataValidation>
  </dataValidations>
  <pageMargins left="0.7" right="0.7" top="0.75" bottom="0.75" header="0.3" footer="0.3"/>
  <pageSetup paperSize="9" scale="77" fitToHeight="0" orientation="landscape"/>
  <headerFooter>
    <oddFooter>&amp;L&amp;"Arial,Italic"HD.VTS.QLCL.01&amp;C&amp;"Arial,Italic"Lần ban hành/Ngày hiệu lực&amp;R&amp;"Arial,Italic"&amp;P/&amp;N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5"/>
  <sheetViews>
    <sheetView view="pageBreakPreview" zoomScale="60" zoomScalePageLayoutView="70" zoomScaleNormal="55" topLeftCell="A28" workbookViewId="0">
      <selection activeCell="F40" sqref="F40"/>
    </sheetView>
  </sheetViews>
  <sheetFormatPr defaultColWidth="9" defaultRowHeight="15"/>
  <cols>
    <col min="1" max="1" width="5" style="270" customWidth="1"/>
    <col min="2" max="2" width="17.5714285714286" style="270" customWidth="1"/>
    <col min="3" max="3" width="9" style="270" customWidth="1"/>
    <col min="4" max="4" width="6.57142857142857" style="270" customWidth="1"/>
    <col min="5" max="5" width="31.1428571428571" style="272" customWidth="1"/>
    <col min="6" max="6" width="14.2857142857143" style="269" customWidth="1"/>
    <col min="7" max="7" width="12.5714285714286" style="269" customWidth="1"/>
    <col min="8" max="8" width="7.28571428571429" style="269" customWidth="1"/>
    <col min="9" max="9" width="8" style="269" customWidth="1"/>
    <col min="10" max="10" width="7.57142857142857" style="269" customWidth="1"/>
    <col min="11" max="11" width="7.14285714285714" style="269" customWidth="1"/>
    <col min="12" max="12" width="6.28571428571429" style="269" customWidth="1"/>
    <col min="13" max="13" width="7.71428571428571" style="269" customWidth="1"/>
    <col min="14" max="14" width="8.28571428571429" style="269" customWidth="1"/>
    <col min="15" max="15" width="7.42857142857143" style="269" customWidth="1"/>
    <col min="16" max="16" width="6.42857142857143" style="269" customWidth="1"/>
    <col min="17" max="17" width="6.14285714285714" style="269" customWidth="1"/>
    <col min="18" max="18" width="6.85714285714286" style="269" customWidth="1"/>
    <col min="19" max="19" width="10.5714285714286" style="269" customWidth="1"/>
    <col min="20" max="20" width="10" style="269" customWidth="1"/>
    <col min="21" max="21" width="7.85714285714286" style="269" customWidth="1"/>
    <col min="22" max="22" width="9" style="269" customWidth="1"/>
    <col min="23" max="23" width="8.85714285714286" style="269" customWidth="1"/>
    <col min="24" max="24" width="13.1428571428571" style="269" customWidth="1"/>
    <col min="25" max="25" width="9.57142857142857" style="269" customWidth="1"/>
    <col min="26" max="26" width="8.57142857142857" style="269" customWidth="1"/>
    <col min="27" max="27" width="13.1428571428571" style="272" customWidth="1"/>
    <col min="28" max="16384" width="9.14285714285714" style="272"/>
  </cols>
  <sheetData>
    <row r="1" ht="27.75" customHeight="1" spans="2:26">
      <c r="B1" s="273"/>
      <c r="C1" s="273"/>
      <c r="D1" s="274" t="s">
        <v>971</v>
      </c>
      <c r="E1" s="273"/>
      <c r="F1" s="273"/>
      <c r="G1" s="273"/>
      <c r="H1" s="273"/>
      <c r="I1" s="273"/>
      <c r="J1" s="273"/>
      <c r="K1" s="273"/>
      <c r="L1" s="273"/>
      <c r="M1" s="273"/>
      <c r="N1" s="273"/>
      <c r="O1" s="273"/>
      <c r="P1" s="273"/>
      <c r="Q1" s="273"/>
      <c r="R1" s="273"/>
      <c r="S1" s="273"/>
      <c r="T1" s="273"/>
      <c r="U1" s="273"/>
      <c r="V1" s="273"/>
      <c r="W1" s="273"/>
      <c r="X1" s="273"/>
      <c r="Y1" s="273"/>
      <c r="Z1" s="273"/>
    </row>
    <row r="2" ht="18" spans="1:12">
      <c r="A2" s="275" t="s">
        <v>265</v>
      </c>
      <c r="B2" s="275"/>
      <c r="C2" s="275"/>
      <c r="D2" s="276"/>
      <c r="E2" s="276"/>
      <c r="F2" s="276"/>
      <c r="G2" s="276"/>
      <c r="H2" s="276"/>
      <c r="I2" s="276"/>
      <c r="J2" s="276"/>
      <c r="K2" s="276"/>
      <c r="L2" s="276"/>
    </row>
    <row r="3" s="267" customFormat="1" ht="18.75" spans="1:26">
      <c r="A3" s="277" t="s">
        <v>972</v>
      </c>
      <c r="B3" s="277"/>
      <c r="C3" s="277"/>
      <c r="D3" s="278"/>
      <c r="E3" s="278"/>
      <c r="F3" s="278"/>
      <c r="G3" s="278"/>
      <c r="H3" s="278"/>
      <c r="I3" s="278"/>
      <c r="J3" s="278"/>
      <c r="K3" s="278"/>
      <c r="L3" s="278"/>
      <c r="M3" s="278"/>
      <c r="N3" s="278"/>
      <c r="O3" s="278"/>
      <c r="P3" s="278"/>
      <c r="Q3" s="278"/>
      <c r="R3" s="278"/>
      <c r="S3" s="278"/>
      <c r="T3" s="278"/>
      <c r="U3" s="278"/>
      <c r="V3" s="278"/>
      <c r="W3" s="278"/>
      <c r="X3" s="323"/>
      <c r="Y3" s="323"/>
      <c r="Z3" s="323"/>
    </row>
    <row r="4" s="268" customFormat="1" ht="132.75" customHeight="1" spans="1:26">
      <c r="A4" s="279" t="s">
        <v>267</v>
      </c>
      <c r="B4" s="280" t="s">
        <v>268</v>
      </c>
      <c r="C4" s="280" t="s">
        <v>280</v>
      </c>
      <c r="D4" s="281" t="s">
        <v>973</v>
      </c>
      <c r="E4" s="280" t="s">
        <v>974</v>
      </c>
      <c r="F4" s="280" t="s">
        <v>975</v>
      </c>
      <c r="G4" s="280" t="s">
        <v>976</v>
      </c>
      <c r="H4" s="280" t="s">
        <v>977</v>
      </c>
      <c r="I4" s="280" t="s">
        <v>978</v>
      </c>
      <c r="J4" s="280" t="s">
        <v>979</v>
      </c>
      <c r="K4" s="308" t="s">
        <v>980</v>
      </c>
      <c r="L4" s="308" t="s">
        <v>981</v>
      </c>
      <c r="M4" s="308" t="s">
        <v>982</v>
      </c>
      <c r="N4" s="308" t="s">
        <v>983</v>
      </c>
      <c r="O4" s="316" t="s">
        <v>984</v>
      </c>
      <c r="P4" s="308" t="s">
        <v>985</v>
      </c>
      <c r="Q4" s="308" t="s">
        <v>986</v>
      </c>
      <c r="R4" s="308" t="s">
        <v>987</v>
      </c>
      <c r="S4" s="308" t="s">
        <v>988</v>
      </c>
      <c r="T4" s="308" t="s">
        <v>989</v>
      </c>
      <c r="U4" s="308" t="s">
        <v>990</v>
      </c>
      <c r="V4" s="308" t="s">
        <v>991</v>
      </c>
      <c r="W4" s="308" t="s">
        <v>992</v>
      </c>
      <c r="X4" s="308" t="s">
        <v>993</v>
      </c>
      <c r="Y4" s="308" t="s">
        <v>994</v>
      </c>
      <c r="Z4" s="308" t="s">
        <v>276</v>
      </c>
    </row>
    <row r="5" s="268" customFormat="1" ht="24" customHeight="1" spans="1:26">
      <c r="A5" s="279" t="s">
        <v>28</v>
      </c>
      <c r="B5" s="280" t="s">
        <v>995</v>
      </c>
      <c r="C5" s="280" t="s">
        <v>996</v>
      </c>
      <c r="D5" s="281" t="s">
        <v>997</v>
      </c>
      <c r="E5" s="280" t="s">
        <v>998</v>
      </c>
      <c r="F5" s="280" t="s">
        <v>999</v>
      </c>
      <c r="G5" s="280" t="s">
        <v>1000</v>
      </c>
      <c r="H5" s="280" t="s">
        <v>1001</v>
      </c>
      <c r="I5" s="280" t="s">
        <v>1002</v>
      </c>
      <c r="J5" s="280" t="s">
        <v>1003</v>
      </c>
      <c r="K5" s="280" t="s">
        <v>1004</v>
      </c>
      <c r="L5" s="280" t="s">
        <v>1005</v>
      </c>
      <c r="M5" s="280" t="s">
        <v>1006</v>
      </c>
      <c r="N5" s="280" t="s">
        <v>1007</v>
      </c>
      <c r="O5" s="281" t="s">
        <v>1008</v>
      </c>
      <c r="P5" s="280" t="s">
        <v>1009</v>
      </c>
      <c r="Q5" s="280" t="s">
        <v>1010</v>
      </c>
      <c r="R5" s="280" t="s">
        <v>1011</v>
      </c>
      <c r="S5" s="280" t="s">
        <v>1012</v>
      </c>
      <c r="T5" s="280" t="s">
        <v>1013</v>
      </c>
      <c r="U5" s="280" t="s">
        <v>1014</v>
      </c>
      <c r="V5" s="280" t="s">
        <v>1015</v>
      </c>
      <c r="W5" s="280" t="s">
        <v>1016</v>
      </c>
      <c r="X5" s="280" t="s">
        <v>1017</v>
      </c>
      <c r="Y5" s="280" t="s">
        <v>1018</v>
      </c>
      <c r="Z5" s="280" t="s">
        <v>1019</v>
      </c>
    </row>
    <row r="6" s="269" customFormat="1" ht="25.5" customHeight="1" spans="1:26">
      <c r="A6" s="282">
        <v>1</v>
      </c>
      <c r="B6" s="283" t="s">
        <v>1020</v>
      </c>
      <c r="C6" s="283" t="s">
        <v>1021</v>
      </c>
      <c r="D6" s="284" t="s">
        <v>1022</v>
      </c>
      <c r="E6" s="219" t="s">
        <v>1023</v>
      </c>
      <c r="F6" s="283" t="s">
        <v>1024</v>
      </c>
      <c r="G6" s="298">
        <v>1</v>
      </c>
      <c r="H6" s="298">
        <v>1</v>
      </c>
      <c r="I6" s="298">
        <v>1</v>
      </c>
      <c r="J6" s="298">
        <v>0</v>
      </c>
      <c r="K6" s="309">
        <f t="shared" ref="K6:K14" si="0">IF(G6=1,2+(H6*2)+I6*5+J6*10,(IF(G6=2,5+(H6*2)+I6*5+J6*10,10+(H6*2)+I6*5+J6*10)))</f>
        <v>9</v>
      </c>
      <c r="L6" s="309" t="str">
        <f>IF(G6=1,"30",(IF(G6=2,"45","60")))</f>
        <v>30</v>
      </c>
      <c r="M6" s="309">
        <f t="shared" ref="M6:M14" si="1">K6+L6</f>
        <v>39</v>
      </c>
      <c r="N6" s="309">
        <f t="shared" ref="N6:N14" si="2">IF(G6=1,R6*0.5,(IF(G6=2,R6*1,R6*1.5)))</f>
        <v>25</v>
      </c>
      <c r="O6" s="298">
        <v>1</v>
      </c>
      <c r="P6" s="298">
        <v>5</v>
      </c>
      <c r="Q6" s="309">
        <f t="shared" ref="Q6:Q14" si="3">O6*P6</f>
        <v>5</v>
      </c>
      <c r="R6" s="298">
        <v>50</v>
      </c>
      <c r="S6" s="298">
        <f>1/60</f>
        <v>0.0166666666666667</v>
      </c>
      <c r="T6" s="298">
        <f>1/60</f>
        <v>0.0166666666666667</v>
      </c>
      <c r="U6" s="298">
        <v>1</v>
      </c>
      <c r="V6" s="309">
        <f>R6*S6+R6*T6+2+U6</f>
        <v>4.66666666666667</v>
      </c>
      <c r="W6" s="309">
        <f t="shared" ref="W6:X14" si="4">IF(G6="",0,5)</f>
        <v>5</v>
      </c>
      <c r="X6" s="309">
        <f t="shared" si="4"/>
        <v>5</v>
      </c>
      <c r="Y6" s="309">
        <f t="shared" ref="Y6:Y14" si="5">SUM(M6,N6*5,Q6,V6*5,W6*5,X6*5)</f>
        <v>242.333333333333</v>
      </c>
      <c r="Z6" s="283"/>
    </row>
    <row r="7" s="269" customFormat="1" ht="21.75" customHeight="1" spans="1:26">
      <c r="A7" s="282">
        <v>2</v>
      </c>
      <c r="B7" s="283" t="s">
        <v>1025</v>
      </c>
      <c r="C7" s="285" t="s">
        <v>1026</v>
      </c>
      <c r="D7" s="286" t="s">
        <v>1027</v>
      </c>
      <c r="E7" s="286" t="s">
        <v>1028</v>
      </c>
      <c r="F7" s="285" t="s">
        <v>1029</v>
      </c>
      <c r="G7" s="298">
        <v>2</v>
      </c>
      <c r="H7" s="298">
        <v>0</v>
      </c>
      <c r="I7" s="298">
        <v>0</v>
      </c>
      <c r="J7" s="298">
        <v>0</v>
      </c>
      <c r="K7" s="309">
        <f t="shared" si="0"/>
        <v>5</v>
      </c>
      <c r="L7" s="309" t="str">
        <f t="shared" ref="L7:L14" si="6">IF(G7=1,"30",(IF(G7=2,"45","60")))</f>
        <v>45</v>
      </c>
      <c r="M7" s="309">
        <f t="shared" si="1"/>
        <v>50</v>
      </c>
      <c r="N7" s="309">
        <f t="shared" si="2"/>
        <v>40</v>
      </c>
      <c r="O7" s="298">
        <v>1</v>
      </c>
      <c r="P7" s="298">
        <v>5</v>
      </c>
      <c r="Q7" s="309">
        <f t="shared" si="3"/>
        <v>5</v>
      </c>
      <c r="R7" s="298">
        <v>40</v>
      </c>
      <c r="S7" s="298">
        <f t="shared" ref="S7:T14" si="7">1/60</f>
        <v>0.0166666666666667</v>
      </c>
      <c r="T7" s="298">
        <f t="shared" si="7"/>
        <v>0.0166666666666667</v>
      </c>
      <c r="U7" s="298">
        <v>3</v>
      </c>
      <c r="V7" s="309">
        <f t="shared" ref="V7:V14" si="8">R7*S7+R7*T7+2+U7</f>
        <v>6.33333333333333</v>
      </c>
      <c r="W7" s="309">
        <f t="shared" si="4"/>
        <v>5</v>
      </c>
      <c r="X7" s="309">
        <f t="shared" si="4"/>
        <v>5</v>
      </c>
      <c r="Y7" s="309">
        <f t="shared" si="5"/>
        <v>336.666666666667</v>
      </c>
      <c r="Z7" s="283"/>
    </row>
    <row r="8" s="269" customFormat="1" ht="22.5" customHeight="1" spans="1:26">
      <c r="A8" s="282">
        <v>3</v>
      </c>
      <c r="B8" s="283" t="s">
        <v>1030</v>
      </c>
      <c r="C8" s="285" t="s">
        <v>1031</v>
      </c>
      <c r="D8" s="286" t="s">
        <v>1032</v>
      </c>
      <c r="E8" s="286" t="s">
        <v>1033</v>
      </c>
      <c r="F8" s="285" t="s">
        <v>1034</v>
      </c>
      <c r="G8" s="298">
        <v>1</v>
      </c>
      <c r="H8" s="298">
        <v>0</v>
      </c>
      <c r="I8" s="298">
        <v>0</v>
      </c>
      <c r="J8" s="298">
        <v>0</v>
      </c>
      <c r="K8" s="309">
        <f t="shared" si="0"/>
        <v>2</v>
      </c>
      <c r="L8" s="309" t="str">
        <f t="shared" si="6"/>
        <v>30</v>
      </c>
      <c r="M8" s="309">
        <f t="shared" si="1"/>
        <v>32</v>
      </c>
      <c r="N8" s="309">
        <f t="shared" si="2"/>
        <v>15</v>
      </c>
      <c r="O8" s="298">
        <v>1</v>
      </c>
      <c r="P8" s="298">
        <v>5</v>
      </c>
      <c r="Q8" s="309">
        <f t="shared" si="3"/>
        <v>5</v>
      </c>
      <c r="R8" s="298">
        <v>30</v>
      </c>
      <c r="S8" s="298">
        <f t="shared" si="7"/>
        <v>0.0166666666666667</v>
      </c>
      <c r="T8" s="298">
        <f t="shared" si="7"/>
        <v>0.0166666666666667</v>
      </c>
      <c r="U8" s="298">
        <v>1</v>
      </c>
      <c r="V8" s="309">
        <f t="shared" si="8"/>
        <v>4</v>
      </c>
      <c r="W8" s="309">
        <f t="shared" si="4"/>
        <v>5</v>
      </c>
      <c r="X8" s="309">
        <f t="shared" si="4"/>
        <v>5</v>
      </c>
      <c r="Y8" s="309">
        <f t="shared" si="5"/>
        <v>182</v>
      </c>
      <c r="Z8" s="285"/>
    </row>
    <row r="9" s="269" customFormat="1" ht="20.25" customHeight="1" spans="1:26">
      <c r="A9" s="282">
        <v>4</v>
      </c>
      <c r="B9" s="283" t="s">
        <v>1035</v>
      </c>
      <c r="C9" s="285" t="s">
        <v>1036</v>
      </c>
      <c r="D9" s="286" t="s">
        <v>1037</v>
      </c>
      <c r="E9" s="286" t="s">
        <v>1038</v>
      </c>
      <c r="F9" s="285" t="s">
        <v>1039</v>
      </c>
      <c r="G9" s="298">
        <v>3</v>
      </c>
      <c r="H9" s="298">
        <v>0</v>
      </c>
      <c r="I9" s="298">
        <v>0</v>
      </c>
      <c r="J9" s="298">
        <v>0</v>
      </c>
      <c r="K9" s="309">
        <f t="shared" si="0"/>
        <v>10</v>
      </c>
      <c r="L9" s="309" t="str">
        <f t="shared" si="6"/>
        <v>60</v>
      </c>
      <c r="M9" s="309">
        <f t="shared" si="1"/>
        <v>70</v>
      </c>
      <c r="N9" s="309">
        <f t="shared" si="2"/>
        <v>75</v>
      </c>
      <c r="O9" s="298">
        <v>1</v>
      </c>
      <c r="P9" s="298">
        <v>5</v>
      </c>
      <c r="Q9" s="309">
        <f t="shared" si="3"/>
        <v>5</v>
      </c>
      <c r="R9" s="298">
        <v>50</v>
      </c>
      <c r="S9" s="298">
        <f t="shared" si="7"/>
        <v>0.0166666666666667</v>
      </c>
      <c r="T9" s="298">
        <f t="shared" si="7"/>
        <v>0.0166666666666667</v>
      </c>
      <c r="U9" s="298">
        <v>4</v>
      </c>
      <c r="V9" s="309">
        <f t="shared" si="8"/>
        <v>7.66666666666667</v>
      </c>
      <c r="W9" s="309">
        <f t="shared" si="4"/>
        <v>5</v>
      </c>
      <c r="X9" s="309">
        <f t="shared" si="4"/>
        <v>5</v>
      </c>
      <c r="Y9" s="309">
        <f t="shared" si="5"/>
        <v>538.333333333333</v>
      </c>
      <c r="Z9" s="285"/>
    </row>
    <row r="10" s="269" customFormat="1" ht="20.25" customHeight="1" spans="1:26">
      <c r="A10" s="282">
        <v>5</v>
      </c>
      <c r="B10" s="283" t="s">
        <v>1040</v>
      </c>
      <c r="C10" s="285" t="s">
        <v>1041</v>
      </c>
      <c r="D10" s="286" t="s">
        <v>1042</v>
      </c>
      <c r="E10" s="286" t="s">
        <v>1043</v>
      </c>
      <c r="F10" s="285" t="s">
        <v>240</v>
      </c>
      <c r="G10" s="298">
        <v>3</v>
      </c>
      <c r="H10" s="298">
        <v>0</v>
      </c>
      <c r="I10" s="298">
        <v>0</v>
      </c>
      <c r="J10" s="298">
        <v>0</v>
      </c>
      <c r="K10" s="309">
        <f t="shared" si="0"/>
        <v>10</v>
      </c>
      <c r="L10" s="309" t="str">
        <f t="shared" si="6"/>
        <v>60</v>
      </c>
      <c r="M10" s="309">
        <f t="shared" si="1"/>
        <v>70</v>
      </c>
      <c r="N10" s="309">
        <f t="shared" si="2"/>
        <v>15</v>
      </c>
      <c r="O10" s="298">
        <v>1</v>
      </c>
      <c r="P10" s="298">
        <v>5</v>
      </c>
      <c r="Q10" s="309">
        <f t="shared" si="3"/>
        <v>5</v>
      </c>
      <c r="R10" s="298">
        <v>10</v>
      </c>
      <c r="S10" s="298">
        <f t="shared" si="7"/>
        <v>0.0166666666666667</v>
      </c>
      <c r="T10" s="298">
        <f t="shared" si="7"/>
        <v>0.0166666666666667</v>
      </c>
      <c r="U10" s="298">
        <v>4</v>
      </c>
      <c r="V10" s="309">
        <f t="shared" si="8"/>
        <v>6.33333333333333</v>
      </c>
      <c r="W10" s="309">
        <f t="shared" si="4"/>
        <v>5</v>
      </c>
      <c r="X10" s="309">
        <f t="shared" si="4"/>
        <v>5</v>
      </c>
      <c r="Y10" s="309">
        <f t="shared" si="5"/>
        <v>231.666666666667</v>
      </c>
      <c r="Z10" s="285"/>
    </row>
    <row r="11" s="269" customFormat="1" ht="31.5" customHeight="1" spans="1:26">
      <c r="A11" s="282">
        <v>6</v>
      </c>
      <c r="B11" s="283" t="s">
        <v>1044</v>
      </c>
      <c r="C11" s="285" t="s">
        <v>1045</v>
      </c>
      <c r="D11" s="286" t="s">
        <v>1046</v>
      </c>
      <c r="E11" s="286" t="s">
        <v>1047</v>
      </c>
      <c r="F11" s="285" t="s">
        <v>1048</v>
      </c>
      <c r="G11" s="298">
        <v>3</v>
      </c>
      <c r="H11" s="298">
        <v>1</v>
      </c>
      <c r="I11" s="298">
        <v>2</v>
      </c>
      <c r="J11" s="298">
        <v>3</v>
      </c>
      <c r="K11" s="309">
        <f t="shared" si="0"/>
        <v>52</v>
      </c>
      <c r="L11" s="309" t="str">
        <f t="shared" si="6"/>
        <v>60</v>
      </c>
      <c r="M11" s="309">
        <f t="shared" si="1"/>
        <v>112</v>
      </c>
      <c r="N11" s="309">
        <f t="shared" si="2"/>
        <v>15</v>
      </c>
      <c r="O11" s="298">
        <v>1</v>
      </c>
      <c r="P11" s="298">
        <v>5</v>
      </c>
      <c r="Q11" s="309">
        <f t="shared" si="3"/>
        <v>5</v>
      </c>
      <c r="R11" s="298">
        <v>10</v>
      </c>
      <c r="S11" s="298">
        <f t="shared" si="7"/>
        <v>0.0166666666666667</v>
      </c>
      <c r="T11" s="298">
        <f t="shared" si="7"/>
        <v>0.0166666666666667</v>
      </c>
      <c r="U11" s="298">
        <v>4</v>
      </c>
      <c r="V11" s="309">
        <f t="shared" si="8"/>
        <v>6.33333333333333</v>
      </c>
      <c r="W11" s="309">
        <f t="shared" si="4"/>
        <v>5</v>
      </c>
      <c r="X11" s="309">
        <f t="shared" si="4"/>
        <v>5</v>
      </c>
      <c r="Y11" s="309">
        <f t="shared" si="5"/>
        <v>273.666666666667</v>
      </c>
      <c r="Z11" s="285"/>
    </row>
    <row r="12" s="269" customFormat="1" ht="20.25" customHeight="1" spans="1:26">
      <c r="A12" s="282">
        <v>7</v>
      </c>
      <c r="B12" s="283" t="s">
        <v>1049</v>
      </c>
      <c r="C12" s="285" t="s">
        <v>1050</v>
      </c>
      <c r="D12" s="286" t="s">
        <v>1051</v>
      </c>
      <c r="E12" s="286" t="s">
        <v>1052</v>
      </c>
      <c r="F12" s="285" t="s">
        <v>1053</v>
      </c>
      <c r="G12" s="298">
        <v>2</v>
      </c>
      <c r="H12" s="298">
        <v>0</v>
      </c>
      <c r="I12" s="298">
        <v>0</v>
      </c>
      <c r="J12" s="298">
        <v>0</v>
      </c>
      <c r="K12" s="309">
        <f t="shared" si="0"/>
        <v>5</v>
      </c>
      <c r="L12" s="309" t="str">
        <f t="shared" si="6"/>
        <v>45</v>
      </c>
      <c r="M12" s="309">
        <f t="shared" si="1"/>
        <v>50</v>
      </c>
      <c r="N12" s="309">
        <f t="shared" si="2"/>
        <v>25</v>
      </c>
      <c r="O12" s="298">
        <v>1</v>
      </c>
      <c r="P12" s="298">
        <v>5</v>
      </c>
      <c r="Q12" s="309">
        <f t="shared" si="3"/>
        <v>5</v>
      </c>
      <c r="R12" s="298">
        <v>25</v>
      </c>
      <c r="S12" s="298">
        <f t="shared" si="7"/>
        <v>0.0166666666666667</v>
      </c>
      <c r="T12" s="298">
        <f t="shared" si="7"/>
        <v>0.0166666666666667</v>
      </c>
      <c r="U12" s="298">
        <v>3</v>
      </c>
      <c r="V12" s="309">
        <f t="shared" si="8"/>
        <v>5.83333333333333</v>
      </c>
      <c r="W12" s="309">
        <f t="shared" si="4"/>
        <v>5</v>
      </c>
      <c r="X12" s="309">
        <f t="shared" si="4"/>
        <v>5</v>
      </c>
      <c r="Y12" s="309">
        <f t="shared" si="5"/>
        <v>259.166666666667</v>
      </c>
      <c r="Z12" s="285"/>
    </row>
    <row r="13" s="269" customFormat="1" ht="20.25" customHeight="1" spans="1:26">
      <c r="A13" s="282">
        <v>8</v>
      </c>
      <c r="B13" s="283" t="s">
        <v>1054</v>
      </c>
      <c r="C13" s="285" t="s">
        <v>1055</v>
      </c>
      <c r="D13" s="286" t="s">
        <v>1056</v>
      </c>
      <c r="E13" s="286" t="s">
        <v>1057</v>
      </c>
      <c r="F13" s="285" t="s">
        <v>1058</v>
      </c>
      <c r="G13" s="298">
        <v>2</v>
      </c>
      <c r="H13" s="298">
        <v>0</v>
      </c>
      <c r="I13" s="298">
        <v>0</v>
      </c>
      <c r="J13" s="298">
        <v>0</v>
      </c>
      <c r="K13" s="309">
        <f t="shared" si="0"/>
        <v>5</v>
      </c>
      <c r="L13" s="309" t="str">
        <f t="shared" si="6"/>
        <v>45</v>
      </c>
      <c r="M13" s="309">
        <f t="shared" si="1"/>
        <v>50</v>
      </c>
      <c r="N13" s="309">
        <f t="shared" si="2"/>
        <v>30</v>
      </c>
      <c r="O13" s="298">
        <v>1</v>
      </c>
      <c r="P13" s="298">
        <v>5</v>
      </c>
      <c r="Q13" s="309">
        <f t="shared" si="3"/>
        <v>5</v>
      </c>
      <c r="R13" s="298">
        <v>30</v>
      </c>
      <c r="S13" s="298">
        <f t="shared" si="7"/>
        <v>0.0166666666666667</v>
      </c>
      <c r="T13" s="298">
        <f t="shared" si="7"/>
        <v>0.0166666666666667</v>
      </c>
      <c r="U13" s="298">
        <v>3</v>
      </c>
      <c r="V13" s="309">
        <f t="shared" si="8"/>
        <v>6</v>
      </c>
      <c r="W13" s="309">
        <f t="shared" si="4"/>
        <v>5</v>
      </c>
      <c r="X13" s="309">
        <f t="shared" si="4"/>
        <v>5</v>
      </c>
      <c r="Y13" s="309">
        <f t="shared" si="5"/>
        <v>285</v>
      </c>
      <c r="Z13" s="285"/>
    </row>
    <row r="14" s="269" customFormat="1" ht="32.25" customHeight="1" spans="1:26">
      <c r="A14" s="282">
        <v>9</v>
      </c>
      <c r="B14" s="283" t="s">
        <v>1059</v>
      </c>
      <c r="C14" s="285" t="s">
        <v>1055</v>
      </c>
      <c r="D14" s="286" t="s">
        <v>1060</v>
      </c>
      <c r="E14" s="286" t="s">
        <v>1061</v>
      </c>
      <c r="F14" s="285" t="s">
        <v>1061</v>
      </c>
      <c r="G14" s="298">
        <v>2</v>
      </c>
      <c r="H14" s="298">
        <v>0</v>
      </c>
      <c r="I14" s="298">
        <v>0</v>
      </c>
      <c r="J14" s="298">
        <v>0</v>
      </c>
      <c r="K14" s="309">
        <f t="shared" si="0"/>
        <v>5</v>
      </c>
      <c r="L14" s="309" t="str">
        <f t="shared" si="6"/>
        <v>45</v>
      </c>
      <c r="M14" s="309">
        <f t="shared" si="1"/>
        <v>50</v>
      </c>
      <c r="N14" s="309">
        <f t="shared" si="2"/>
        <v>40</v>
      </c>
      <c r="O14" s="298">
        <v>1</v>
      </c>
      <c r="P14" s="298">
        <v>5</v>
      </c>
      <c r="Q14" s="309">
        <f t="shared" si="3"/>
        <v>5</v>
      </c>
      <c r="R14" s="298">
        <v>40</v>
      </c>
      <c r="S14" s="298">
        <f t="shared" si="7"/>
        <v>0.0166666666666667</v>
      </c>
      <c r="T14" s="298">
        <f t="shared" si="7"/>
        <v>0.0166666666666667</v>
      </c>
      <c r="U14" s="298">
        <v>3</v>
      </c>
      <c r="V14" s="309">
        <f t="shared" si="8"/>
        <v>6.33333333333333</v>
      </c>
      <c r="W14" s="309">
        <f t="shared" si="4"/>
        <v>5</v>
      </c>
      <c r="X14" s="309">
        <f t="shared" si="4"/>
        <v>5</v>
      </c>
      <c r="Y14" s="309">
        <f t="shared" si="5"/>
        <v>336.666666666667</v>
      </c>
      <c r="Z14" s="285"/>
    </row>
    <row r="15" ht="23.25" customHeight="1" spans="1:26">
      <c r="A15" s="287"/>
      <c r="B15" s="287"/>
      <c r="C15" s="287"/>
      <c r="D15" s="287"/>
      <c r="E15" s="287"/>
      <c r="F15" s="287"/>
      <c r="G15" s="287"/>
      <c r="H15" s="299"/>
      <c r="I15" s="299"/>
      <c r="J15" s="310"/>
      <c r="K15" s="310"/>
      <c r="L15" s="311"/>
      <c r="O15" s="317"/>
      <c r="P15" s="317"/>
      <c r="Q15" s="317"/>
      <c r="R15" s="317"/>
      <c r="S15" s="317"/>
      <c r="U15" s="272"/>
      <c r="V15" s="272"/>
      <c r="W15" s="272"/>
      <c r="X15" s="272"/>
      <c r="Y15" s="272"/>
      <c r="Z15" s="272"/>
    </row>
    <row r="16" ht="23.25" customHeight="1" spans="1:26">
      <c r="A16" s="288" t="s">
        <v>1062</v>
      </c>
      <c r="B16" s="289"/>
      <c r="C16" s="289"/>
      <c r="D16" s="290"/>
      <c r="E16" s="290"/>
      <c r="F16" s="267"/>
      <c r="G16" s="267"/>
      <c r="H16" s="278"/>
      <c r="I16" s="278"/>
      <c r="J16" s="278"/>
      <c r="K16" s="558" t="s">
        <v>1063</v>
      </c>
      <c r="L16" s="312">
        <f>SUM(SUM(Y6:Y14))/(60*8)</f>
        <v>5.59479166666667</v>
      </c>
      <c r="M16" s="313" t="s">
        <v>1064</v>
      </c>
      <c r="N16" s="278"/>
      <c r="O16" s="318"/>
      <c r="P16" s="318"/>
      <c r="W16" s="324"/>
      <c r="X16" s="324"/>
      <c r="Y16" s="327"/>
      <c r="Z16" s="327"/>
    </row>
    <row r="17" s="267" customFormat="1" ht="18.75" spans="1:26">
      <c r="A17" s="287"/>
      <c r="B17" s="287"/>
      <c r="C17" s="287"/>
      <c r="D17" s="291"/>
      <c r="E17" s="291"/>
      <c r="F17" s="291"/>
      <c r="G17" s="291"/>
      <c r="H17" s="291"/>
      <c r="I17" s="291"/>
      <c r="M17" s="319"/>
      <c r="N17" s="319"/>
      <c r="O17" s="319"/>
      <c r="P17" s="319"/>
      <c r="Q17" s="319"/>
      <c r="R17" s="319"/>
      <c r="S17" s="321"/>
      <c r="T17" s="278"/>
      <c r="U17" s="269"/>
      <c r="V17" s="269"/>
      <c r="W17" s="324"/>
      <c r="X17" s="324"/>
      <c r="Y17" s="324"/>
      <c r="Z17" s="324"/>
    </row>
    <row r="18" s="267" customFormat="1" ht="18.75" spans="1:26">
      <c r="A18" s="277" t="s">
        <v>1065</v>
      </c>
      <c r="B18" s="277"/>
      <c r="C18" s="277"/>
      <c r="D18" s="278"/>
      <c r="E18" s="278"/>
      <c r="F18" s="278"/>
      <c r="G18" s="278"/>
      <c r="H18" s="278"/>
      <c r="I18" s="278"/>
      <c r="J18" s="278"/>
      <c r="K18" s="278"/>
      <c r="L18" s="278"/>
      <c r="W18" s="325"/>
      <c r="X18" s="278"/>
      <c r="Y18" s="278"/>
      <c r="Z18" s="278"/>
    </row>
    <row r="19" s="270" customFormat="1" ht="98.25" customHeight="1" spans="1:26">
      <c r="A19" s="279" t="s">
        <v>267</v>
      </c>
      <c r="B19" s="280" t="s">
        <v>268</v>
      </c>
      <c r="C19" s="280" t="s">
        <v>280</v>
      </c>
      <c r="D19" s="281" t="s">
        <v>973</v>
      </c>
      <c r="E19" s="280" t="s">
        <v>974</v>
      </c>
      <c r="F19" s="280" t="s">
        <v>975</v>
      </c>
      <c r="G19" s="280" t="s">
        <v>976</v>
      </c>
      <c r="H19" s="280" t="s">
        <v>977</v>
      </c>
      <c r="I19" s="280" t="s">
        <v>978</v>
      </c>
      <c r="J19" s="280" t="s">
        <v>979</v>
      </c>
      <c r="K19" s="308" t="s">
        <v>980</v>
      </c>
      <c r="L19" s="308" t="s">
        <v>981</v>
      </c>
      <c r="M19" s="308" t="s">
        <v>1066</v>
      </c>
      <c r="N19" s="308" t="s">
        <v>1067</v>
      </c>
      <c r="O19" s="308" t="s">
        <v>1068</v>
      </c>
      <c r="P19" s="308" t="s">
        <v>988</v>
      </c>
      <c r="Q19" s="308" t="s">
        <v>989</v>
      </c>
      <c r="R19" s="308" t="s">
        <v>990</v>
      </c>
      <c r="S19" s="308" t="s">
        <v>991</v>
      </c>
      <c r="T19" s="308" t="s">
        <v>1069</v>
      </c>
      <c r="U19" s="308" t="s">
        <v>1070</v>
      </c>
      <c r="V19" s="308" t="s">
        <v>276</v>
      </c>
      <c r="W19" s="292"/>
      <c r="X19" s="292"/>
      <c r="Y19" s="292"/>
      <c r="Z19" s="328"/>
    </row>
    <row r="20" s="270" customFormat="1" ht="30" spans="1:26">
      <c r="A20" s="282">
        <v>1</v>
      </c>
      <c r="B20" s="283" t="s">
        <v>1020</v>
      </c>
      <c r="C20" s="283" t="s">
        <v>1021</v>
      </c>
      <c r="D20" s="284" t="s">
        <v>1022</v>
      </c>
      <c r="E20" s="219" t="s">
        <v>1023</v>
      </c>
      <c r="F20" s="283" t="s">
        <v>1024</v>
      </c>
      <c r="G20" s="298">
        <v>1</v>
      </c>
      <c r="H20" s="298">
        <v>1</v>
      </c>
      <c r="I20" s="298">
        <v>1</v>
      </c>
      <c r="J20" s="298">
        <v>0</v>
      </c>
      <c r="K20" s="309">
        <f>IF(G20=1,2+(H20*2)+I20*5+J20*10,(IF(G20=2,5+(H20*2)+I20*5+J20*10,10+(H20*2)+I20*5+J20*10)))</f>
        <v>9</v>
      </c>
      <c r="L20" s="309" t="str">
        <f>IF(G20=1,"30",(IF(G20=2,"45","60")))</f>
        <v>30</v>
      </c>
      <c r="M20" s="309">
        <f>K20+L20</f>
        <v>39</v>
      </c>
      <c r="N20" s="309">
        <f>IF(G20=1,O20*0.5,(IF(G20=2,O20*1,O20*1.5)))</f>
        <v>25</v>
      </c>
      <c r="O20" s="298">
        <v>50</v>
      </c>
      <c r="P20" s="298">
        <f>1/60</f>
        <v>0.0166666666666667</v>
      </c>
      <c r="Q20" s="298">
        <f>1/60</f>
        <v>0.0166666666666667</v>
      </c>
      <c r="R20" s="298">
        <v>1</v>
      </c>
      <c r="S20" s="309">
        <f>O20*P20+O20*Q20+2+R20</f>
        <v>4.66666666666667</v>
      </c>
      <c r="T20" s="322" t="s">
        <v>222</v>
      </c>
      <c r="U20" s="309">
        <f>IF(T20="1",SUM(N20*5,S20*5),IF(T20="0",SUM(M20,N20*5,S20*5),"0"))</f>
        <v>148.333333333333</v>
      </c>
      <c r="V20" s="283"/>
      <c r="W20" s="326"/>
      <c r="X20" s="292"/>
      <c r="Y20" s="292"/>
      <c r="Z20" s="292"/>
    </row>
    <row r="21" s="270" customFormat="1" ht="30" spans="1:26">
      <c r="A21" s="282">
        <v>2</v>
      </c>
      <c r="B21" s="283" t="s">
        <v>1025</v>
      </c>
      <c r="C21" s="285" t="s">
        <v>1026</v>
      </c>
      <c r="D21" s="286" t="s">
        <v>1027</v>
      </c>
      <c r="E21" s="286" t="s">
        <v>1028</v>
      </c>
      <c r="F21" s="285" t="s">
        <v>1029</v>
      </c>
      <c r="G21" s="298">
        <v>2</v>
      </c>
      <c r="H21" s="298">
        <v>0</v>
      </c>
      <c r="I21" s="298">
        <v>0</v>
      </c>
      <c r="J21" s="298">
        <v>0</v>
      </c>
      <c r="K21" s="309">
        <f>IF(G21=1,2+(H21*2)+I21*5+J21*10,(IF(G21=2,5+(H21*2)+I21*5+J21*10,10+(H21*2)+I21*5+J21*10)))</f>
        <v>5</v>
      </c>
      <c r="L21" s="309" t="str">
        <f>IF(G21=1,"30",(IF(G21=2,"45","60")))</f>
        <v>45</v>
      </c>
      <c r="M21" s="309">
        <f>K21+L21</f>
        <v>50</v>
      </c>
      <c r="N21" s="309">
        <f>IF(G21=1,O21*0.5,(IF(G21=2,O21*1,O21*1.5)))</f>
        <v>40</v>
      </c>
      <c r="O21" s="298">
        <v>40</v>
      </c>
      <c r="P21" s="298">
        <f>1/60</f>
        <v>0.0166666666666667</v>
      </c>
      <c r="Q21" s="298">
        <f>1/60</f>
        <v>0.0166666666666667</v>
      </c>
      <c r="R21" s="298">
        <v>3</v>
      </c>
      <c r="S21" s="309">
        <f>O21*P21+O21*Q21+2+R21</f>
        <v>6.33333333333333</v>
      </c>
      <c r="T21" s="322" t="s">
        <v>222</v>
      </c>
      <c r="U21" s="309">
        <f>IF(T21="1",SUM(N21*5,S21*5),IF(T21="0",SUM(M21,N21*5,S21*5),"0"))</f>
        <v>231.666666666667</v>
      </c>
      <c r="V21" s="283"/>
      <c r="W21" s="326"/>
      <c r="X21" s="292"/>
      <c r="Y21" s="292"/>
      <c r="Z21" s="292"/>
    </row>
    <row r="22" ht="23.25" customHeight="1" spans="1:20">
      <c r="A22" s="287"/>
      <c r="B22" s="287"/>
      <c r="C22" s="287"/>
      <c r="D22" s="287"/>
      <c r="E22" s="287"/>
      <c r="F22" s="287"/>
      <c r="G22" s="287"/>
      <c r="H22" s="299"/>
      <c r="I22" s="299"/>
      <c r="J22" s="310"/>
      <c r="K22" s="310"/>
      <c r="L22" s="311"/>
      <c r="O22" s="320"/>
      <c r="P22" s="320"/>
      <c r="Q22" s="320"/>
      <c r="R22" s="320"/>
      <c r="S22" s="320"/>
      <c r="T22" s="320"/>
    </row>
    <row r="23" ht="23.25" customHeight="1" spans="1:24">
      <c r="A23" s="288" t="s">
        <v>1071</v>
      </c>
      <c r="B23" s="288"/>
      <c r="C23" s="288"/>
      <c r="D23" s="288"/>
      <c r="E23" s="288"/>
      <c r="F23" s="288"/>
      <c r="G23" s="288"/>
      <c r="H23" s="558" t="s">
        <v>1063</v>
      </c>
      <c r="I23" s="312">
        <f>SUM(SUM(U20:U21))/(60*8)+(5+5*5+5*5)/(60*8)</f>
        <v>0.90625</v>
      </c>
      <c r="J23" s="313" t="s">
        <v>1064</v>
      </c>
      <c r="O23" s="318"/>
      <c r="P23" s="318"/>
      <c r="Q23" s="318"/>
      <c r="R23" s="318"/>
      <c r="S23" s="318"/>
      <c r="T23" s="318"/>
      <c r="U23" s="318"/>
      <c r="V23" s="318"/>
      <c r="W23" s="318"/>
      <c r="X23" s="318"/>
    </row>
    <row r="24" ht="23.25" customHeight="1" spans="1:21">
      <c r="A24" s="287"/>
      <c r="B24" s="287"/>
      <c r="C24" s="287"/>
      <c r="D24" s="291"/>
      <c r="E24" s="291"/>
      <c r="F24" s="291"/>
      <c r="G24" s="291"/>
      <c r="H24" s="291"/>
      <c r="I24" s="291"/>
      <c r="J24" s="267"/>
      <c r="K24" s="267"/>
      <c r="L24" s="267"/>
      <c r="M24" s="319"/>
      <c r="N24" s="319"/>
      <c r="O24" s="319"/>
      <c r="P24" s="319"/>
      <c r="Q24" s="319"/>
      <c r="R24" s="319"/>
      <c r="S24" s="319"/>
      <c r="T24" s="319"/>
      <c r="U24" s="319"/>
    </row>
    <row r="25" ht="23.25" customHeight="1" spans="2:10">
      <c r="B25" s="292"/>
      <c r="C25" s="292"/>
      <c r="D25" s="292"/>
      <c r="E25" s="292"/>
      <c r="F25" s="292"/>
      <c r="G25" s="292"/>
      <c r="H25" s="292"/>
      <c r="I25" s="292"/>
      <c r="J25" s="292"/>
    </row>
    <row r="26" s="271" customFormat="1" ht="18.75" spans="1:7">
      <c r="A26" s="271" t="s">
        <v>1072</v>
      </c>
      <c r="F26" s="271">
        <v>240</v>
      </c>
      <c r="G26" s="292" t="s">
        <v>1073</v>
      </c>
    </row>
    <row r="27" s="267" customFormat="1" ht="133.5" customHeight="1" spans="1:26">
      <c r="A27" s="293" t="s">
        <v>1074</v>
      </c>
      <c r="B27" s="293"/>
      <c r="C27" s="293"/>
      <c r="D27" s="293"/>
      <c r="E27" s="293"/>
      <c r="F27" s="293"/>
      <c r="G27" s="293"/>
      <c r="H27" s="300">
        <v>960</v>
      </c>
      <c r="I27" s="292" t="s">
        <v>1073</v>
      </c>
      <c r="L27" s="300"/>
      <c r="M27" s="300"/>
      <c r="N27" s="300"/>
      <c r="O27" s="300"/>
      <c r="P27" s="300"/>
      <c r="Q27" s="278"/>
      <c r="R27" s="278"/>
      <c r="S27" s="278"/>
      <c r="T27" s="278"/>
      <c r="U27" s="278"/>
      <c r="V27" s="278"/>
      <c r="W27" s="278"/>
      <c r="X27" s="278"/>
      <c r="Y27" s="278"/>
      <c r="Z27" s="278"/>
    </row>
    <row r="28" s="267" customFormat="1" ht="23.25" customHeight="1" spans="1:26">
      <c r="A28" s="271" t="s">
        <v>1075</v>
      </c>
      <c r="B28" s="271"/>
      <c r="C28" s="271"/>
      <c r="D28" s="271"/>
      <c r="E28" s="271">
        <f>SUM(F30:F38)</f>
        <v>240</v>
      </c>
      <c r="F28" s="301" t="s">
        <v>1076</v>
      </c>
      <c r="G28" s="302"/>
      <c r="H28" s="303"/>
      <c r="I28" s="302"/>
      <c r="J28" s="314"/>
      <c r="L28" s="300"/>
      <c r="M28" s="300"/>
      <c r="N28" s="300"/>
      <c r="O28" s="300"/>
      <c r="P28" s="300"/>
      <c r="Q28" s="278"/>
      <c r="R28" s="278"/>
      <c r="S28" s="278"/>
      <c r="T28" s="278"/>
      <c r="U28" s="278"/>
      <c r="V28" s="278"/>
      <c r="W28" s="278"/>
      <c r="X28" s="278"/>
      <c r="Y28" s="278"/>
      <c r="Z28" s="278"/>
    </row>
    <row r="29" s="267" customFormat="1" ht="23.25" customHeight="1" spans="1:26">
      <c r="A29" s="294"/>
      <c r="B29" s="294" t="s">
        <v>1077</v>
      </c>
      <c r="C29" s="294"/>
      <c r="D29" s="294"/>
      <c r="E29" s="294" t="s">
        <v>1078</v>
      </c>
      <c r="F29" s="294" t="s">
        <v>1079</v>
      </c>
      <c r="G29" s="292"/>
      <c r="H29" s="300"/>
      <c r="I29" s="292"/>
      <c r="L29" s="300"/>
      <c r="M29" s="300"/>
      <c r="N29" s="300"/>
      <c r="O29" s="300"/>
      <c r="P29" s="300"/>
      <c r="Q29" s="278"/>
      <c r="R29" s="278"/>
      <c r="S29" s="278"/>
      <c r="T29" s="278"/>
      <c r="U29" s="278"/>
      <c r="V29" s="278"/>
      <c r="W29" s="278"/>
      <c r="X29" s="278"/>
      <c r="Y29" s="278"/>
      <c r="Z29" s="278"/>
    </row>
    <row r="30" s="267" customFormat="1" ht="23.25" customHeight="1" spans="1:26">
      <c r="A30" s="271"/>
      <c r="B30" s="283" t="s">
        <v>1024</v>
      </c>
      <c r="C30" s="271"/>
      <c r="D30" s="271"/>
      <c r="E30" s="286">
        <v>3</v>
      </c>
      <c r="F30" s="299">
        <f>E30*10</f>
        <v>30</v>
      </c>
      <c r="G30" s="292"/>
      <c r="H30" s="300"/>
      <c r="I30" s="292"/>
      <c r="L30" s="300"/>
      <c r="M30" s="300"/>
      <c r="N30" s="300"/>
      <c r="O30" s="300"/>
      <c r="P30" s="300"/>
      <c r="Q30" s="278"/>
      <c r="R30" s="278"/>
      <c r="S30" s="278"/>
      <c r="T30" s="278"/>
      <c r="U30" s="278"/>
      <c r="V30" s="278"/>
      <c r="W30" s="278"/>
      <c r="X30" s="278"/>
      <c r="Y30" s="278"/>
      <c r="Z30" s="278"/>
    </row>
    <row r="31" s="267" customFormat="1" ht="23.25" customHeight="1" spans="1:26">
      <c r="A31" s="271"/>
      <c r="B31" s="285" t="s">
        <v>1029</v>
      </c>
      <c r="C31" s="271"/>
      <c r="D31" s="271"/>
      <c r="E31" s="286">
        <v>4</v>
      </c>
      <c r="F31" s="299">
        <f t="shared" ref="F31:F38" si="9">E31*10</f>
        <v>40</v>
      </c>
      <c r="G31" s="292"/>
      <c r="H31" s="300"/>
      <c r="I31" s="292"/>
      <c r="L31" s="300"/>
      <c r="M31" s="300"/>
      <c r="N31" s="300"/>
      <c r="O31" s="300"/>
      <c r="P31" s="300"/>
      <c r="Q31" s="278"/>
      <c r="R31" s="278"/>
      <c r="S31" s="278"/>
      <c r="T31" s="278"/>
      <c r="U31" s="278"/>
      <c r="V31" s="278"/>
      <c r="W31" s="278"/>
      <c r="X31" s="278"/>
      <c r="Y31" s="278"/>
      <c r="Z31" s="278"/>
    </row>
    <row r="32" s="267" customFormat="1" ht="23.25" customHeight="1" spans="1:26">
      <c r="A32" s="271"/>
      <c r="B32" s="285" t="s">
        <v>1034</v>
      </c>
      <c r="C32" s="271"/>
      <c r="D32" s="271"/>
      <c r="E32" s="286">
        <v>2</v>
      </c>
      <c r="F32" s="299">
        <f t="shared" si="9"/>
        <v>20</v>
      </c>
      <c r="G32" s="292"/>
      <c r="H32" s="300"/>
      <c r="I32" s="292"/>
      <c r="L32" s="300"/>
      <c r="M32" s="300"/>
      <c r="N32" s="300"/>
      <c r="O32" s="300"/>
      <c r="P32" s="300"/>
      <c r="Q32" s="278"/>
      <c r="R32" s="278"/>
      <c r="S32" s="278"/>
      <c r="T32" s="278"/>
      <c r="U32" s="278"/>
      <c r="V32" s="278"/>
      <c r="W32" s="278"/>
      <c r="X32" s="278"/>
      <c r="Y32" s="278"/>
      <c r="Z32" s="278"/>
    </row>
    <row r="33" s="267" customFormat="1" ht="23.25" customHeight="1" spans="1:26">
      <c r="A33" s="271"/>
      <c r="B33" s="285" t="s">
        <v>1039</v>
      </c>
      <c r="C33" s="271"/>
      <c r="D33" s="271"/>
      <c r="E33" s="286">
        <v>1</v>
      </c>
      <c r="F33" s="299">
        <f t="shared" si="9"/>
        <v>10</v>
      </c>
      <c r="G33" s="292"/>
      <c r="H33" s="300"/>
      <c r="I33" s="292"/>
      <c r="L33" s="300"/>
      <c r="M33" s="300"/>
      <c r="N33" s="300"/>
      <c r="O33" s="300"/>
      <c r="P33" s="300"/>
      <c r="Q33" s="278"/>
      <c r="R33" s="278"/>
      <c r="S33" s="278"/>
      <c r="T33" s="278"/>
      <c r="U33" s="278"/>
      <c r="V33" s="278"/>
      <c r="W33" s="278"/>
      <c r="X33" s="278"/>
      <c r="Y33" s="278"/>
      <c r="Z33" s="278"/>
    </row>
    <row r="34" s="267" customFormat="1" ht="23.25" customHeight="1" spans="1:26">
      <c r="A34" s="271"/>
      <c r="B34" s="285" t="s">
        <v>240</v>
      </c>
      <c r="C34" s="271"/>
      <c r="D34" s="271"/>
      <c r="E34" s="286">
        <v>5</v>
      </c>
      <c r="F34" s="299">
        <f t="shared" si="9"/>
        <v>50</v>
      </c>
      <c r="G34" s="292"/>
      <c r="H34" s="300"/>
      <c r="I34" s="292"/>
      <c r="L34" s="300"/>
      <c r="M34" s="300"/>
      <c r="N34" s="300"/>
      <c r="O34" s="300"/>
      <c r="P34" s="300"/>
      <c r="Q34" s="278"/>
      <c r="R34" s="278"/>
      <c r="S34" s="278"/>
      <c r="T34" s="278"/>
      <c r="U34" s="278"/>
      <c r="V34" s="278"/>
      <c r="W34" s="278"/>
      <c r="X34" s="278"/>
      <c r="Y34" s="278"/>
      <c r="Z34" s="278"/>
    </row>
    <row r="35" s="267" customFormat="1" ht="23.25" customHeight="1" spans="1:26">
      <c r="A35" s="271"/>
      <c r="B35" s="285" t="s">
        <v>1048</v>
      </c>
      <c r="C35" s="271"/>
      <c r="D35" s="271"/>
      <c r="E35" s="286">
        <v>2</v>
      </c>
      <c r="F35" s="299">
        <f t="shared" si="9"/>
        <v>20</v>
      </c>
      <c r="G35" s="292"/>
      <c r="H35" s="300"/>
      <c r="I35" s="292"/>
      <c r="L35" s="300"/>
      <c r="M35" s="300"/>
      <c r="N35" s="300"/>
      <c r="O35" s="300"/>
      <c r="P35" s="300"/>
      <c r="Q35" s="278"/>
      <c r="R35" s="278"/>
      <c r="S35" s="278"/>
      <c r="T35" s="278"/>
      <c r="U35" s="278"/>
      <c r="V35" s="278"/>
      <c r="W35" s="278"/>
      <c r="X35" s="278"/>
      <c r="Y35" s="278"/>
      <c r="Z35" s="278"/>
    </row>
    <row r="36" s="267" customFormat="1" ht="23.25" customHeight="1" spans="1:26">
      <c r="A36" s="271"/>
      <c r="B36" s="285" t="s">
        <v>1053</v>
      </c>
      <c r="C36" s="271"/>
      <c r="D36" s="271"/>
      <c r="E36" s="286">
        <v>3</v>
      </c>
      <c r="F36" s="299">
        <f t="shared" si="9"/>
        <v>30</v>
      </c>
      <c r="G36" s="292"/>
      <c r="H36" s="300"/>
      <c r="I36" s="292"/>
      <c r="L36" s="300"/>
      <c r="M36" s="300"/>
      <c r="N36" s="300"/>
      <c r="O36" s="300"/>
      <c r="P36" s="300"/>
      <c r="Q36" s="278"/>
      <c r="R36" s="278"/>
      <c r="S36" s="278"/>
      <c r="T36" s="278"/>
      <c r="U36" s="278"/>
      <c r="V36" s="278"/>
      <c r="W36" s="278"/>
      <c r="X36" s="278"/>
      <c r="Y36" s="278"/>
      <c r="Z36" s="278"/>
    </row>
    <row r="37" s="267" customFormat="1" ht="23.25" customHeight="1" spans="1:26">
      <c r="A37" s="271"/>
      <c r="B37" s="285" t="s">
        <v>1058</v>
      </c>
      <c r="C37" s="271"/>
      <c r="D37" s="271"/>
      <c r="E37" s="286">
        <v>2</v>
      </c>
      <c r="F37" s="299">
        <f t="shared" si="9"/>
        <v>20</v>
      </c>
      <c r="G37" s="292"/>
      <c r="H37" s="300"/>
      <c r="I37" s="292"/>
      <c r="L37" s="300"/>
      <c r="M37" s="300"/>
      <c r="N37" s="300"/>
      <c r="O37" s="300"/>
      <c r="P37" s="300"/>
      <c r="Q37" s="278"/>
      <c r="R37" s="278"/>
      <c r="S37" s="278"/>
      <c r="T37" s="278"/>
      <c r="U37" s="278"/>
      <c r="V37" s="278"/>
      <c r="W37" s="278"/>
      <c r="X37" s="278"/>
      <c r="Y37" s="278"/>
      <c r="Z37" s="278"/>
    </row>
    <row r="38" s="267" customFormat="1" ht="33" customHeight="1" spans="1:26">
      <c r="A38" s="271"/>
      <c r="B38" s="285" t="s">
        <v>1061</v>
      </c>
      <c r="C38" s="271"/>
      <c r="D38" s="271"/>
      <c r="E38" s="286">
        <v>2</v>
      </c>
      <c r="F38" s="299">
        <f t="shared" si="9"/>
        <v>20</v>
      </c>
      <c r="G38" s="292"/>
      <c r="H38" s="300"/>
      <c r="I38" s="292"/>
      <c r="L38" s="300"/>
      <c r="M38" s="300"/>
      <c r="N38" s="300"/>
      <c r="O38" s="300"/>
      <c r="P38" s="300"/>
      <c r="Q38" s="278"/>
      <c r="R38" s="278"/>
      <c r="S38" s="278"/>
      <c r="T38" s="278"/>
      <c r="U38" s="278"/>
      <c r="V38" s="278"/>
      <c r="W38" s="278"/>
      <c r="X38" s="278"/>
      <c r="Y38" s="278"/>
      <c r="Z38" s="278"/>
    </row>
    <row r="39" s="267" customFormat="1" ht="23.25" customHeight="1" spans="1:26">
      <c r="A39" s="271"/>
      <c r="B39" s="292"/>
      <c r="C39" s="292"/>
      <c r="D39" s="292"/>
      <c r="E39" s="292"/>
      <c r="F39" s="299"/>
      <c r="G39" s="292"/>
      <c r="H39" s="300"/>
      <c r="I39" s="292"/>
      <c r="L39" s="300"/>
      <c r="M39" s="300"/>
      <c r="N39" s="300"/>
      <c r="O39" s="300"/>
      <c r="P39" s="300"/>
      <c r="Q39" s="278"/>
      <c r="R39" s="278"/>
      <c r="S39" s="278"/>
      <c r="T39" s="278"/>
      <c r="U39" s="278"/>
      <c r="V39" s="278"/>
      <c r="W39" s="278"/>
      <c r="X39" s="278"/>
      <c r="Y39" s="278"/>
      <c r="Z39" s="278"/>
    </row>
    <row r="40" ht="23.25" customHeight="1" spans="1:10">
      <c r="A40" s="289" t="s">
        <v>1080</v>
      </c>
      <c r="B40" s="289"/>
      <c r="C40" s="289"/>
      <c r="D40" s="290"/>
      <c r="E40" s="290"/>
      <c r="F40" s="304">
        <f>SUM((F26+H27+E28)/(60*8)+L16+I23)</f>
        <v>9.50104166666667</v>
      </c>
      <c r="G40" s="290" t="s">
        <v>1064</v>
      </c>
      <c r="H40" s="278"/>
      <c r="I40" s="292"/>
      <c r="J40" s="292"/>
    </row>
    <row r="41" ht="44.25" customHeight="1" spans="1:10">
      <c r="A41" s="289" t="s">
        <v>1081</v>
      </c>
      <c r="B41" s="289"/>
      <c r="C41" s="289"/>
      <c r="D41" s="292"/>
      <c r="E41" s="292"/>
      <c r="F41" s="305" t="s">
        <v>1082</v>
      </c>
      <c r="G41" s="305"/>
      <c r="H41" s="305"/>
      <c r="I41" s="305"/>
      <c r="J41" s="305"/>
    </row>
    <row r="42" ht="23.25" customHeight="1" spans="2:10">
      <c r="B42" s="292"/>
      <c r="C42" s="292"/>
      <c r="D42" s="292"/>
      <c r="E42" s="292"/>
      <c r="F42" s="292"/>
      <c r="G42" s="292"/>
      <c r="H42" s="292"/>
      <c r="I42" s="292"/>
      <c r="J42" s="292"/>
    </row>
    <row r="43" ht="23.25" customHeight="1" spans="2:10">
      <c r="B43" s="292"/>
      <c r="C43" s="292"/>
      <c r="D43" s="292"/>
      <c r="E43" s="292"/>
      <c r="F43" s="292"/>
      <c r="G43" s="292"/>
      <c r="H43" s="292"/>
      <c r="I43" s="292"/>
      <c r="J43" s="292"/>
    </row>
    <row r="44" ht="23.25" customHeight="1" spans="2:10">
      <c r="B44" s="292"/>
      <c r="C44" s="292"/>
      <c r="D44" s="292"/>
      <c r="E44" s="292"/>
      <c r="F44" s="292"/>
      <c r="G44" s="292"/>
      <c r="H44" s="292"/>
      <c r="I44" s="292"/>
      <c r="J44" s="292"/>
    </row>
    <row r="45" ht="23.25" customHeight="1" spans="2:10">
      <c r="B45" s="292"/>
      <c r="C45" s="292"/>
      <c r="D45" s="292"/>
      <c r="E45" s="292"/>
      <c r="F45" s="292"/>
      <c r="G45" s="292"/>
      <c r="H45" s="292"/>
      <c r="I45" s="292"/>
      <c r="J45" s="292"/>
    </row>
    <row r="46" ht="23.25" customHeight="1" spans="2:10">
      <c r="B46" s="292"/>
      <c r="C46" s="292"/>
      <c r="D46" s="292"/>
      <c r="E46" s="292"/>
      <c r="F46" s="292"/>
      <c r="G46" s="292"/>
      <c r="H46" s="292"/>
      <c r="I46" s="292"/>
      <c r="J46" s="292"/>
    </row>
    <row r="47" ht="23.25" customHeight="1" spans="2:10">
      <c r="B47" s="292"/>
      <c r="C47" s="292"/>
      <c r="D47" s="292"/>
      <c r="E47" s="292"/>
      <c r="F47" s="292"/>
      <c r="G47" s="292"/>
      <c r="H47" s="292"/>
      <c r="I47" s="292"/>
      <c r="J47" s="292"/>
    </row>
    <row r="48" ht="23.25" customHeight="1" spans="2:10">
      <c r="B48" s="292"/>
      <c r="C48" s="292"/>
      <c r="D48" s="292"/>
      <c r="E48" s="292"/>
      <c r="F48" s="292"/>
      <c r="G48" s="292"/>
      <c r="H48" s="292"/>
      <c r="I48" s="292"/>
      <c r="J48" s="292"/>
    </row>
    <row r="49" ht="23.25" customHeight="1" spans="2:10">
      <c r="B49" s="292"/>
      <c r="C49" s="292"/>
      <c r="D49" s="292"/>
      <c r="E49" s="292"/>
      <c r="F49" s="292"/>
      <c r="G49" s="292"/>
      <c r="H49" s="292"/>
      <c r="I49" s="292"/>
      <c r="J49" s="292"/>
    </row>
    <row r="50" ht="23.25" customHeight="1" spans="1:10">
      <c r="A50" s="272"/>
      <c r="B50" s="292"/>
      <c r="C50" s="292"/>
      <c r="D50" s="292"/>
      <c r="E50" s="292"/>
      <c r="F50" s="292"/>
      <c r="G50" s="292"/>
      <c r="H50" s="292"/>
      <c r="I50" s="292"/>
      <c r="J50" s="292"/>
    </row>
    <row r="51" ht="23.25" customHeight="1" spans="1:10">
      <c r="A51" s="272"/>
      <c r="B51" s="292"/>
      <c r="C51" s="292"/>
      <c r="D51" s="292"/>
      <c r="E51" s="292"/>
      <c r="F51" s="292"/>
      <c r="G51" s="292"/>
      <c r="H51" s="292"/>
      <c r="I51" s="292"/>
      <c r="J51" s="292"/>
    </row>
    <row r="52" ht="23.25" customHeight="1" spans="1:10">
      <c r="A52" s="272"/>
      <c r="B52" s="292"/>
      <c r="C52" s="292"/>
      <c r="D52" s="292"/>
      <c r="E52" s="292"/>
      <c r="F52" s="292"/>
      <c r="G52" s="292"/>
      <c r="H52" s="292"/>
      <c r="I52" s="292"/>
      <c r="J52" s="292"/>
    </row>
    <row r="53" spans="1:26">
      <c r="A53" s="272"/>
      <c r="D53" s="295"/>
      <c r="E53" s="306"/>
      <c r="K53" s="315"/>
      <c r="L53" s="315"/>
      <c r="M53" s="315"/>
      <c r="N53" s="315"/>
      <c r="P53" s="315"/>
      <c r="Q53" s="315"/>
      <c r="R53" s="315"/>
      <c r="S53" s="315"/>
      <c r="T53" s="315"/>
      <c r="U53" s="315"/>
      <c r="V53" s="315"/>
      <c r="W53" s="315"/>
      <c r="X53" s="315"/>
      <c r="Y53" s="315"/>
      <c r="Z53" s="315"/>
    </row>
    <row r="54" ht="63.75" customHeight="1" spans="1:10">
      <c r="A54" s="272"/>
      <c r="B54" s="292"/>
      <c r="C54" s="292"/>
      <c r="D54" s="292"/>
      <c r="E54" s="292"/>
      <c r="F54" s="292"/>
      <c r="G54" s="292"/>
      <c r="H54" s="292"/>
      <c r="I54" s="292"/>
      <c r="J54" s="292"/>
    </row>
    <row r="55" spans="1:26">
      <c r="A55" s="272"/>
      <c r="C55" s="296"/>
      <c r="D55" s="296"/>
      <c r="E55" s="287"/>
      <c r="F55" s="272"/>
      <c r="G55" s="272"/>
      <c r="H55" s="272"/>
      <c r="I55" s="272"/>
      <c r="J55" s="272"/>
      <c r="K55" s="272"/>
      <c r="L55" s="272"/>
      <c r="M55" s="272"/>
      <c r="N55" s="272"/>
      <c r="O55" s="272"/>
      <c r="P55" s="272"/>
      <c r="Q55" s="272"/>
      <c r="R55" s="272"/>
      <c r="S55" s="272"/>
      <c r="T55" s="272"/>
      <c r="U55" s="272"/>
      <c r="V55" s="272"/>
      <c r="W55" s="272"/>
      <c r="X55" s="272"/>
      <c r="Y55" s="272"/>
      <c r="Z55" s="272"/>
    </row>
    <row r="56" ht="34.5" customHeight="1" spans="1:5">
      <c r="A56" s="272"/>
      <c r="C56" s="296"/>
      <c r="D56" s="297">
        <v>1</v>
      </c>
      <c r="E56" s="287"/>
    </row>
    <row r="57" spans="1:7">
      <c r="A57" s="272"/>
      <c r="C57" s="296"/>
      <c r="D57" s="297">
        <v>2</v>
      </c>
      <c r="E57" s="287"/>
      <c r="F57" s="307"/>
      <c r="G57" s="307" t="s">
        <v>1024</v>
      </c>
    </row>
    <row r="58" ht="36" customHeight="1" spans="1:7">
      <c r="A58" s="272"/>
      <c r="C58" s="296"/>
      <c r="D58" s="297">
        <v>3</v>
      </c>
      <c r="E58" s="287"/>
      <c r="F58" s="307"/>
      <c r="G58" s="307" t="s">
        <v>1029</v>
      </c>
    </row>
    <row r="59" spans="1:7">
      <c r="A59" s="272"/>
      <c r="C59" s="296"/>
      <c r="D59" s="296"/>
      <c r="E59" s="287"/>
      <c r="F59" s="307"/>
      <c r="G59" s="307" t="s">
        <v>1034</v>
      </c>
    </row>
    <row r="60" spans="1:7">
      <c r="A60" s="272"/>
      <c r="C60" s="296"/>
      <c r="D60" s="296"/>
      <c r="E60" s="287"/>
      <c r="F60" s="307"/>
      <c r="G60" s="307" t="s">
        <v>1039</v>
      </c>
    </row>
    <row r="61" ht="30" spans="1:7">
      <c r="A61" s="272"/>
      <c r="C61" s="296"/>
      <c r="D61" s="296"/>
      <c r="E61" s="287"/>
      <c r="F61" s="307"/>
      <c r="G61" s="307" t="s">
        <v>1048</v>
      </c>
    </row>
    <row r="62" spans="1:7">
      <c r="A62" s="272"/>
      <c r="C62" s="296"/>
      <c r="D62" s="296"/>
      <c r="E62" s="287"/>
      <c r="F62" s="307"/>
      <c r="G62" s="307" t="s">
        <v>240</v>
      </c>
    </row>
    <row r="63" spans="1:7">
      <c r="A63" s="272"/>
      <c r="C63" s="296"/>
      <c r="D63" s="296"/>
      <c r="E63" s="287"/>
      <c r="F63" s="307"/>
      <c r="G63" s="307" t="s">
        <v>1053</v>
      </c>
    </row>
    <row r="64" spans="1:7">
      <c r="A64" s="272"/>
      <c r="C64" s="296"/>
      <c r="D64" s="296"/>
      <c r="E64" s="287"/>
      <c r="F64" s="307"/>
      <c r="G64" s="307" t="s">
        <v>1058</v>
      </c>
    </row>
    <row r="65" ht="45" spans="1:7">
      <c r="A65" s="272"/>
      <c r="F65" s="307"/>
      <c r="G65" s="307" t="s">
        <v>1061</v>
      </c>
    </row>
  </sheetData>
  <mergeCells count="15">
    <mergeCell ref="X3:Z3"/>
    <mergeCell ref="O15:S15"/>
    <mergeCell ref="O16:P16"/>
    <mergeCell ref="W16:X16"/>
    <mergeCell ref="O17:R17"/>
    <mergeCell ref="W17:Z17"/>
    <mergeCell ref="W20:Z20"/>
    <mergeCell ref="W21:Z21"/>
    <mergeCell ref="O22:T22"/>
    <mergeCell ref="A23:G23"/>
    <mergeCell ref="O23:S23"/>
    <mergeCell ref="T23:X23"/>
    <mergeCell ref="A27:G27"/>
    <mergeCell ref="F41:J41"/>
    <mergeCell ref="B54:F54"/>
  </mergeCells>
  <conditionalFormatting sqref="N6">
    <cfRule type="cellIs" dxfId="2" priority="10" stopIfTrue="1" operator="equal">
      <formula>" "</formula>
    </cfRule>
    <cfRule type="cellIs" dxfId="2" priority="7" stopIfTrue="1" operator="equal">
      <formula>" "</formula>
    </cfRule>
    <cfRule type="cellIs" dxfId="2" priority="3" stopIfTrue="1" operator="equal">
      <formula>" "</formula>
    </cfRule>
  </conditionalFormatting>
  <conditionalFormatting sqref="N7:N14">
    <cfRule type="cellIs" dxfId="2" priority="9" stopIfTrue="1" operator="equal">
      <formula>" "</formula>
    </cfRule>
    <cfRule type="cellIs" dxfId="2" priority="6" stopIfTrue="1" operator="equal">
      <formula>" "</formula>
    </cfRule>
    <cfRule type="cellIs" dxfId="2" priority="2" stopIfTrue="1" operator="equal">
      <formula>" "</formula>
    </cfRule>
  </conditionalFormatting>
  <conditionalFormatting sqref="X6:X14">
    <cfRule type="cellIs" dxfId="2" priority="5" stopIfTrue="1" operator="equal">
      <formula>" "</formula>
    </cfRule>
    <cfRule type="cellIs" dxfId="2" priority="1" stopIfTrue="1" operator="equal">
      <formula>" "</formula>
    </cfRule>
  </conditionalFormatting>
  <conditionalFormatting sqref="P40:Z907 K40:N907 M26:M39 P25:U25 K22:N25 T23 U22:U23 H16:K16 N16 K19:U21 L6:N14 K18:L18 H6:H15 S4:T5 M17:N17 Q16:S16 U16:W17 Y16:Z16 X18:Z18 T15:T17 Z19 K15:N15 V22:Z25 H18:H933">
    <cfRule type="cellIs" dxfId="2" priority="12" stopIfTrue="1" operator="equal">
      <formula>" "</formula>
    </cfRule>
  </conditionalFormatting>
  <conditionalFormatting sqref="P40:Z907 K40:N907 M26:M39 P25:U25 K22:N25 T23 V22:Y25 U22:U23 H16:K16 N16 K19:U21 L6:N14 K18:L18 H6:H15 S4:T5 M17:N17 Q16:S16 U16:W17 Y16:Z16 X18:Z18 T15:T17 Z19 K15:N15">
    <cfRule type="cellIs" dxfId="2" priority="11" stopIfTrue="1" operator="equal">
      <formula>" "</formula>
    </cfRule>
  </conditionalFormatting>
  <conditionalFormatting sqref="P40:Z907 K40:N907 M26:M39 P25:U25 K22:N25 T23 V22:Y25 U22:U23 H16:K16 N16 L6:N14 K18:L18 H6:H15 S4:T5 M17:N17 Q16:S16 U16:W17 Y16:Z16 X18:Z18 T15:T17 Z19 K19:U21 K15:N15">
    <cfRule type="cellIs" dxfId="2" priority="8" stopIfTrue="1" operator="equal">
      <formula>" "</formula>
    </cfRule>
    <cfRule type="cellIs" dxfId="2" priority="4" stopIfTrue="1" operator="equal">
      <formula>" "</formula>
    </cfRule>
  </conditionalFormatting>
  <dataValidations count="4">
    <dataValidation type="list" allowBlank="1" showInputMessage="1" showErrorMessage="1" sqref="G21 G6:G14">
      <formula1>$D$56:$D$58</formula1>
    </dataValidation>
    <dataValidation type="list" allowBlank="1" showInputMessage="1" showErrorMessage="1" sqref="F21 B31:B38 F6:F14">
      <formula1>$G$57:$G$65</formula1>
    </dataValidation>
    <dataValidation type="list" allowBlank="1" showInputMessage="1" showErrorMessage="1" sqref="G20">
      <formula1>$D$52:$D$54</formula1>
    </dataValidation>
    <dataValidation type="list" allowBlank="1" showInputMessage="1" showErrorMessage="1" sqref="F20 B30">
      <formula1>$G$24:$G$27</formula1>
    </dataValidation>
  </dataValidations>
  <pageMargins left="0.7" right="0.7" top="0.75" bottom="0.75" header="0.3" footer="0.3"/>
  <pageSetup paperSize="1" orientation="landscape" horizontalDpi="300" verticalDpi="300"/>
  <headerFooter>
    <oddFooter>&amp;LBM.11.Qt.09.QLCL.03&amp;CLần ban hành:     /Ngày&amp;R&amp;P/&amp;N</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40"/>
  <sheetViews>
    <sheetView zoomScale="85" zoomScaleNormal="85" topLeftCell="A28" workbookViewId="0">
      <selection activeCell="F26" sqref="F26"/>
    </sheetView>
  </sheetViews>
  <sheetFormatPr defaultColWidth="9" defaultRowHeight="12.75"/>
  <cols>
    <col min="1" max="1" width="6.57142857142857" style="262" customWidth="1"/>
    <col min="2" max="4" width="9.14285714285714" style="262"/>
    <col min="5" max="5" width="14" style="262" customWidth="1"/>
    <col min="6" max="16384" width="9.14285714285714" style="262"/>
  </cols>
  <sheetData>
    <row r="2" ht="20.25" spans="2:2">
      <c r="B2" s="263" t="s">
        <v>1083</v>
      </c>
    </row>
    <row r="3" ht="20.25" spans="2:2">
      <c r="B3" s="263"/>
    </row>
    <row r="4" ht="18" spans="2:2">
      <c r="B4" s="264" t="s">
        <v>1084</v>
      </c>
    </row>
    <row r="5" spans="2:2">
      <c r="B5" s="559" t="s">
        <v>1085</v>
      </c>
    </row>
    <row r="6" spans="2:2">
      <c r="B6" s="559" t="s">
        <v>1086</v>
      </c>
    </row>
    <row r="7" spans="2:2">
      <c r="B7" s="559" t="s">
        <v>1087</v>
      </c>
    </row>
    <row r="8" spans="2:2">
      <c r="B8" s="262" t="s">
        <v>1088</v>
      </c>
    </row>
    <row r="10" ht="18" spans="2:2">
      <c r="B10" s="264" t="s">
        <v>1089</v>
      </c>
    </row>
    <row r="11" spans="2:2">
      <c r="B11" s="265" t="s">
        <v>1090</v>
      </c>
    </row>
    <row r="12" spans="2:2">
      <c r="B12" s="265" t="s">
        <v>1091</v>
      </c>
    </row>
    <row r="13" spans="2:2">
      <c r="B13" s="265" t="s">
        <v>1092</v>
      </c>
    </row>
    <row r="14" spans="2:2">
      <c r="B14" s="265"/>
    </row>
    <row r="16" spans="2:2">
      <c r="B16" s="265" t="s">
        <v>1093</v>
      </c>
    </row>
    <row r="17" spans="2:2">
      <c r="B17" s="265" t="s">
        <v>1094</v>
      </c>
    </row>
    <row r="18" spans="2:2">
      <c r="B18" s="265"/>
    </row>
    <row r="20" spans="2:2">
      <c r="B20" s="265" t="s">
        <v>1095</v>
      </c>
    </row>
    <row r="21" spans="2:2">
      <c r="B21" s="265" t="s">
        <v>1096</v>
      </c>
    </row>
    <row r="22" spans="2:2">
      <c r="B22" s="265" t="s">
        <v>1097</v>
      </c>
    </row>
    <row r="23" spans="2:2">
      <c r="B23" s="265"/>
    </row>
    <row r="25" spans="2:2">
      <c r="B25" s="265" t="s">
        <v>1098</v>
      </c>
    </row>
    <row r="26" spans="2:2">
      <c r="B26" s="265" t="s">
        <v>1099</v>
      </c>
    </row>
    <row r="27" spans="2:2">
      <c r="B27" s="265" t="s">
        <v>1100</v>
      </c>
    </row>
    <row r="30" spans="2:2">
      <c r="B30" s="265" t="s">
        <v>1101</v>
      </c>
    </row>
    <row r="31" spans="2:2">
      <c r="B31" s="265" t="s">
        <v>1102</v>
      </c>
    </row>
    <row r="32" spans="2:2">
      <c r="B32" s="265" t="s">
        <v>1103</v>
      </c>
    </row>
    <row r="33" spans="2:2">
      <c r="B33" s="265" t="s">
        <v>1104</v>
      </c>
    </row>
    <row r="36" spans="2:2">
      <c r="B36" s="262" t="s">
        <v>1105</v>
      </c>
    </row>
    <row r="37" spans="2:2">
      <c r="B37" s="262" t="s">
        <v>1106</v>
      </c>
    </row>
    <row r="40" ht="264.75" customHeight="1" spans="2:12">
      <c r="B40" s="266" t="s">
        <v>1107</v>
      </c>
      <c r="C40" s="266"/>
      <c r="D40" s="266"/>
      <c r="E40" s="266"/>
      <c r="F40" s="266"/>
      <c r="G40" s="266"/>
      <c r="H40" s="266"/>
      <c r="I40" s="266"/>
      <c r="J40" s="266"/>
      <c r="K40" s="266"/>
      <c r="L40" s="266"/>
    </row>
  </sheetData>
  <mergeCells count="1">
    <mergeCell ref="B40:L40"/>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V17"/>
  <sheetViews>
    <sheetView workbookViewId="0">
      <selection activeCell="D25" sqref="D25"/>
    </sheetView>
  </sheetViews>
  <sheetFormatPr defaultColWidth="9" defaultRowHeight="15"/>
  <cols>
    <col min="1" max="1" width="5" style="224" customWidth="1"/>
    <col min="2" max="2" width="22.7142857142857" style="224" customWidth="1"/>
    <col min="3" max="3" width="24.7142857142857" style="224" customWidth="1"/>
    <col min="4" max="4" width="26.1428571428571" style="225" customWidth="1"/>
    <col min="5" max="5" width="20.1428571428571" style="226" customWidth="1"/>
    <col min="6" max="6" width="12" style="227" customWidth="1"/>
    <col min="7" max="8" width="14.7142857142857" style="227" customWidth="1"/>
    <col min="9" max="236" width="9.14285714285714" style="225"/>
    <col min="237" max="237" width="5" style="225" customWidth="1"/>
    <col min="238" max="238" width="10.5714285714286" style="225" customWidth="1"/>
    <col min="239" max="239" width="11.5714285714286" style="225" customWidth="1"/>
    <col min="240" max="240" width="19.4285714285714" style="225" customWidth="1"/>
    <col min="241" max="241" width="11.2857142857143" style="225" customWidth="1"/>
    <col min="242" max="242" width="9.85714285714286" style="225" customWidth="1"/>
    <col min="243" max="243" width="18.1428571428571" style="225" customWidth="1"/>
    <col min="244" max="244" width="27.7142857142857" style="225" customWidth="1"/>
    <col min="245" max="245" width="11" style="225" customWidth="1"/>
    <col min="246" max="246" width="10.5714285714286" style="225" customWidth="1"/>
    <col min="247" max="247" width="9.14285714285714" style="225"/>
    <col min="248" max="248" width="19.5714285714286" style="225" customWidth="1"/>
    <col min="249" max="249" width="18.1428571428571" style="225" customWidth="1"/>
    <col min="250" max="250" width="11.7142857142857" style="225" customWidth="1"/>
    <col min="251" max="16384" width="9.14285714285714" style="225"/>
  </cols>
  <sheetData>
    <row r="1" ht="20.25" spans="1:5">
      <c r="A1" s="228" t="s">
        <v>1108</v>
      </c>
      <c r="B1" s="228"/>
      <c r="C1" s="228"/>
      <c r="D1" s="228"/>
      <c r="E1" s="228"/>
    </row>
    <row r="2" ht="20.25" spans="1:5">
      <c r="A2" s="229" t="s">
        <v>1109</v>
      </c>
      <c r="B2" s="229"/>
      <c r="C2" s="229"/>
      <c r="D2" s="229"/>
      <c r="E2" s="229"/>
    </row>
    <row r="3" ht="18" spans="1:3">
      <c r="A3" s="230" t="s">
        <v>265</v>
      </c>
      <c r="B3" s="230"/>
      <c r="C3" s="231"/>
    </row>
    <row r="4" spans="1:5">
      <c r="A4" s="230"/>
      <c r="B4" s="230"/>
      <c r="C4" s="225" t="s">
        <v>910</v>
      </c>
      <c r="E4" s="245"/>
    </row>
    <row r="5" spans="1:3">
      <c r="A5" s="230"/>
      <c r="B5" s="230"/>
      <c r="C5" s="225" t="s">
        <v>911</v>
      </c>
    </row>
    <row r="6" spans="1:5">
      <c r="A6" s="230"/>
      <c r="B6" s="230"/>
      <c r="C6" s="232" t="s">
        <v>912</v>
      </c>
      <c r="D6" s="233">
        <f>E15</f>
        <v>0</v>
      </c>
      <c r="E6" s="226" t="s">
        <v>1110</v>
      </c>
    </row>
    <row r="7" spans="1:256">
      <c r="A7" s="234"/>
      <c r="B7" s="234"/>
      <c r="C7" s="234"/>
      <c r="D7" s="224"/>
      <c r="E7" s="246"/>
      <c r="F7" s="247"/>
      <c r="G7" s="247"/>
      <c r="H7" s="247"/>
      <c r="I7" s="224"/>
      <c r="J7" s="224"/>
      <c r="K7" s="224"/>
      <c r="L7" s="224"/>
      <c r="M7" s="224"/>
      <c r="N7" s="224"/>
      <c r="O7" s="224"/>
      <c r="P7" s="224"/>
      <c r="Q7" s="224"/>
      <c r="R7" s="224"/>
      <c r="S7" s="224"/>
      <c r="T7" s="224"/>
      <c r="U7" s="224"/>
      <c r="V7" s="224"/>
      <c r="W7" s="224"/>
      <c r="X7" s="224"/>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4"/>
      <c r="AZ7" s="224"/>
      <c r="BA7" s="224"/>
      <c r="BB7" s="224"/>
      <c r="BC7" s="224"/>
      <c r="BD7" s="224"/>
      <c r="BE7" s="224"/>
      <c r="BF7" s="224"/>
      <c r="BG7" s="224"/>
      <c r="BH7" s="224"/>
      <c r="BI7" s="224"/>
      <c r="BJ7" s="224"/>
      <c r="BK7" s="224"/>
      <c r="BL7" s="224"/>
      <c r="BM7" s="224"/>
      <c r="BN7" s="224"/>
      <c r="BO7" s="224"/>
      <c r="BP7" s="224"/>
      <c r="BQ7" s="224"/>
      <c r="BR7" s="224"/>
      <c r="BS7" s="224"/>
      <c r="BT7" s="224"/>
      <c r="BU7" s="224"/>
      <c r="BV7" s="224"/>
      <c r="BW7" s="224"/>
      <c r="BX7" s="224"/>
      <c r="BY7" s="224"/>
      <c r="BZ7" s="224"/>
      <c r="CA7" s="224"/>
      <c r="CB7" s="224"/>
      <c r="CC7" s="224"/>
      <c r="CD7" s="224"/>
      <c r="CE7" s="224"/>
      <c r="CF7" s="224"/>
      <c r="CG7" s="224"/>
      <c r="CH7" s="224"/>
      <c r="CI7" s="224"/>
      <c r="CJ7" s="224"/>
      <c r="CK7" s="224"/>
      <c r="CL7" s="224"/>
      <c r="CM7" s="224"/>
      <c r="CN7" s="224"/>
      <c r="CO7" s="224"/>
      <c r="CP7" s="224"/>
      <c r="CQ7" s="224"/>
      <c r="CR7" s="224"/>
      <c r="CS7" s="224"/>
      <c r="CT7" s="224"/>
      <c r="CU7" s="224"/>
      <c r="CV7" s="224"/>
      <c r="CW7" s="224"/>
      <c r="CX7" s="224"/>
      <c r="CY7" s="224"/>
      <c r="CZ7" s="224"/>
      <c r="DA7" s="224"/>
      <c r="DB7" s="224"/>
      <c r="DC7" s="224"/>
      <c r="DD7" s="224"/>
      <c r="DE7" s="224"/>
      <c r="DF7" s="224"/>
      <c r="DG7" s="224"/>
      <c r="DH7" s="224"/>
      <c r="DI7" s="224"/>
      <c r="DJ7" s="224"/>
      <c r="DK7" s="224"/>
      <c r="DL7" s="224"/>
      <c r="DM7" s="224"/>
      <c r="DN7" s="224"/>
      <c r="DO7" s="224"/>
      <c r="DP7" s="224"/>
      <c r="DQ7" s="224"/>
      <c r="DR7" s="224"/>
      <c r="DS7" s="224"/>
      <c r="DT7" s="224"/>
      <c r="DU7" s="224"/>
      <c r="DV7" s="224"/>
      <c r="DW7" s="224"/>
      <c r="DX7" s="224"/>
      <c r="DY7" s="224"/>
      <c r="DZ7" s="224"/>
      <c r="EA7" s="224"/>
      <c r="EB7" s="224"/>
      <c r="EC7" s="224"/>
      <c r="ED7" s="224"/>
      <c r="EE7" s="224"/>
      <c r="EF7" s="224"/>
      <c r="EG7" s="224"/>
      <c r="EH7" s="224"/>
      <c r="EI7" s="224"/>
      <c r="EJ7" s="224"/>
      <c r="EK7" s="224"/>
      <c r="EL7" s="224"/>
      <c r="EM7" s="224"/>
      <c r="EN7" s="224"/>
      <c r="EO7" s="224"/>
      <c r="EP7" s="224"/>
      <c r="EQ7" s="224"/>
      <c r="ER7" s="224"/>
      <c r="ES7" s="224"/>
      <c r="ET7" s="224"/>
      <c r="EU7" s="224"/>
      <c r="EV7" s="224"/>
      <c r="EW7" s="224"/>
      <c r="EX7" s="224"/>
      <c r="EY7" s="224"/>
      <c r="EZ7" s="224"/>
      <c r="FA7" s="224"/>
      <c r="FB7" s="224"/>
      <c r="FC7" s="224"/>
      <c r="FD7" s="224"/>
      <c r="FE7" s="224"/>
      <c r="FF7" s="224"/>
      <c r="FG7" s="224"/>
      <c r="FH7" s="224"/>
      <c r="FI7" s="224"/>
      <c r="FJ7" s="224"/>
      <c r="FK7" s="224"/>
      <c r="FL7" s="224"/>
      <c r="FM7" s="224"/>
      <c r="FN7" s="224"/>
      <c r="FO7" s="224"/>
      <c r="FP7" s="224"/>
      <c r="FQ7" s="224"/>
      <c r="FR7" s="224"/>
      <c r="FS7" s="224"/>
      <c r="FT7" s="224"/>
      <c r="FU7" s="224"/>
      <c r="FV7" s="224"/>
      <c r="FW7" s="224"/>
      <c r="FX7" s="224"/>
      <c r="FY7" s="224"/>
      <c r="FZ7" s="224"/>
      <c r="GA7" s="224"/>
      <c r="GB7" s="224"/>
      <c r="GC7" s="224"/>
      <c r="GD7" s="224"/>
      <c r="GE7" s="224"/>
      <c r="GF7" s="224"/>
      <c r="GG7" s="224"/>
      <c r="GH7" s="224"/>
      <c r="GI7" s="224"/>
      <c r="GJ7" s="224"/>
      <c r="GK7" s="224"/>
      <c r="GL7" s="224"/>
      <c r="GM7" s="224"/>
      <c r="GN7" s="224"/>
      <c r="GO7" s="224"/>
      <c r="GP7" s="224"/>
      <c r="GQ7" s="224"/>
      <c r="GR7" s="224"/>
      <c r="GS7" s="224"/>
      <c r="GT7" s="224"/>
      <c r="GU7" s="224"/>
      <c r="GV7" s="224"/>
      <c r="GW7" s="224"/>
      <c r="GX7" s="224"/>
      <c r="GY7" s="224"/>
      <c r="GZ7" s="224"/>
      <c r="HA7" s="224"/>
      <c r="HB7" s="224"/>
      <c r="HC7" s="224"/>
      <c r="HD7" s="224"/>
      <c r="HE7" s="224"/>
      <c r="HF7" s="224"/>
      <c r="HG7" s="224"/>
      <c r="HH7" s="224"/>
      <c r="HI7" s="224"/>
      <c r="HJ7" s="224"/>
      <c r="HK7" s="224"/>
      <c r="HL7" s="224"/>
      <c r="HM7" s="224"/>
      <c r="HN7" s="224"/>
      <c r="HO7" s="224"/>
      <c r="HP7" s="224"/>
      <c r="HQ7" s="224"/>
      <c r="HR7" s="224"/>
      <c r="HS7" s="224"/>
      <c r="HT7" s="224"/>
      <c r="HU7" s="224"/>
      <c r="HV7" s="224"/>
      <c r="HW7" s="224"/>
      <c r="HX7" s="224"/>
      <c r="HY7" s="224"/>
      <c r="HZ7" s="224"/>
      <c r="IA7" s="224"/>
      <c r="IB7" s="224"/>
      <c r="IC7" s="224"/>
      <c r="ID7" s="224"/>
      <c r="IE7" s="224"/>
      <c r="IF7" s="224"/>
      <c r="IG7" s="224"/>
      <c r="IH7" s="224"/>
      <c r="II7" s="224"/>
      <c r="IJ7" s="224"/>
      <c r="IK7" s="224"/>
      <c r="IL7" s="224"/>
      <c r="IM7" s="224"/>
      <c r="IN7" s="224"/>
      <c r="IO7" s="224"/>
      <c r="IP7" s="224"/>
      <c r="IQ7" s="224"/>
      <c r="IR7" s="224"/>
      <c r="IS7" s="224"/>
      <c r="IT7" s="224"/>
      <c r="IU7" s="224"/>
      <c r="IV7" s="224"/>
    </row>
    <row r="8" spans="1:256">
      <c r="A8" s="235" t="s">
        <v>267</v>
      </c>
      <c r="B8" s="23" t="s">
        <v>913</v>
      </c>
      <c r="C8" s="236" t="s">
        <v>914</v>
      </c>
      <c r="D8" s="23" t="s">
        <v>915</v>
      </c>
      <c r="E8" s="248" t="s">
        <v>916</v>
      </c>
      <c r="F8" s="249" t="s">
        <v>1111</v>
      </c>
      <c r="G8" s="249" t="s">
        <v>58</v>
      </c>
      <c r="H8" s="249" t="s">
        <v>59</v>
      </c>
      <c r="I8" s="260"/>
      <c r="J8" s="260"/>
      <c r="K8" s="260"/>
      <c r="L8" s="260"/>
      <c r="M8" s="260"/>
      <c r="N8" s="260"/>
      <c r="O8" s="260"/>
      <c r="P8" s="260"/>
      <c r="Q8" s="260"/>
      <c r="R8" s="260"/>
      <c r="S8" s="260"/>
      <c r="T8" s="260"/>
      <c r="U8" s="260"/>
      <c r="V8" s="260"/>
      <c r="W8" s="260"/>
      <c r="X8" s="260"/>
      <c r="Y8" s="260"/>
      <c r="Z8" s="260"/>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c r="BQ8" s="260"/>
      <c r="BR8" s="260"/>
      <c r="BS8" s="260"/>
      <c r="BT8" s="260"/>
      <c r="BU8" s="260"/>
      <c r="BV8" s="260"/>
      <c r="BW8" s="260"/>
      <c r="BX8" s="260"/>
      <c r="BY8" s="260"/>
      <c r="BZ8" s="260"/>
      <c r="CA8" s="260"/>
      <c r="CB8" s="260"/>
      <c r="CC8" s="260"/>
      <c r="CD8" s="260"/>
      <c r="CE8" s="260"/>
      <c r="CF8" s="260"/>
      <c r="CG8" s="260"/>
      <c r="CH8" s="260"/>
      <c r="CI8" s="260"/>
      <c r="CJ8" s="260"/>
      <c r="CK8" s="260"/>
      <c r="CL8" s="260"/>
      <c r="CM8" s="260"/>
      <c r="CN8" s="260"/>
      <c r="CO8" s="260"/>
      <c r="CP8" s="260"/>
      <c r="CQ8" s="260"/>
      <c r="CR8" s="260"/>
      <c r="CS8" s="260"/>
      <c r="CT8" s="260"/>
      <c r="CU8" s="260"/>
      <c r="CV8" s="260"/>
      <c r="CW8" s="260"/>
      <c r="CX8" s="260"/>
      <c r="CY8" s="260"/>
      <c r="CZ8" s="260"/>
      <c r="DA8" s="260"/>
      <c r="DB8" s="260"/>
      <c r="DC8" s="260"/>
      <c r="DD8" s="260"/>
      <c r="DE8" s="260"/>
      <c r="DF8" s="260"/>
      <c r="DG8" s="260"/>
      <c r="DH8" s="260"/>
      <c r="DI8" s="260"/>
      <c r="DJ8" s="260"/>
      <c r="DK8" s="260"/>
      <c r="DL8" s="260"/>
      <c r="DM8" s="260"/>
      <c r="DN8" s="260"/>
      <c r="DO8" s="260"/>
      <c r="DP8" s="260"/>
      <c r="DQ8" s="260"/>
      <c r="DR8" s="260"/>
      <c r="DS8" s="260"/>
      <c r="DT8" s="260"/>
      <c r="DU8" s="260"/>
      <c r="DV8" s="260"/>
      <c r="DW8" s="260"/>
      <c r="DX8" s="260"/>
      <c r="DY8" s="260"/>
      <c r="DZ8" s="260"/>
      <c r="EA8" s="260"/>
      <c r="EB8" s="260"/>
      <c r="EC8" s="260"/>
      <c r="ED8" s="260"/>
      <c r="EE8" s="260"/>
      <c r="EF8" s="260"/>
      <c r="EG8" s="260"/>
      <c r="EH8" s="260"/>
      <c r="EI8" s="260"/>
      <c r="EJ8" s="260"/>
      <c r="EK8" s="260"/>
      <c r="EL8" s="260"/>
      <c r="EM8" s="260"/>
      <c r="EN8" s="260"/>
      <c r="EO8" s="260"/>
      <c r="EP8" s="260"/>
      <c r="EQ8" s="260"/>
      <c r="ER8" s="260"/>
      <c r="ES8" s="260"/>
      <c r="ET8" s="260"/>
      <c r="EU8" s="260"/>
      <c r="EV8" s="260"/>
      <c r="EW8" s="260"/>
      <c r="EX8" s="260"/>
      <c r="EY8" s="260"/>
      <c r="EZ8" s="260"/>
      <c r="FA8" s="260"/>
      <c r="FB8" s="260"/>
      <c r="FC8" s="260"/>
      <c r="FD8" s="260"/>
      <c r="FE8" s="260"/>
      <c r="FF8" s="260"/>
      <c r="FG8" s="260"/>
      <c r="FH8" s="260"/>
      <c r="FI8" s="260"/>
      <c r="FJ8" s="260"/>
      <c r="FK8" s="260"/>
      <c r="FL8" s="260"/>
      <c r="FM8" s="260"/>
      <c r="FN8" s="260"/>
      <c r="FO8" s="260"/>
      <c r="FP8" s="260"/>
      <c r="FQ8" s="260"/>
      <c r="FR8" s="260"/>
      <c r="FS8" s="260"/>
      <c r="FT8" s="260"/>
      <c r="FU8" s="260"/>
      <c r="FV8" s="260"/>
      <c r="FW8" s="260"/>
      <c r="FX8" s="260"/>
      <c r="FY8" s="260"/>
      <c r="FZ8" s="260"/>
      <c r="GA8" s="260"/>
      <c r="GB8" s="260"/>
      <c r="GC8" s="260"/>
      <c r="GD8" s="260"/>
      <c r="GE8" s="260"/>
      <c r="GF8" s="260"/>
      <c r="GG8" s="260"/>
      <c r="GH8" s="260"/>
      <c r="GI8" s="260"/>
      <c r="GJ8" s="260"/>
      <c r="GK8" s="260"/>
      <c r="GL8" s="260"/>
      <c r="GM8" s="260"/>
      <c r="GN8" s="260"/>
      <c r="GO8" s="260"/>
      <c r="GP8" s="260"/>
      <c r="GQ8" s="260"/>
      <c r="GR8" s="260"/>
      <c r="GS8" s="260"/>
      <c r="GT8" s="260"/>
      <c r="GU8" s="260"/>
      <c r="GV8" s="260"/>
      <c r="GW8" s="260"/>
      <c r="GX8" s="260"/>
      <c r="GY8" s="260"/>
      <c r="GZ8" s="260"/>
      <c r="HA8" s="260"/>
      <c r="HB8" s="260"/>
      <c r="HC8" s="260"/>
      <c r="HD8" s="260"/>
      <c r="HE8" s="260"/>
      <c r="HF8" s="260"/>
      <c r="HG8" s="260"/>
      <c r="HH8" s="260"/>
      <c r="HI8" s="260"/>
      <c r="HJ8" s="260"/>
      <c r="HK8" s="260"/>
      <c r="HL8" s="260"/>
      <c r="HM8" s="260"/>
      <c r="HN8" s="260"/>
      <c r="HO8" s="260"/>
      <c r="HP8" s="260"/>
      <c r="HQ8" s="260"/>
      <c r="HR8" s="260"/>
      <c r="HS8" s="260"/>
      <c r="HT8" s="260"/>
      <c r="HU8" s="260"/>
      <c r="HV8" s="260"/>
      <c r="HW8" s="260"/>
      <c r="HX8" s="260"/>
      <c r="HY8" s="260"/>
      <c r="HZ8" s="260"/>
      <c r="IA8" s="260"/>
      <c r="IB8" s="260"/>
      <c r="IC8" s="260"/>
      <c r="ID8" s="260"/>
      <c r="IE8" s="260"/>
      <c r="IF8" s="260"/>
      <c r="IG8" s="260"/>
      <c r="IH8" s="260"/>
      <c r="II8" s="260"/>
      <c r="IJ8" s="260"/>
      <c r="IK8" s="260"/>
      <c r="IL8" s="260"/>
      <c r="IM8" s="260"/>
      <c r="IN8" s="260"/>
      <c r="IO8" s="260"/>
      <c r="IP8" s="260"/>
      <c r="IQ8" s="260"/>
      <c r="IR8" s="260"/>
      <c r="IS8" s="260"/>
      <c r="IT8" s="260"/>
      <c r="IU8" s="260"/>
      <c r="IV8" s="260"/>
    </row>
    <row r="9" spans="1:256">
      <c r="A9" s="235"/>
      <c r="B9" s="23"/>
      <c r="C9" s="236"/>
      <c r="D9" s="23"/>
      <c r="E9" s="250"/>
      <c r="F9" s="249"/>
      <c r="G9" s="249"/>
      <c r="H9" s="249"/>
      <c r="I9" s="260"/>
      <c r="J9" s="260"/>
      <c r="K9" s="260"/>
      <c r="L9" s="260"/>
      <c r="M9" s="260"/>
      <c r="N9" s="260"/>
      <c r="O9" s="260"/>
      <c r="P9" s="260"/>
      <c r="Q9" s="260"/>
      <c r="R9" s="260"/>
      <c r="S9" s="260"/>
      <c r="T9" s="260"/>
      <c r="U9" s="260"/>
      <c r="V9" s="260"/>
      <c r="W9" s="260"/>
      <c r="X9" s="260"/>
      <c r="Y9" s="260"/>
      <c r="Z9" s="260"/>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c r="BQ9" s="260"/>
      <c r="BR9" s="260"/>
      <c r="BS9" s="260"/>
      <c r="BT9" s="260"/>
      <c r="BU9" s="260"/>
      <c r="BV9" s="260"/>
      <c r="BW9" s="260"/>
      <c r="BX9" s="260"/>
      <c r="BY9" s="260"/>
      <c r="BZ9" s="260"/>
      <c r="CA9" s="260"/>
      <c r="CB9" s="260"/>
      <c r="CC9" s="260"/>
      <c r="CD9" s="260"/>
      <c r="CE9" s="260"/>
      <c r="CF9" s="260"/>
      <c r="CG9" s="260"/>
      <c r="CH9" s="260"/>
      <c r="CI9" s="260"/>
      <c r="CJ9" s="260"/>
      <c r="CK9" s="260"/>
      <c r="CL9" s="260"/>
      <c r="CM9" s="260"/>
      <c r="CN9" s="260"/>
      <c r="CO9" s="260"/>
      <c r="CP9" s="260"/>
      <c r="CQ9" s="260"/>
      <c r="CR9" s="260"/>
      <c r="CS9" s="260"/>
      <c r="CT9" s="260"/>
      <c r="CU9" s="260"/>
      <c r="CV9" s="260"/>
      <c r="CW9" s="260"/>
      <c r="CX9" s="260"/>
      <c r="CY9" s="260"/>
      <c r="CZ9" s="260"/>
      <c r="DA9" s="260"/>
      <c r="DB9" s="260"/>
      <c r="DC9" s="260"/>
      <c r="DD9" s="260"/>
      <c r="DE9" s="260"/>
      <c r="DF9" s="260"/>
      <c r="DG9" s="260"/>
      <c r="DH9" s="260"/>
      <c r="DI9" s="260"/>
      <c r="DJ9" s="260"/>
      <c r="DK9" s="260"/>
      <c r="DL9" s="260"/>
      <c r="DM9" s="260"/>
      <c r="DN9" s="260"/>
      <c r="DO9" s="260"/>
      <c r="DP9" s="260"/>
      <c r="DQ9" s="260"/>
      <c r="DR9" s="260"/>
      <c r="DS9" s="260"/>
      <c r="DT9" s="260"/>
      <c r="DU9" s="260"/>
      <c r="DV9" s="260"/>
      <c r="DW9" s="260"/>
      <c r="DX9" s="260"/>
      <c r="DY9" s="260"/>
      <c r="DZ9" s="260"/>
      <c r="EA9" s="260"/>
      <c r="EB9" s="260"/>
      <c r="EC9" s="260"/>
      <c r="ED9" s="260"/>
      <c r="EE9" s="260"/>
      <c r="EF9" s="260"/>
      <c r="EG9" s="260"/>
      <c r="EH9" s="260"/>
      <c r="EI9" s="260"/>
      <c r="EJ9" s="260"/>
      <c r="EK9" s="260"/>
      <c r="EL9" s="260"/>
      <c r="EM9" s="260"/>
      <c r="EN9" s="260"/>
      <c r="EO9" s="260"/>
      <c r="EP9" s="260"/>
      <c r="EQ9" s="260"/>
      <c r="ER9" s="260"/>
      <c r="ES9" s="260"/>
      <c r="ET9" s="260"/>
      <c r="EU9" s="260"/>
      <c r="EV9" s="260"/>
      <c r="EW9" s="260"/>
      <c r="EX9" s="260"/>
      <c r="EY9" s="260"/>
      <c r="EZ9" s="260"/>
      <c r="FA9" s="260"/>
      <c r="FB9" s="260"/>
      <c r="FC9" s="260"/>
      <c r="FD9" s="260"/>
      <c r="FE9" s="260"/>
      <c r="FF9" s="260"/>
      <c r="FG9" s="260"/>
      <c r="FH9" s="260"/>
      <c r="FI9" s="260"/>
      <c r="FJ9" s="260"/>
      <c r="FK9" s="260"/>
      <c r="FL9" s="260"/>
      <c r="FM9" s="260"/>
      <c r="FN9" s="260"/>
      <c r="FO9" s="260"/>
      <c r="FP9" s="260"/>
      <c r="FQ9" s="260"/>
      <c r="FR9" s="260"/>
      <c r="FS9" s="260"/>
      <c r="FT9" s="260"/>
      <c r="FU9" s="260"/>
      <c r="FV9" s="260"/>
      <c r="FW9" s="260"/>
      <c r="FX9" s="260"/>
      <c r="FY9" s="260"/>
      <c r="FZ9" s="260"/>
      <c r="GA9" s="260"/>
      <c r="GB9" s="260"/>
      <c r="GC9" s="260"/>
      <c r="GD9" s="260"/>
      <c r="GE9" s="260"/>
      <c r="GF9" s="260"/>
      <c r="GG9" s="260"/>
      <c r="GH9" s="260"/>
      <c r="GI9" s="260"/>
      <c r="GJ9" s="260"/>
      <c r="GK9" s="260"/>
      <c r="GL9" s="260"/>
      <c r="GM9" s="260"/>
      <c r="GN9" s="260"/>
      <c r="GO9" s="260"/>
      <c r="GP9" s="260"/>
      <c r="GQ9" s="260"/>
      <c r="GR9" s="260"/>
      <c r="GS9" s="260"/>
      <c r="GT9" s="260"/>
      <c r="GU9" s="260"/>
      <c r="GV9" s="260"/>
      <c r="GW9" s="260"/>
      <c r="GX9" s="260"/>
      <c r="GY9" s="260"/>
      <c r="GZ9" s="260"/>
      <c r="HA9" s="260"/>
      <c r="HB9" s="260"/>
      <c r="HC9" s="260"/>
      <c r="HD9" s="260"/>
      <c r="HE9" s="260"/>
      <c r="HF9" s="260"/>
      <c r="HG9" s="260"/>
      <c r="HH9" s="260"/>
      <c r="HI9" s="260"/>
      <c r="HJ9" s="260"/>
      <c r="HK9" s="260"/>
      <c r="HL9" s="260"/>
      <c r="HM9" s="260"/>
      <c r="HN9" s="260"/>
      <c r="HO9" s="260"/>
      <c r="HP9" s="260"/>
      <c r="HQ9" s="260"/>
      <c r="HR9" s="260"/>
      <c r="HS9" s="260"/>
      <c r="HT9" s="260"/>
      <c r="HU9" s="260"/>
      <c r="HV9" s="260"/>
      <c r="HW9" s="260"/>
      <c r="HX9" s="260"/>
      <c r="HY9" s="260"/>
      <c r="HZ9" s="260"/>
      <c r="IA9" s="260"/>
      <c r="IB9" s="260"/>
      <c r="IC9" s="260"/>
      <c r="ID9" s="260"/>
      <c r="IE9" s="260"/>
      <c r="IF9" s="260"/>
      <c r="IG9" s="260"/>
      <c r="IH9" s="260"/>
      <c r="II9" s="260"/>
      <c r="IJ9" s="260"/>
      <c r="IK9" s="260"/>
      <c r="IL9" s="260"/>
      <c r="IM9" s="260"/>
      <c r="IN9" s="260"/>
      <c r="IO9" s="260"/>
      <c r="IP9" s="260"/>
      <c r="IQ9" s="260"/>
      <c r="IR9" s="260"/>
      <c r="IS9" s="260"/>
      <c r="IT9" s="260"/>
      <c r="IU9" s="260"/>
      <c r="IV9" s="260"/>
    </row>
    <row r="10" spans="1:256">
      <c r="A10" s="237"/>
      <c r="B10" s="238"/>
      <c r="C10" s="239"/>
      <c r="D10" s="238"/>
      <c r="E10" s="251"/>
      <c r="F10" s="252"/>
      <c r="G10" s="253"/>
      <c r="H10" s="254"/>
      <c r="I10" s="261"/>
      <c r="J10" s="261"/>
      <c r="K10" s="261"/>
      <c r="L10" s="261"/>
      <c r="M10" s="261"/>
      <c r="N10" s="261"/>
      <c r="O10" s="261"/>
      <c r="P10" s="261"/>
      <c r="Q10" s="261"/>
      <c r="R10" s="261"/>
      <c r="S10" s="261"/>
      <c r="T10" s="261"/>
      <c r="U10" s="261"/>
      <c r="V10" s="261"/>
      <c r="W10" s="261"/>
      <c r="X10" s="261"/>
      <c r="Y10" s="261"/>
      <c r="Z10" s="261"/>
      <c r="AA10" s="261"/>
      <c r="AB10" s="261"/>
      <c r="AC10" s="261"/>
      <c r="AD10" s="261"/>
      <c r="AE10" s="261"/>
      <c r="AF10" s="261"/>
      <c r="AG10" s="261"/>
      <c r="AH10" s="261"/>
      <c r="AI10" s="261"/>
      <c r="AJ10" s="261"/>
      <c r="AK10" s="261"/>
      <c r="AL10" s="261"/>
      <c r="AM10" s="261"/>
      <c r="AN10" s="261"/>
      <c r="AO10" s="261"/>
      <c r="AP10" s="261"/>
      <c r="AQ10" s="261"/>
      <c r="AR10" s="261"/>
      <c r="AS10" s="261"/>
      <c r="AT10" s="261"/>
      <c r="AU10" s="261"/>
      <c r="AV10" s="261"/>
      <c r="AW10" s="261"/>
      <c r="AX10" s="261"/>
      <c r="AY10" s="261"/>
      <c r="AZ10" s="261"/>
      <c r="BA10" s="261"/>
      <c r="BB10" s="261"/>
      <c r="BC10" s="261"/>
      <c r="BD10" s="261"/>
      <c r="BE10" s="261"/>
      <c r="BF10" s="261"/>
      <c r="BG10" s="261"/>
      <c r="BH10" s="261"/>
      <c r="BI10" s="261"/>
      <c r="BJ10" s="261"/>
      <c r="BK10" s="261"/>
      <c r="BL10" s="261"/>
      <c r="BM10" s="261"/>
      <c r="BN10" s="261"/>
      <c r="BO10" s="261"/>
      <c r="BP10" s="261"/>
      <c r="BQ10" s="261"/>
      <c r="BR10" s="261"/>
      <c r="BS10" s="261"/>
      <c r="BT10" s="261"/>
      <c r="BU10" s="261"/>
      <c r="BV10" s="261"/>
      <c r="BW10" s="261"/>
      <c r="BX10" s="261"/>
      <c r="BY10" s="261"/>
      <c r="BZ10" s="261"/>
      <c r="CA10" s="261"/>
      <c r="CB10" s="261"/>
      <c r="CC10" s="261"/>
      <c r="CD10" s="261"/>
      <c r="CE10" s="261"/>
      <c r="CF10" s="261"/>
      <c r="CG10" s="261"/>
      <c r="CH10" s="261"/>
      <c r="CI10" s="261"/>
      <c r="CJ10" s="261"/>
      <c r="CK10" s="261"/>
      <c r="CL10" s="261"/>
      <c r="CM10" s="261"/>
      <c r="CN10" s="261"/>
      <c r="CO10" s="261"/>
      <c r="CP10" s="261"/>
      <c r="CQ10" s="261"/>
      <c r="CR10" s="261"/>
      <c r="CS10" s="261"/>
      <c r="CT10" s="261"/>
      <c r="CU10" s="261"/>
      <c r="CV10" s="261"/>
      <c r="CW10" s="261"/>
      <c r="CX10" s="261"/>
      <c r="CY10" s="261"/>
      <c r="CZ10" s="261"/>
      <c r="DA10" s="261"/>
      <c r="DB10" s="261"/>
      <c r="DC10" s="261"/>
      <c r="DD10" s="261"/>
      <c r="DE10" s="261"/>
      <c r="DF10" s="261"/>
      <c r="DG10" s="261"/>
      <c r="DH10" s="261"/>
      <c r="DI10" s="261"/>
      <c r="DJ10" s="261"/>
      <c r="DK10" s="261"/>
      <c r="DL10" s="261"/>
      <c r="DM10" s="261"/>
      <c r="DN10" s="261"/>
      <c r="DO10" s="261"/>
      <c r="DP10" s="261"/>
      <c r="DQ10" s="261"/>
      <c r="DR10" s="261"/>
      <c r="DS10" s="261"/>
      <c r="DT10" s="261"/>
      <c r="DU10" s="261"/>
      <c r="DV10" s="261"/>
      <c r="DW10" s="261"/>
      <c r="DX10" s="261"/>
      <c r="DY10" s="261"/>
      <c r="DZ10" s="261"/>
      <c r="EA10" s="261"/>
      <c r="EB10" s="261"/>
      <c r="EC10" s="261"/>
      <c r="ED10" s="261"/>
      <c r="EE10" s="261"/>
      <c r="EF10" s="261"/>
      <c r="EG10" s="261"/>
      <c r="EH10" s="261"/>
      <c r="EI10" s="261"/>
      <c r="EJ10" s="261"/>
      <c r="EK10" s="261"/>
      <c r="EL10" s="261"/>
      <c r="EM10" s="261"/>
      <c r="EN10" s="261"/>
      <c r="EO10" s="261"/>
      <c r="EP10" s="261"/>
      <c r="EQ10" s="261"/>
      <c r="ER10" s="261"/>
      <c r="ES10" s="261"/>
      <c r="ET10" s="261"/>
      <c r="EU10" s="261"/>
      <c r="EV10" s="261"/>
      <c r="EW10" s="261"/>
      <c r="EX10" s="261"/>
      <c r="EY10" s="261"/>
      <c r="EZ10" s="261"/>
      <c r="FA10" s="261"/>
      <c r="FB10" s="261"/>
      <c r="FC10" s="261"/>
      <c r="FD10" s="261"/>
      <c r="FE10" s="261"/>
      <c r="FF10" s="261"/>
      <c r="FG10" s="261"/>
      <c r="FH10" s="261"/>
      <c r="FI10" s="261"/>
      <c r="FJ10" s="261"/>
      <c r="FK10" s="261"/>
      <c r="FL10" s="261"/>
      <c r="FM10" s="261"/>
      <c r="FN10" s="261"/>
      <c r="FO10" s="261"/>
      <c r="FP10" s="261"/>
      <c r="FQ10" s="261"/>
      <c r="FR10" s="261"/>
      <c r="FS10" s="261"/>
      <c r="FT10" s="261"/>
      <c r="FU10" s="261"/>
      <c r="FV10" s="261"/>
      <c r="FW10" s="261"/>
      <c r="FX10" s="261"/>
      <c r="FY10" s="261"/>
      <c r="FZ10" s="261"/>
      <c r="GA10" s="261"/>
      <c r="GB10" s="261"/>
      <c r="GC10" s="261"/>
      <c r="GD10" s="261"/>
      <c r="GE10" s="261"/>
      <c r="GF10" s="261"/>
      <c r="GG10" s="261"/>
      <c r="GH10" s="261"/>
      <c r="GI10" s="261"/>
      <c r="GJ10" s="261"/>
      <c r="GK10" s="261"/>
      <c r="GL10" s="261"/>
      <c r="GM10" s="261"/>
      <c r="GN10" s="261"/>
      <c r="GO10" s="261"/>
      <c r="GP10" s="261"/>
      <c r="GQ10" s="261"/>
      <c r="GR10" s="261"/>
      <c r="GS10" s="261"/>
      <c r="GT10" s="261"/>
      <c r="GU10" s="261"/>
      <c r="GV10" s="261"/>
      <c r="GW10" s="261"/>
      <c r="GX10" s="261"/>
      <c r="GY10" s="261"/>
      <c r="GZ10" s="261"/>
      <c r="HA10" s="261"/>
      <c r="HB10" s="261"/>
      <c r="HC10" s="261"/>
      <c r="HD10" s="261"/>
      <c r="HE10" s="261"/>
      <c r="HF10" s="261"/>
      <c r="HG10" s="261"/>
      <c r="HH10" s="261"/>
      <c r="HI10" s="261"/>
      <c r="HJ10" s="261"/>
      <c r="HK10" s="261"/>
      <c r="HL10" s="261"/>
      <c r="HM10" s="261"/>
      <c r="HN10" s="261"/>
      <c r="HO10" s="261"/>
      <c r="HP10" s="261"/>
      <c r="HQ10" s="261"/>
      <c r="HR10" s="261"/>
      <c r="HS10" s="261"/>
      <c r="HT10" s="261"/>
      <c r="HU10" s="261"/>
      <c r="HV10" s="261"/>
      <c r="HW10" s="261"/>
      <c r="HX10" s="261"/>
      <c r="HY10" s="261"/>
      <c r="HZ10" s="261"/>
      <c r="IA10" s="261"/>
      <c r="IB10" s="261"/>
      <c r="IC10" s="261"/>
      <c r="ID10" s="261"/>
      <c r="IE10" s="261"/>
      <c r="IF10" s="261"/>
      <c r="IG10" s="261"/>
      <c r="IH10" s="261"/>
      <c r="II10" s="261"/>
      <c r="IJ10" s="261"/>
      <c r="IK10" s="261"/>
      <c r="IL10" s="261"/>
      <c r="IM10" s="261"/>
      <c r="IN10" s="261"/>
      <c r="IO10" s="261"/>
      <c r="IP10" s="261"/>
      <c r="IQ10" s="261"/>
      <c r="IR10" s="261"/>
      <c r="IS10" s="261"/>
      <c r="IT10" s="261"/>
      <c r="IU10" s="261"/>
      <c r="IV10" s="261"/>
    </row>
    <row r="11" spans="1:256">
      <c r="A11" s="237"/>
      <c r="B11" s="240"/>
      <c r="C11" s="239"/>
      <c r="D11" s="238"/>
      <c r="E11" s="251"/>
      <c r="F11" s="252"/>
      <c r="G11" s="253"/>
      <c r="H11" s="254"/>
      <c r="I11" s="261"/>
      <c r="J11" s="261"/>
      <c r="K11" s="261"/>
      <c r="L11" s="261"/>
      <c r="M11" s="261"/>
      <c r="N11" s="261"/>
      <c r="O11" s="261"/>
      <c r="P11" s="261"/>
      <c r="Q11" s="261"/>
      <c r="R11" s="261"/>
      <c r="S11" s="261"/>
      <c r="T11" s="261"/>
      <c r="U11" s="261"/>
      <c r="V11" s="261"/>
      <c r="W11" s="261"/>
      <c r="X11" s="261"/>
      <c r="Y11" s="261"/>
      <c r="Z11" s="261"/>
      <c r="AA11" s="261"/>
      <c r="AB11" s="261"/>
      <c r="AC11" s="261"/>
      <c r="AD11" s="261"/>
      <c r="AE11" s="261"/>
      <c r="AF11" s="261"/>
      <c r="AG11" s="261"/>
      <c r="AH11" s="261"/>
      <c r="AI11" s="261"/>
      <c r="AJ11" s="261"/>
      <c r="AK11" s="261"/>
      <c r="AL11" s="261"/>
      <c r="AM11" s="261"/>
      <c r="AN11" s="261"/>
      <c r="AO11" s="261"/>
      <c r="AP11" s="261"/>
      <c r="AQ11" s="261"/>
      <c r="AR11" s="261"/>
      <c r="AS11" s="261"/>
      <c r="AT11" s="261"/>
      <c r="AU11" s="261"/>
      <c r="AV11" s="261"/>
      <c r="AW11" s="261"/>
      <c r="AX11" s="261"/>
      <c r="AY11" s="261"/>
      <c r="AZ11" s="261"/>
      <c r="BA11" s="261"/>
      <c r="BB11" s="261"/>
      <c r="BC11" s="261"/>
      <c r="BD11" s="261"/>
      <c r="BE11" s="261"/>
      <c r="BF11" s="261"/>
      <c r="BG11" s="261"/>
      <c r="BH11" s="261"/>
      <c r="BI11" s="261"/>
      <c r="BJ11" s="261"/>
      <c r="BK11" s="261"/>
      <c r="BL11" s="261"/>
      <c r="BM11" s="261"/>
      <c r="BN11" s="261"/>
      <c r="BO11" s="261"/>
      <c r="BP11" s="261"/>
      <c r="BQ11" s="261"/>
      <c r="BR11" s="261"/>
      <c r="BS11" s="261"/>
      <c r="BT11" s="261"/>
      <c r="BU11" s="261"/>
      <c r="BV11" s="261"/>
      <c r="BW11" s="261"/>
      <c r="BX11" s="261"/>
      <c r="BY11" s="261"/>
      <c r="BZ11" s="261"/>
      <c r="CA11" s="261"/>
      <c r="CB11" s="261"/>
      <c r="CC11" s="261"/>
      <c r="CD11" s="261"/>
      <c r="CE11" s="261"/>
      <c r="CF11" s="261"/>
      <c r="CG11" s="261"/>
      <c r="CH11" s="261"/>
      <c r="CI11" s="261"/>
      <c r="CJ11" s="261"/>
      <c r="CK11" s="261"/>
      <c r="CL11" s="261"/>
      <c r="CM11" s="261"/>
      <c r="CN11" s="261"/>
      <c r="CO11" s="261"/>
      <c r="CP11" s="261"/>
      <c r="CQ11" s="261"/>
      <c r="CR11" s="261"/>
      <c r="CS11" s="261"/>
      <c r="CT11" s="261"/>
      <c r="CU11" s="261"/>
      <c r="CV11" s="261"/>
      <c r="CW11" s="261"/>
      <c r="CX11" s="261"/>
      <c r="CY11" s="261"/>
      <c r="CZ11" s="261"/>
      <c r="DA11" s="261"/>
      <c r="DB11" s="261"/>
      <c r="DC11" s="261"/>
      <c r="DD11" s="261"/>
      <c r="DE11" s="261"/>
      <c r="DF11" s="261"/>
      <c r="DG11" s="261"/>
      <c r="DH11" s="261"/>
      <c r="DI11" s="261"/>
      <c r="DJ11" s="261"/>
      <c r="DK11" s="261"/>
      <c r="DL11" s="261"/>
      <c r="DM11" s="261"/>
      <c r="DN11" s="261"/>
      <c r="DO11" s="261"/>
      <c r="DP11" s="261"/>
      <c r="DQ11" s="261"/>
      <c r="DR11" s="261"/>
      <c r="DS11" s="261"/>
      <c r="DT11" s="261"/>
      <c r="DU11" s="261"/>
      <c r="DV11" s="261"/>
      <c r="DW11" s="261"/>
      <c r="DX11" s="261"/>
      <c r="DY11" s="261"/>
      <c r="DZ11" s="261"/>
      <c r="EA11" s="261"/>
      <c r="EB11" s="261"/>
      <c r="EC11" s="261"/>
      <c r="ED11" s="261"/>
      <c r="EE11" s="261"/>
      <c r="EF11" s="261"/>
      <c r="EG11" s="261"/>
      <c r="EH11" s="261"/>
      <c r="EI11" s="261"/>
      <c r="EJ11" s="261"/>
      <c r="EK11" s="261"/>
      <c r="EL11" s="261"/>
      <c r="EM11" s="261"/>
      <c r="EN11" s="261"/>
      <c r="EO11" s="261"/>
      <c r="EP11" s="261"/>
      <c r="EQ11" s="261"/>
      <c r="ER11" s="261"/>
      <c r="ES11" s="261"/>
      <c r="ET11" s="261"/>
      <c r="EU11" s="261"/>
      <c r="EV11" s="261"/>
      <c r="EW11" s="261"/>
      <c r="EX11" s="261"/>
      <c r="EY11" s="261"/>
      <c r="EZ11" s="261"/>
      <c r="FA11" s="261"/>
      <c r="FB11" s="261"/>
      <c r="FC11" s="261"/>
      <c r="FD11" s="261"/>
      <c r="FE11" s="261"/>
      <c r="FF11" s="261"/>
      <c r="FG11" s="261"/>
      <c r="FH11" s="261"/>
      <c r="FI11" s="261"/>
      <c r="FJ11" s="261"/>
      <c r="FK11" s="261"/>
      <c r="FL11" s="261"/>
      <c r="FM11" s="261"/>
      <c r="FN11" s="261"/>
      <c r="FO11" s="261"/>
      <c r="FP11" s="261"/>
      <c r="FQ11" s="261"/>
      <c r="FR11" s="261"/>
      <c r="FS11" s="261"/>
      <c r="FT11" s="261"/>
      <c r="FU11" s="261"/>
      <c r="FV11" s="261"/>
      <c r="FW11" s="261"/>
      <c r="FX11" s="261"/>
      <c r="FY11" s="261"/>
      <c r="FZ11" s="261"/>
      <c r="GA11" s="261"/>
      <c r="GB11" s="261"/>
      <c r="GC11" s="261"/>
      <c r="GD11" s="261"/>
      <c r="GE11" s="261"/>
      <c r="GF11" s="261"/>
      <c r="GG11" s="261"/>
      <c r="GH11" s="261"/>
      <c r="GI11" s="261"/>
      <c r="GJ11" s="261"/>
      <c r="GK11" s="261"/>
      <c r="GL11" s="261"/>
      <c r="GM11" s="261"/>
      <c r="GN11" s="261"/>
      <c r="GO11" s="261"/>
      <c r="GP11" s="261"/>
      <c r="GQ11" s="261"/>
      <c r="GR11" s="261"/>
      <c r="GS11" s="261"/>
      <c r="GT11" s="261"/>
      <c r="GU11" s="261"/>
      <c r="GV11" s="261"/>
      <c r="GW11" s="261"/>
      <c r="GX11" s="261"/>
      <c r="GY11" s="261"/>
      <c r="GZ11" s="261"/>
      <c r="HA11" s="261"/>
      <c r="HB11" s="261"/>
      <c r="HC11" s="261"/>
      <c r="HD11" s="261"/>
      <c r="HE11" s="261"/>
      <c r="HF11" s="261"/>
      <c r="HG11" s="261"/>
      <c r="HH11" s="261"/>
      <c r="HI11" s="261"/>
      <c r="HJ11" s="261"/>
      <c r="HK11" s="261"/>
      <c r="HL11" s="261"/>
      <c r="HM11" s="261"/>
      <c r="HN11" s="261"/>
      <c r="HO11" s="261"/>
      <c r="HP11" s="261"/>
      <c r="HQ11" s="261"/>
      <c r="HR11" s="261"/>
      <c r="HS11" s="261"/>
      <c r="HT11" s="261"/>
      <c r="HU11" s="261"/>
      <c r="HV11" s="261"/>
      <c r="HW11" s="261"/>
      <c r="HX11" s="261"/>
      <c r="HY11" s="261"/>
      <c r="HZ11" s="261"/>
      <c r="IA11" s="261"/>
      <c r="IB11" s="261"/>
      <c r="IC11" s="261"/>
      <c r="ID11" s="261"/>
      <c r="IE11" s="261"/>
      <c r="IF11" s="261"/>
      <c r="IG11" s="261"/>
      <c r="IH11" s="261"/>
      <c r="II11" s="261"/>
      <c r="IJ11" s="261"/>
      <c r="IK11" s="261"/>
      <c r="IL11" s="261"/>
      <c r="IM11" s="261"/>
      <c r="IN11" s="261"/>
      <c r="IO11" s="261"/>
      <c r="IP11" s="261"/>
      <c r="IQ11" s="261"/>
      <c r="IR11" s="261"/>
      <c r="IS11" s="261"/>
      <c r="IT11" s="261"/>
      <c r="IU11" s="261"/>
      <c r="IV11" s="261"/>
    </row>
    <row r="12" spans="1:256">
      <c r="A12" s="237"/>
      <c r="B12" s="240"/>
      <c r="C12" s="239"/>
      <c r="D12" s="238"/>
      <c r="E12" s="251"/>
      <c r="F12" s="252"/>
      <c r="G12" s="253"/>
      <c r="H12" s="254"/>
      <c r="I12" s="261"/>
      <c r="J12" s="261"/>
      <c r="K12" s="261"/>
      <c r="L12" s="261"/>
      <c r="M12" s="261"/>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1"/>
      <c r="AS12" s="261"/>
      <c r="AT12" s="261"/>
      <c r="AU12" s="261"/>
      <c r="AV12" s="261"/>
      <c r="AW12" s="261"/>
      <c r="AX12" s="261"/>
      <c r="AY12" s="261"/>
      <c r="AZ12" s="261"/>
      <c r="BA12" s="261"/>
      <c r="BB12" s="261"/>
      <c r="BC12" s="261"/>
      <c r="BD12" s="261"/>
      <c r="BE12" s="261"/>
      <c r="BF12" s="261"/>
      <c r="BG12" s="261"/>
      <c r="BH12" s="261"/>
      <c r="BI12" s="261"/>
      <c r="BJ12" s="261"/>
      <c r="BK12" s="261"/>
      <c r="BL12" s="261"/>
      <c r="BM12" s="261"/>
      <c r="BN12" s="261"/>
      <c r="BO12" s="261"/>
      <c r="BP12" s="261"/>
      <c r="BQ12" s="261"/>
      <c r="BR12" s="261"/>
      <c r="BS12" s="261"/>
      <c r="BT12" s="261"/>
      <c r="BU12" s="261"/>
      <c r="BV12" s="261"/>
      <c r="BW12" s="261"/>
      <c r="BX12" s="261"/>
      <c r="BY12" s="261"/>
      <c r="BZ12" s="261"/>
      <c r="CA12" s="261"/>
      <c r="CB12" s="261"/>
      <c r="CC12" s="261"/>
      <c r="CD12" s="261"/>
      <c r="CE12" s="261"/>
      <c r="CF12" s="261"/>
      <c r="CG12" s="261"/>
      <c r="CH12" s="261"/>
      <c r="CI12" s="261"/>
      <c r="CJ12" s="261"/>
      <c r="CK12" s="261"/>
      <c r="CL12" s="261"/>
      <c r="CM12" s="261"/>
      <c r="CN12" s="261"/>
      <c r="CO12" s="261"/>
      <c r="CP12" s="261"/>
      <c r="CQ12" s="261"/>
      <c r="CR12" s="261"/>
      <c r="CS12" s="261"/>
      <c r="CT12" s="261"/>
      <c r="CU12" s="261"/>
      <c r="CV12" s="261"/>
      <c r="CW12" s="261"/>
      <c r="CX12" s="261"/>
      <c r="CY12" s="261"/>
      <c r="CZ12" s="261"/>
      <c r="DA12" s="261"/>
      <c r="DB12" s="261"/>
      <c r="DC12" s="261"/>
      <c r="DD12" s="261"/>
      <c r="DE12" s="261"/>
      <c r="DF12" s="261"/>
      <c r="DG12" s="261"/>
      <c r="DH12" s="261"/>
      <c r="DI12" s="261"/>
      <c r="DJ12" s="261"/>
      <c r="DK12" s="261"/>
      <c r="DL12" s="261"/>
      <c r="DM12" s="261"/>
      <c r="DN12" s="261"/>
      <c r="DO12" s="261"/>
      <c r="DP12" s="261"/>
      <c r="DQ12" s="261"/>
      <c r="DR12" s="261"/>
      <c r="DS12" s="261"/>
      <c r="DT12" s="261"/>
      <c r="DU12" s="261"/>
      <c r="DV12" s="261"/>
      <c r="DW12" s="261"/>
      <c r="DX12" s="261"/>
      <c r="DY12" s="261"/>
      <c r="DZ12" s="261"/>
      <c r="EA12" s="261"/>
      <c r="EB12" s="261"/>
      <c r="EC12" s="261"/>
      <c r="ED12" s="261"/>
      <c r="EE12" s="261"/>
      <c r="EF12" s="261"/>
      <c r="EG12" s="261"/>
      <c r="EH12" s="261"/>
      <c r="EI12" s="261"/>
      <c r="EJ12" s="261"/>
      <c r="EK12" s="261"/>
      <c r="EL12" s="261"/>
      <c r="EM12" s="261"/>
      <c r="EN12" s="261"/>
      <c r="EO12" s="261"/>
      <c r="EP12" s="261"/>
      <c r="EQ12" s="261"/>
      <c r="ER12" s="261"/>
      <c r="ES12" s="261"/>
      <c r="ET12" s="261"/>
      <c r="EU12" s="261"/>
      <c r="EV12" s="261"/>
      <c r="EW12" s="261"/>
      <c r="EX12" s="261"/>
      <c r="EY12" s="261"/>
      <c r="EZ12" s="261"/>
      <c r="FA12" s="261"/>
      <c r="FB12" s="261"/>
      <c r="FC12" s="261"/>
      <c r="FD12" s="261"/>
      <c r="FE12" s="261"/>
      <c r="FF12" s="261"/>
      <c r="FG12" s="261"/>
      <c r="FH12" s="261"/>
      <c r="FI12" s="261"/>
      <c r="FJ12" s="261"/>
      <c r="FK12" s="261"/>
      <c r="FL12" s="261"/>
      <c r="FM12" s="261"/>
      <c r="FN12" s="261"/>
      <c r="FO12" s="261"/>
      <c r="FP12" s="261"/>
      <c r="FQ12" s="261"/>
      <c r="FR12" s="261"/>
      <c r="FS12" s="261"/>
      <c r="FT12" s="261"/>
      <c r="FU12" s="261"/>
      <c r="FV12" s="261"/>
      <c r="FW12" s="261"/>
      <c r="FX12" s="261"/>
      <c r="FY12" s="261"/>
      <c r="FZ12" s="261"/>
      <c r="GA12" s="261"/>
      <c r="GB12" s="261"/>
      <c r="GC12" s="261"/>
      <c r="GD12" s="261"/>
      <c r="GE12" s="261"/>
      <c r="GF12" s="261"/>
      <c r="GG12" s="261"/>
      <c r="GH12" s="261"/>
      <c r="GI12" s="261"/>
      <c r="GJ12" s="261"/>
      <c r="GK12" s="261"/>
      <c r="GL12" s="261"/>
      <c r="GM12" s="261"/>
      <c r="GN12" s="261"/>
      <c r="GO12" s="261"/>
      <c r="GP12" s="261"/>
      <c r="GQ12" s="261"/>
      <c r="GR12" s="261"/>
      <c r="GS12" s="261"/>
      <c r="GT12" s="261"/>
      <c r="GU12" s="261"/>
      <c r="GV12" s="261"/>
      <c r="GW12" s="261"/>
      <c r="GX12" s="261"/>
      <c r="GY12" s="261"/>
      <c r="GZ12" s="261"/>
      <c r="HA12" s="261"/>
      <c r="HB12" s="261"/>
      <c r="HC12" s="261"/>
      <c r="HD12" s="261"/>
      <c r="HE12" s="261"/>
      <c r="HF12" s="261"/>
      <c r="HG12" s="261"/>
      <c r="HH12" s="261"/>
      <c r="HI12" s="261"/>
      <c r="HJ12" s="261"/>
      <c r="HK12" s="261"/>
      <c r="HL12" s="261"/>
      <c r="HM12" s="261"/>
      <c r="HN12" s="261"/>
      <c r="HO12" s="261"/>
      <c r="HP12" s="261"/>
      <c r="HQ12" s="261"/>
      <c r="HR12" s="261"/>
      <c r="HS12" s="261"/>
      <c r="HT12" s="261"/>
      <c r="HU12" s="261"/>
      <c r="HV12" s="261"/>
      <c r="HW12" s="261"/>
      <c r="HX12" s="261"/>
      <c r="HY12" s="261"/>
      <c r="HZ12" s="261"/>
      <c r="IA12" s="261"/>
      <c r="IB12" s="261"/>
      <c r="IC12" s="261"/>
      <c r="ID12" s="261"/>
      <c r="IE12" s="261"/>
      <c r="IF12" s="261"/>
      <c r="IG12" s="261"/>
      <c r="IH12" s="261"/>
      <c r="II12" s="261"/>
      <c r="IJ12" s="261"/>
      <c r="IK12" s="261"/>
      <c r="IL12" s="261"/>
      <c r="IM12" s="261"/>
      <c r="IN12" s="261"/>
      <c r="IO12" s="261"/>
      <c r="IP12" s="261"/>
      <c r="IQ12" s="261"/>
      <c r="IR12" s="261"/>
      <c r="IS12" s="261"/>
      <c r="IT12" s="261"/>
      <c r="IU12" s="261"/>
      <c r="IV12" s="261"/>
    </row>
    <row r="13" spans="1:256">
      <c r="A13" s="237"/>
      <c r="B13" s="240"/>
      <c r="C13" s="239"/>
      <c r="D13" s="238"/>
      <c r="E13" s="251"/>
      <c r="F13" s="252"/>
      <c r="G13" s="253"/>
      <c r="H13" s="254"/>
      <c r="I13" s="261"/>
      <c r="J13" s="261"/>
      <c r="K13" s="261"/>
      <c r="L13" s="261"/>
      <c r="M13" s="261"/>
      <c r="N13" s="261"/>
      <c r="O13" s="261"/>
      <c r="P13" s="261"/>
      <c r="Q13" s="261"/>
      <c r="R13" s="261"/>
      <c r="S13" s="261"/>
      <c r="T13" s="261"/>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1"/>
      <c r="BC13" s="261"/>
      <c r="BD13" s="261"/>
      <c r="BE13" s="261"/>
      <c r="BF13" s="261"/>
      <c r="BG13" s="261"/>
      <c r="BH13" s="261"/>
      <c r="BI13" s="261"/>
      <c r="BJ13" s="261"/>
      <c r="BK13" s="261"/>
      <c r="BL13" s="261"/>
      <c r="BM13" s="261"/>
      <c r="BN13" s="261"/>
      <c r="BO13" s="261"/>
      <c r="BP13" s="261"/>
      <c r="BQ13" s="261"/>
      <c r="BR13" s="261"/>
      <c r="BS13" s="261"/>
      <c r="BT13" s="261"/>
      <c r="BU13" s="261"/>
      <c r="BV13" s="261"/>
      <c r="BW13" s="261"/>
      <c r="BX13" s="261"/>
      <c r="BY13" s="261"/>
      <c r="BZ13" s="261"/>
      <c r="CA13" s="261"/>
      <c r="CB13" s="261"/>
      <c r="CC13" s="261"/>
      <c r="CD13" s="261"/>
      <c r="CE13" s="261"/>
      <c r="CF13" s="261"/>
      <c r="CG13" s="261"/>
      <c r="CH13" s="261"/>
      <c r="CI13" s="261"/>
      <c r="CJ13" s="261"/>
      <c r="CK13" s="261"/>
      <c r="CL13" s="261"/>
      <c r="CM13" s="261"/>
      <c r="CN13" s="261"/>
      <c r="CO13" s="261"/>
      <c r="CP13" s="261"/>
      <c r="CQ13" s="261"/>
      <c r="CR13" s="261"/>
      <c r="CS13" s="261"/>
      <c r="CT13" s="261"/>
      <c r="CU13" s="261"/>
      <c r="CV13" s="261"/>
      <c r="CW13" s="261"/>
      <c r="CX13" s="261"/>
      <c r="CY13" s="261"/>
      <c r="CZ13" s="261"/>
      <c r="DA13" s="261"/>
      <c r="DB13" s="261"/>
      <c r="DC13" s="261"/>
      <c r="DD13" s="261"/>
      <c r="DE13" s="261"/>
      <c r="DF13" s="261"/>
      <c r="DG13" s="261"/>
      <c r="DH13" s="261"/>
      <c r="DI13" s="261"/>
      <c r="DJ13" s="261"/>
      <c r="DK13" s="261"/>
      <c r="DL13" s="261"/>
      <c r="DM13" s="261"/>
      <c r="DN13" s="261"/>
      <c r="DO13" s="261"/>
      <c r="DP13" s="261"/>
      <c r="DQ13" s="261"/>
      <c r="DR13" s="261"/>
      <c r="DS13" s="261"/>
      <c r="DT13" s="261"/>
      <c r="DU13" s="261"/>
      <c r="DV13" s="261"/>
      <c r="DW13" s="261"/>
      <c r="DX13" s="261"/>
      <c r="DY13" s="261"/>
      <c r="DZ13" s="261"/>
      <c r="EA13" s="261"/>
      <c r="EB13" s="261"/>
      <c r="EC13" s="261"/>
      <c r="ED13" s="261"/>
      <c r="EE13" s="261"/>
      <c r="EF13" s="261"/>
      <c r="EG13" s="261"/>
      <c r="EH13" s="261"/>
      <c r="EI13" s="261"/>
      <c r="EJ13" s="261"/>
      <c r="EK13" s="261"/>
      <c r="EL13" s="261"/>
      <c r="EM13" s="261"/>
      <c r="EN13" s="261"/>
      <c r="EO13" s="261"/>
      <c r="EP13" s="261"/>
      <c r="EQ13" s="261"/>
      <c r="ER13" s="261"/>
      <c r="ES13" s="261"/>
      <c r="ET13" s="261"/>
      <c r="EU13" s="261"/>
      <c r="EV13" s="261"/>
      <c r="EW13" s="261"/>
      <c r="EX13" s="261"/>
      <c r="EY13" s="261"/>
      <c r="EZ13" s="261"/>
      <c r="FA13" s="261"/>
      <c r="FB13" s="261"/>
      <c r="FC13" s="261"/>
      <c r="FD13" s="261"/>
      <c r="FE13" s="261"/>
      <c r="FF13" s="261"/>
      <c r="FG13" s="261"/>
      <c r="FH13" s="261"/>
      <c r="FI13" s="261"/>
      <c r="FJ13" s="261"/>
      <c r="FK13" s="261"/>
      <c r="FL13" s="261"/>
      <c r="FM13" s="261"/>
      <c r="FN13" s="261"/>
      <c r="FO13" s="261"/>
      <c r="FP13" s="261"/>
      <c r="FQ13" s="261"/>
      <c r="FR13" s="261"/>
      <c r="FS13" s="261"/>
      <c r="FT13" s="261"/>
      <c r="FU13" s="261"/>
      <c r="FV13" s="261"/>
      <c r="FW13" s="261"/>
      <c r="FX13" s="261"/>
      <c r="FY13" s="261"/>
      <c r="FZ13" s="261"/>
      <c r="GA13" s="261"/>
      <c r="GB13" s="261"/>
      <c r="GC13" s="261"/>
      <c r="GD13" s="261"/>
      <c r="GE13" s="261"/>
      <c r="GF13" s="261"/>
      <c r="GG13" s="261"/>
      <c r="GH13" s="261"/>
      <c r="GI13" s="261"/>
      <c r="GJ13" s="261"/>
      <c r="GK13" s="261"/>
      <c r="GL13" s="261"/>
      <c r="GM13" s="261"/>
      <c r="GN13" s="261"/>
      <c r="GO13" s="261"/>
      <c r="GP13" s="261"/>
      <c r="GQ13" s="261"/>
      <c r="GR13" s="261"/>
      <c r="GS13" s="261"/>
      <c r="GT13" s="261"/>
      <c r="GU13" s="261"/>
      <c r="GV13" s="261"/>
      <c r="GW13" s="261"/>
      <c r="GX13" s="261"/>
      <c r="GY13" s="261"/>
      <c r="GZ13" s="261"/>
      <c r="HA13" s="261"/>
      <c r="HB13" s="261"/>
      <c r="HC13" s="261"/>
      <c r="HD13" s="261"/>
      <c r="HE13" s="261"/>
      <c r="HF13" s="261"/>
      <c r="HG13" s="261"/>
      <c r="HH13" s="261"/>
      <c r="HI13" s="261"/>
      <c r="HJ13" s="261"/>
      <c r="HK13" s="261"/>
      <c r="HL13" s="261"/>
      <c r="HM13" s="261"/>
      <c r="HN13" s="261"/>
      <c r="HO13" s="261"/>
      <c r="HP13" s="261"/>
      <c r="HQ13" s="261"/>
      <c r="HR13" s="261"/>
      <c r="HS13" s="261"/>
      <c r="HT13" s="261"/>
      <c r="HU13" s="261"/>
      <c r="HV13" s="261"/>
      <c r="HW13" s="261"/>
      <c r="HX13" s="261"/>
      <c r="HY13" s="261"/>
      <c r="HZ13" s="261"/>
      <c r="IA13" s="261"/>
      <c r="IB13" s="261"/>
      <c r="IC13" s="261"/>
      <c r="ID13" s="261"/>
      <c r="IE13" s="261"/>
      <c r="IF13" s="261"/>
      <c r="IG13" s="261"/>
      <c r="IH13" s="261"/>
      <c r="II13" s="261"/>
      <c r="IJ13" s="261"/>
      <c r="IK13" s="261"/>
      <c r="IL13" s="261"/>
      <c r="IM13" s="261"/>
      <c r="IN13" s="261"/>
      <c r="IO13" s="261"/>
      <c r="IP13" s="261"/>
      <c r="IQ13" s="261"/>
      <c r="IR13" s="261"/>
      <c r="IS13" s="261"/>
      <c r="IT13" s="261"/>
      <c r="IU13" s="261"/>
      <c r="IV13" s="261"/>
    </row>
    <row r="14" spans="1:256">
      <c r="A14" s="237"/>
      <c r="B14" s="241"/>
      <c r="C14" s="239"/>
      <c r="D14" s="238"/>
      <c r="E14" s="251"/>
      <c r="F14" s="252"/>
      <c r="G14" s="253"/>
      <c r="H14" s="254"/>
      <c r="I14" s="261"/>
      <c r="J14" s="261"/>
      <c r="K14" s="261"/>
      <c r="L14" s="261"/>
      <c r="M14" s="261"/>
      <c r="N14" s="261"/>
      <c r="O14" s="261"/>
      <c r="P14" s="261"/>
      <c r="Q14" s="261"/>
      <c r="R14" s="261"/>
      <c r="S14" s="261"/>
      <c r="T14" s="261"/>
      <c r="U14" s="261"/>
      <c r="V14" s="261"/>
      <c r="W14" s="261"/>
      <c r="X14" s="261"/>
      <c r="Y14" s="261"/>
      <c r="Z14" s="261"/>
      <c r="AA14" s="261"/>
      <c r="AB14" s="261"/>
      <c r="AC14" s="261"/>
      <c r="AD14" s="261"/>
      <c r="AE14" s="261"/>
      <c r="AF14" s="261"/>
      <c r="AG14" s="261"/>
      <c r="AH14" s="261"/>
      <c r="AI14" s="261"/>
      <c r="AJ14" s="261"/>
      <c r="AK14" s="261"/>
      <c r="AL14" s="261"/>
      <c r="AM14" s="261"/>
      <c r="AN14" s="261"/>
      <c r="AO14" s="261"/>
      <c r="AP14" s="261"/>
      <c r="AQ14" s="261"/>
      <c r="AR14" s="261"/>
      <c r="AS14" s="261"/>
      <c r="AT14" s="261"/>
      <c r="AU14" s="261"/>
      <c r="AV14" s="261"/>
      <c r="AW14" s="261"/>
      <c r="AX14" s="261"/>
      <c r="AY14" s="261"/>
      <c r="AZ14" s="261"/>
      <c r="BA14" s="261"/>
      <c r="BB14" s="261"/>
      <c r="BC14" s="261"/>
      <c r="BD14" s="261"/>
      <c r="BE14" s="261"/>
      <c r="BF14" s="261"/>
      <c r="BG14" s="261"/>
      <c r="BH14" s="261"/>
      <c r="BI14" s="261"/>
      <c r="BJ14" s="261"/>
      <c r="BK14" s="261"/>
      <c r="BL14" s="261"/>
      <c r="BM14" s="261"/>
      <c r="BN14" s="261"/>
      <c r="BO14" s="261"/>
      <c r="BP14" s="261"/>
      <c r="BQ14" s="261"/>
      <c r="BR14" s="261"/>
      <c r="BS14" s="261"/>
      <c r="BT14" s="261"/>
      <c r="BU14" s="261"/>
      <c r="BV14" s="261"/>
      <c r="BW14" s="261"/>
      <c r="BX14" s="261"/>
      <c r="BY14" s="261"/>
      <c r="BZ14" s="261"/>
      <c r="CA14" s="261"/>
      <c r="CB14" s="261"/>
      <c r="CC14" s="261"/>
      <c r="CD14" s="261"/>
      <c r="CE14" s="261"/>
      <c r="CF14" s="261"/>
      <c r="CG14" s="261"/>
      <c r="CH14" s="261"/>
      <c r="CI14" s="261"/>
      <c r="CJ14" s="261"/>
      <c r="CK14" s="261"/>
      <c r="CL14" s="261"/>
      <c r="CM14" s="261"/>
      <c r="CN14" s="261"/>
      <c r="CO14" s="261"/>
      <c r="CP14" s="261"/>
      <c r="CQ14" s="261"/>
      <c r="CR14" s="261"/>
      <c r="CS14" s="261"/>
      <c r="CT14" s="261"/>
      <c r="CU14" s="261"/>
      <c r="CV14" s="261"/>
      <c r="CW14" s="261"/>
      <c r="CX14" s="261"/>
      <c r="CY14" s="261"/>
      <c r="CZ14" s="261"/>
      <c r="DA14" s="261"/>
      <c r="DB14" s="261"/>
      <c r="DC14" s="261"/>
      <c r="DD14" s="261"/>
      <c r="DE14" s="261"/>
      <c r="DF14" s="261"/>
      <c r="DG14" s="261"/>
      <c r="DH14" s="261"/>
      <c r="DI14" s="261"/>
      <c r="DJ14" s="261"/>
      <c r="DK14" s="261"/>
      <c r="DL14" s="261"/>
      <c r="DM14" s="261"/>
      <c r="DN14" s="261"/>
      <c r="DO14" s="261"/>
      <c r="DP14" s="261"/>
      <c r="DQ14" s="261"/>
      <c r="DR14" s="261"/>
      <c r="DS14" s="261"/>
      <c r="DT14" s="261"/>
      <c r="DU14" s="261"/>
      <c r="DV14" s="261"/>
      <c r="DW14" s="261"/>
      <c r="DX14" s="261"/>
      <c r="DY14" s="261"/>
      <c r="DZ14" s="261"/>
      <c r="EA14" s="261"/>
      <c r="EB14" s="261"/>
      <c r="EC14" s="261"/>
      <c r="ED14" s="261"/>
      <c r="EE14" s="261"/>
      <c r="EF14" s="261"/>
      <c r="EG14" s="261"/>
      <c r="EH14" s="261"/>
      <c r="EI14" s="261"/>
      <c r="EJ14" s="261"/>
      <c r="EK14" s="261"/>
      <c r="EL14" s="261"/>
      <c r="EM14" s="261"/>
      <c r="EN14" s="261"/>
      <c r="EO14" s="261"/>
      <c r="EP14" s="261"/>
      <c r="EQ14" s="261"/>
      <c r="ER14" s="261"/>
      <c r="ES14" s="261"/>
      <c r="ET14" s="261"/>
      <c r="EU14" s="261"/>
      <c r="EV14" s="261"/>
      <c r="EW14" s="261"/>
      <c r="EX14" s="261"/>
      <c r="EY14" s="261"/>
      <c r="EZ14" s="261"/>
      <c r="FA14" s="261"/>
      <c r="FB14" s="261"/>
      <c r="FC14" s="261"/>
      <c r="FD14" s="261"/>
      <c r="FE14" s="261"/>
      <c r="FF14" s="261"/>
      <c r="FG14" s="261"/>
      <c r="FH14" s="261"/>
      <c r="FI14" s="261"/>
      <c r="FJ14" s="261"/>
      <c r="FK14" s="261"/>
      <c r="FL14" s="261"/>
      <c r="FM14" s="261"/>
      <c r="FN14" s="261"/>
      <c r="FO14" s="261"/>
      <c r="FP14" s="261"/>
      <c r="FQ14" s="261"/>
      <c r="FR14" s="261"/>
      <c r="FS14" s="261"/>
      <c r="FT14" s="261"/>
      <c r="FU14" s="261"/>
      <c r="FV14" s="261"/>
      <c r="FW14" s="261"/>
      <c r="FX14" s="261"/>
      <c r="FY14" s="261"/>
      <c r="FZ14" s="261"/>
      <c r="GA14" s="261"/>
      <c r="GB14" s="261"/>
      <c r="GC14" s="261"/>
      <c r="GD14" s="261"/>
      <c r="GE14" s="261"/>
      <c r="GF14" s="261"/>
      <c r="GG14" s="261"/>
      <c r="GH14" s="261"/>
      <c r="GI14" s="261"/>
      <c r="GJ14" s="261"/>
      <c r="GK14" s="261"/>
      <c r="GL14" s="261"/>
      <c r="GM14" s="261"/>
      <c r="GN14" s="261"/>
      <c r="GO14" s="261"/>
      <c r="GP14" s="261"/>
      <c r="GQ14" s="261"/>
      <c r="GR14" s="261"/>
      <c r="GS14" s="261"/>
      <c r="GT14" s="261"/>
      <c r="GU14" s="261"/>
      <c r="GV14" s="261"/>
      <c r="GW14" s="261"/>
      <c r="GX14" s="261"/>
      <c r="GY14" s="261"/>
      <c r="GZ14" s="261"/>
      <c r="HA14" s="261"/>
      <c r="HB14" s="261"/>
      <c r="HC14" s="261"/>
      <c r="HD14" s="261"/>
      <c r="HE14" s="261"/>
      <c r="HF14" s="261"/>
      <c r="HG14" s="261"/>
      <c r="HH14" s="261"/>
      <c r="HI14" s="261"/>
      <c r="HJ14" s="261"/>
      <c r="HK14" s="261"/>
      <c r="HL14" s="261"/>
      <c r="HM14" s="261"/>
      <c r="HN14" s="261"/>
      <c r="HO14" s="261"/>
      <c r="HP14" s="261"/>
      <c r="HQ14" s="261"/>
      <c r="HR14" s="261"/>
      <c r="HS14" s="261"/>
      <c r="HT14" s="261"/>
      <c r="HU14" s="261"/>
      <c r="HV14" s="261"/>
      <c r="HW14" s="261"/>
      <c r="HX14" s="261"/>
      <c r="HY14" s="261"/>
      <c r="HZ14" s="261"/>
      <c r="IA14" s="261"/>
      <c r="IB14" s="261"/>
      <c r="IC14" s="261"/>
      <c r="ID14" s="261"/>
      <c r="IE14" s="261"/>
      <c r="IF14" s="261"/>
      <c r="IG14" s="261"/>
      <c r="IH14" s="261"/>
      <c r="II14" s="261"/>
      <c r="IJ14" s="261"/>
      <c r="IK14" s="261"/>
      <c r="IL14" s="261"/>
      <c r="IM14" s="261"/>
      <c r="IN14" s="261"/>
      <c r="IO14" s="261"/>
      <c r="IP14" s="261"/>
      <c r="IQ14" s="261"/>
      <c r="IR14" s="261"/>
      <c r="IS14" s="261"/>
      <c r="IT14" s="261"/>
      <c r="IU14" s="261"/>
      <c r="IV14" s="261"/>
    </row>
    <row r="15" spans="1:8">
      <c r="A15" s="242"/>
      <c r="B15" s="242"/>
      <c r="C15" s="235"/>
      <c r="D15" s="243" t="s">
        <v>1112</v>
      </c>
      <c r="E15" s="255">
        <f>SUM(E10:E13)</f>
        <v>0</v>
      </c>
      <c r="F15" s="256"/>
      <c r="G15" s="256">
        <f>SUM(G10:G14)</f>
        <v>0</v>
      </c>
      <c r="H15" s="256">
        <f>E15-G15</f>
        <v>0</v>
      </c>
    </row>
    <row r="16" spans="1:8">
      <c r="A16" s="242"/>
      <c r="B16" s="242"/>
      <c r="C16" s="235"/>
      <c r="D16" s="243" t="s">
        <v>1113</v>
      </c>
      <c r="E16" s="257">
        <f>E15/8</f>
        <v>0</v>
      </c>
      <c r="F16" s="258"/>
      <c r="G16" s="259">
        <f>G15/8</f>
        <v>0</v>
      </c>
      <c r="H16" s="259">
        <f>H15/8</f>
        <v>0</v>
      </c>
    </row>
    <row r="17" spans="2:3">
      <c r="B17" s="244"/>
      <c r="C17" s="244"/>
    </row>
  </sheetData>
  <mergeCells count="11">
    <mergeCell ref="A1:E1"/>
    <mergeCell ref="A2:E2"/>
    <mergeCell ref="B17:C17"/>
    <mergeCell ref="A8:A9"/>
    <mergeCell ref="B8:B9"/>
    <mergeCell ref="C8:C9"/>
    <mergeCell ref="D8:D9"/>
    <mergeCell ref="E8:E9"/>
    <mergeCell ref="F8:F9"/>
    <mergeCell ref="G8:G9"/>
    <mergeCell ref="H8:H9"/>
  </mergeCells>
  <dataValidations count="6">
    <dataValidation type="list" allowBlank="1" showInputMessage="1" showErrorMessage="1" sqref="IK10:IK14 IK65425:IK65536">
      <formula1>"Đơn giản, Trung bình, Phức tạp, &gt;Phức tạp"</formula1>
    </dataValidation>
    <dataValidation type="list" allowBlank="1" showInputMessage="1" showErrorMessage="1" sqref="IH65424:II65424">
      <formula1>DS_LCN</formula1>
    </dataValidation>
    <dataValidation type="list" allowBlank="1" showInputMessage="1" showErrorMessage="1" sqref="IH10:IH14 IH65425:IH65536">
      <formula1>"WFW, PHP, Tiến trình, Mobile Client"</formula1>
    </dataValidation>
    <dataValidation type="list" allowBlank="1" showInputMessage="1" showErrorMessage="1" sqref="F10:F14">
      <formula1>"Có, Không"</formula1>
    </dataValidation>
    <dataValidation type="list" allowBlank="1" showInputMessage="1" showErrorMessage="1" sqref="IK65424">
      <formula1>DPT</formula1>
    </dataValidation>
    <dataValidation type="list" allowBlank="1" showInputMessage="1" showErrorMessage="1" sqref="II10:II14 II65425:II65536">
      <formula1>LOAI_CN</formula1>
    </dataValidation>
  </dataValidations>
  <pageMargins left="0.7" right="0.7" top="0.75" bottom="0.75" header="0.3" footer="0.3"/>
  <pageSetup paperSize="1" scale="90" orientation="landscape"/>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92D050"/>
  </sheetPr>
  <dimension ref="A1:M92"/>
  <sheetViews>
    <sheetView view="pageBreakPreview" zoomScale="70" zoomScaleNormal="70" workbookViewId="0">
      <selection activeCell="F104" sqref="F104"/>
    </sheetView>
  </sheetViews>
  <sheetFormatPr defaultColWidth="9" defaultRowHeight="14.25"/>
  <cols>
    <col min="1" max="1" width="6.28571428571429" style="202" customWidth="1"/>
    <col min="2" max="2" width="32.2857142857143" style="203" customWidth="1"/>
    <col min="3" max="3" width="54.8571428571429" style="204" customWidth="1"/>
    <col min="4" max="4" width="27.4285714285714" style="203" customWidth="1"/>
    <col min="5" max="5" width="57.8571428571429" style="203" customWidth="1"/>
    <col min="6" max="6" width="61.8571428571429" style="203" customWidth="1"/>
    <col min="7" max="7" width="18.8571428571429" style="203" customWidth="1"/>
    <col min="8" max="16384" width="9.14285714285714" style="203"/>
  </cols>
  <sheetData>
    <row r="1" s="113" customFormat="1" ht="45.75" customHeight="1" spans="1:6">
      <c r="A1" s="21" t="s">
        <v>1114</v>
      </c>
      <c r="B1" s="21"/>
      <c r="C1" s="21"/>
      <c r="D1" s="21"/>
      <c r="E1" s="21"/>
      <c r="F1" s="21"/>
    </row>
    <row r="3" s="199" customFormat="1" ht="15" spans="1:7">
      <c r="A3" s="205" t="s">
        <v>34</v>
      </c>
      <c r="B3" s="206" t="s">
        <v>73</v>
      </c>
      <c r="C3" s="206" t="s">
        <v>74</v>
      </c>
      <c r="D3" s="205" t="s">
        <v>75</v>
      </c>
      <c r="E3" s="206" t="s">
        <v>76</v>
      </c>
      <c r="F3" s="205" t="s">
        <v>77</v>
      </c>
      <c r="G3" s="213"/>
    </row>
    <row r="4" s="200" customFormat="1" ht="29.25" customHeight="1" spans="1:7">
      <c r="A4" s="205" t="s">
        <v>34</v>
      </c>
      <c r="B4" s="206"/>
      <c r="C4" s="206"/>
      <c r="D4" s="205"/>
      <c r="E4" s="205"/>
      <c r="F4" s="205"/>
      <c r="G4" s="214"/>
    </row>
    <row r="5" s="201" customFormat="1" ht="30" spans="1:7">
      <c r="A5" s="207">
        <v>1</v>
      </c>
      <c r="B5" s="176" t="s">
        <v>78</v>
      </c>
      <c r="C5" s="184" t="s">
        <v>79</v>
      </c>
      <c r="D5" s="176" t="s">
        <v>80</v>
      </c>
      <c r="E5" s="184" t="s">
        <v>81</v>
      </c>
      <c r="F5" s="184" t="s">
        <v>82</v>
      </c>
      <c r="G5" s="215"/>
    </row>
    <row r="6" s="201" customFormat="1" ht="15" spans="1:7">
      <c r="A6" s="207">
        <v>2</v>
      </c>
      <c r="B6" s="176" t="s">
        <v>83</v>
      </c>
      <c r="C6" s="184" t="s">
        <v>84</v>
      </c>
      <c r="D6" s="176" t="s">
        <v>80</v>
      </c>
      <c r="E6" s="176" t="s">
        <v>85</v>
      </c>
      <c r="F6" s="176" t="s">
        <v>86</v>
      </c>
      <c r="G6" s="215"/>
    </row>
    <row r="7" s="201" customFormat="1" ht="15" spans="1:7">
      <c r="A7" s="207">
        <v>3</v>
      </c>
      <c r="B7" s="176" t="s">
        <v>87</v>
      </c>
      <c r="C7" s="184" t="s">
        <v>88</v>
      </c>
      <c r="D7" s="176" t="s">
        <v>80</v>
      </c>
      <c r="E7" s="176" t="s">
        <v>89</v>
      </c>
      <c r="F7" s="176" t="s">
        <v>90</v>
      </c>
      <c r="G7" s="215"/>
    </row>
    <row r="8" ht="30" spans="1:7">
      <c r="A8" s="207">
        <v>4</v>
      </c>
      <c r="B8" s="176" t="s">
        <v>91</v>
      </c>
      <c r="C8" s="176" t="s">
        <v>92</v>
      </c>
      <c r="D8" s="176" t="s">
        <v>93</v>
      </c>
      <c r="E8" s="184" t="s">
        <v>94</v>
      </c>
      <c r="F8" s="176"/>
      <c r="G8" s="216"/>
    </row>
    <row r="9" ht="30" hidden="1" spans="1:7">
      <c r="A9" s="207">
        <v>5</v>
      </c>
      <c r="B9" s="176" t="s">
        <v>95</v>
      </c>
      <c r="C9" s="184" t="s">
        <v>96</v>
      </c>
      <c r="D9" s="176" t="s">
        <v>93</v>
      </c>
      <c r="E9" s="184" t="s">
        <v>97</v>
      </c>
      <c r="F9" s="184" t="s">
        <v>82</v>
      </c>
      <c r="G9" s="216"/>
    </row>
    <row r="10" ht="15" hidden="1" spans="1:7">
      <c r="A10" s="207">
        <v>6</v>
      </c>
      <c r="B10" s="176" t="s">
        <v>98</v>
      </c>
      <c r="C10" s="184" t="s">
        <v>99</v>
      </c>
      <c r="D10" s="176" t="s">
        <v>93</v>
      </c>
      <c r="E10" s="176" t="s">
        <v>100</v>
      </c>
      <c r="F10" s="176" t="s">
        <v>101</v>
      </c>
      <c r="G10" s="216"/>
    </row>
    <row r="11" ht="15" hidden="1" spans="1:7">
      <c r="A11" s="207">
        <v>7</v>
      </c>
      <c r="B11" s="176" t="s">
        <v>102</v>
      </c>
      <c r="C11" s="184" t="s">
        <v>103</v>
      </c>
      <c r="D11" s="176" t="s">
        <v>93</v>
      </c>
      <c r="E11" s="176" t="s">
        <v>104</v>
      </c>
      <c r="F11" s="176" t="s">
        <v>105</v>
      </c>
      <c r="G11" s="216"/>
    </row>
    <row r="12" ht="30" hidden="1" spans="1:7">
      <c r="A12" s="207">
        <v>8</v>
      </c>
      <c r="B12" s="176" t="s">
        <v>106</v>
      </c>
      <c r="C12" s="184" t="s">
        <v>107</v>
      </c>
      <c r="D12" s="184" t="s">
        <v>108</v>
      </c>
      <c r="E12" s="184" t="s">
        <v>109</v>
      </c>
      <c r="F12" s="184" t="s">
        <v>110</v>
      </c>
      <c r="G12" s="216"/>
    </row>
    <row r="13" ht="30" hidden="1" spans="1:7">
      <c r="A13" s="207">
        <v>9</v>
      </c>
      <c r="B13" s="176" t="s">
        <v>111</v>
      </c>
      <c r="C13" s="184" t="s">
        <v>112</v>
      </c>
      <c r="D13" s="184" t="s">
        <v>108</v>
      </c>
      <c r="E13" s="184" t="s">
        <v>113</v>
      </c>
      <c r="F13" s="184"/>
      <c r="G13" s="216"/>
    </row>
    <row r="14" ht="15" hidden="1" spans="1:7">
      <c r="A14" s="207">
        <v>10</v>
      </c>
      <c r="B14" s="176" t="s">
        <v>114</v>
      </c>
      <c r="C14" s="184" t="s">
        <v>115</v>
      </c>
      <c r="D14" s="184" t="s">
        <v>108</v>
      </c>
      <c r="E14" s="184" t="s">
        <v>116</v>
      </c>
      <c r="F14" s="184"/>
      <c r="G14" s="216"/>
    </row>
    <row r="15" ht="15" hidden="1" spans="1:7">
      <c r="A15" s="207">
        <v>11</v>
      </c>
      <c r="B15" s="155" t="s">
        <v>117</v>
      </c>
      <c r="C15" s="184" t="s">
        <v>118</v>
      </c>
      <c r="D15" s="176" t="s">
        <v>80</v>
      </c>
      <c r="E15" s="176" t="s">
        <v>119</v>
      </c>
      <c r="F15" s="155"/>
      <c r="G15" s="216"/>
    </row>
    <row r="16" ht="15" hidden="1" spans="1:7">
      <c r="A16" s="207">
        <v>12</v>
      </c>
      <c r="B16" s="155" t="s">
        <v>120</v>
      </c>
      <c r="C16" s="184" t="s">
        <v>121</v>
      </c>
      <c r="D16" s="176" t="s">
        <v>80</v>
      </c>
      <c r="E16" s="176" t="s">
        <v>122</v>
      </c>
      <c r="F16" s="155"/>
      <c r="G16" s="216"/>
    </row>
    <row r="17" ht="15" hidden="1" spans="1:7">
      <c r="A17" s="207">
        <v>13</v>
      </c>
      <c r="B17" s="155" t="s">
        <v>123</v>
      </c>
      <c r="C17" s="184" t="s">
        <v>124</v>
      </c>
      <c r="D17" s="176" t="s">
        <v>80</v>
      </c>
      <c r="E17" s="176" t="s">
        <v>89</v>
      </c>
      <c r="F17" s="155"/>
      <c r="G17" s="216"/>
    </row>
    <row r="18" ht="15" hidden="1" spans="1:7">
      <c r="A18" s="207">
        <v>14</v>
      </c>
      <c r="B18" s="155" t="s">
        <v>125</v>
      </c>
      <c r="C18" s="156" t="s">
        <v>126</v>
      </c>
      <c r="D18" s="176" t="s">
        <v>80</v>
      </c>
      <c r="E18" s="156" t="s">
        <v>127</v>
      </c>
      <c r="F18" s="155"/>
      <c r="G18" s="216"/>
    </row>
    <row r="19" ht="15" hidden="1" spans="1:7">
      <c r="A19" s="207">
        <v>15</v>
      </c>
      <c r="B19" s="155" t="s">
        <v>128</v>
      </c>
      <c r="C19" s="156" t="s">
        <v>129</v>
      </c>
      <c r="D19" s="176" t="s">
        <v>80</v>
      </c>
      <c r="E19" s="156" t="s">
        <v>130</v>
      </c>
      <c r="F19" s="155"/>
      <c r="G19" s="216"/>
    </row>
    <row r="20" ht="15" hidden="1" spans="1:7">
      <c r="A20" s="207">
        <v>16</v>
      </c>
      <c r="B20" s="155" t="s">
        <v>131</v>
      </c>
      <c r="C20" s="156" t="s">
        <v>129</v>
      </c>
      <c r="D20" s="176" t="s">
        <v>80</v>
      </c>
      <c r="E20" s="156" t="s">
        <v>132</v>
      </c>
      <c r="F20" s="155"/>
      <c r="G20" s="216"/>
    </row>
    <row r="21" ht="15" hidden="1" spans="1:7">
      <c r="A21" s="207">
        <v>17</v>
      </c>
      <c r="B21" s="155" t="s">
        <v>133</v>
      </c>
      <c r="C21" s="156" t="s">
        <v>138</v>
      </c>
      <c r="D21" s="184" t="s">
        <v>135</v>
      </c>
      <c r="E21" s="155" t="s">
        <v>136</v>
      </c>
      <c r="F21" s="155"/>
      <c r="G21" s="216"/>
    </row>
    <row r="22" ht="15" hidden="1" spans="1:7">
      <c r="A22" s="207">
        <v>18</v>
      </c>
      <c r="B22" s="155" t="s">
        <v>137</v>
      </c>
      <c r="C22" s="156" t="s">
        <v>134</v>
      </c>
      <c r="D22" s="184" t="s">
        <v>135</v>
      </c>
      <c r="E22" s="155" t="s">
        <v>139</v>
      </c>
      <c r="F22" s="155"/>
      <c r="G22" s="216"/>
    </row>
    <row r="23" ht="15" hidden="1" spans="1:7">
      <c r="A23" s="207">
        <v>19</v>
      </c>
      <c r="B23" s="155" t="s">
        <v>140</v>
      </c>
      <c r="C23" s="156" t="s">
        <v>141</v>
      </c>
      <c r="D23" s="184" t="s">
        <v>135</v>
      </c>
      <c r="E23" s="155" t="s">
        <v>142</v>
      </c>
      <c r="F23" s="155"/>
      <c r="G23" s="216"/>
    </row>
    <row r="24" s="162" customFormat="1" ht="120" hidden="1" spans="1:13">
      <c r="A24" s="207">
        <v>20</v>
      </c>
      <c r="B24" s="152" t="s">
        <v>143</v>
      </c>
      <c r="C24" s="152" t="s">
        <v>144</v>
      </c>
      <c r="D24" s="208" t="s">
        <v>1115</v>
      </c>
      <c r="E24" s="208" t="s">
        <v>1116</v>
      </c>
      <c r="F24" s="152" t="s">
        <v>1117</v>
      </c>
      <c r="G24" s="217"/>
      <c r="I24" s="220"/>
      <c r="J24" s="220"/>
      <c r="K24" s="220"/>
      <c r="L24" s="220"/>
      <c r="M24" s="220"/>
    </row>
    <row r="25" s="148" customFormat="1" ht="90" hidden="1" spans="1:13">
      <c r="A25" s="207">
        <v>21</v>
      </c>
      <c r="B25" s="152" t="s">
        <v>146</v>
      </c>
      <c r="C25" s="152" t="s">
        <v>147</v>
      </c>
      <c r="D25" s="208" t="s">
        <v>1115</v>
      </c>
      <c r="E25" s="209" t="s">
        <v>1118</v>
      </c>
      <c r="F25" s="184" t="s">
        <v>1117</v>
      </c>
      <c r="G25" s="217"/>
      <c r="I25" s="221"/>
      <c r="J25" s="221"/>
      <c r="K25" s="221"/>
      <c r="L25" s="221"/>
      <c r="M25" s="221"/>
    </row>
    <row r="26" s="148" customFormat="1" ht="105" hidden="1" spans="1:13">
      <c r="A26" s="207">
        <v>22</v>
      </c>
      <c r="B26" s="184" t="s">
        <v>1119</v>
      </c>
      <c r="C26" s="184" t="s">
        <v>144</v>
      </c>
      <c r="D26" s="209" t="s">
        <v>1115</v>
      </c>
      <c r="E26" s="209" t="s">
        <v>1120</v>
      </c>
      <c r="F26" s="184" t="s">
        <v>1117</v>
      </c>
      <c r="G26" s="217"/>
      <c r="I26" s="221"/>
      <c r="J26" s="221"/>
      <c r="K26" s="221"/>
      <c r="L26" s="221"/>
      <c r="M26" s="221"/>
    </row>
    <row r="27" s="148" customFormat="1" ht="90" hidden="1" spans="1:13">
      <c r="A27" s="207">
        <v>23</v>
      </c>
      <c r="B27" s="152" t="s">
        <v>1121</v>
      </c>
      <c r="C27" s="152" t="s">
        <v>1122</v>
      </c>
      <c r="D27" s="208" t="s">
        <v>1115</v>
      </c>
      <c r="E27" s="209" t="s">
        <v>1118</v>
      </c>
      <c r="F27" s="184" t="s">
        <v>1117</v>
      </c>
      <c r="G27" s="217"/>
      <c r="I27" s="221"/>
      <c r="J27" s="221"/>
      <c r="K27" s="221"/>
      <c r="L27" s="221"/>
      <c r="M27" s="221"/>
    </row>
    <row r="28" s="148" customFormat="1" ht="90" hidden="1" spans="1:13">
      <c r="A28" s="207">
        <v>24</v>
      </c>
      <c r="B28" s="184" t="s">
        <v>1123</v>
      </c>
      <c r="C28" s="184" t="s">
        <v>149</v>
      </c>
      <c r="D28" s="209" t="s">
        <v>1115</v>
      </c>
      <c r="E28" s="209" t="s">
        <v>1124</v>
      </c>
      <c r="F28" s="184" t="s">
        <v>1117</v>
      </c>
      <c r="G28" s="217"/>
      <c r="I28" s="221"/>
      <c r="J28" s="221"/>
      <c r="K28" s="221"/>
      <c r="L28" s="221"/>
      <c r="M28" s="221"/>
    </row>
    <row r="29" s="148" customFormat="1" ht="90" hidden="1" spans="1:13">
      <c r="A29" s="207">
        <v>25</v>
      </c>
      <c r="B29" s="152" t="s">
        <v>148</v>
      </c>
      <c r="C29" s="152" t="s">
        <v>149</v>
      </c>
      <c r="D29" s="208" t="s">
        <v>1115</v>
      </c>
      <c r="E29" s="209" t="s">
        <v>1124</v>
      </c>
      <c r="F29" s="184" t="s">
        <v>1117</v>
      </c>
      <c r="G29" s="217"/>
      <c r="I29" s="221"/>
      <c r="J29" s="221"/>
      <c r="K29" s="221"/>
      <c r="L29" s="221"/>
      <c r="M29" s="221"/>
    </row>
    <row r="30" s="162" customFormat="1" ht="30" hidden="1" spans="1:13">
      <c r="A30" s="207">
        <v>26</v>
      </c>
      <c r="B30" s="210" t="s">
        <v>150</v>
      </c>
      <c r="C30" s="152" t="s">
        <v>151</v>
      </c>
      <c r="D30" s="208" t="s">
        <v>1115</v>
      </c>
      <c r="E30" s="208" t="s">
        <v>81</v>
      </c>
      <c r="F30" s="152"/>
      <c r="G30" s="217"/>
      <c r="I30" s="220"/>
      <c r="J30" s="220"/>
      <c r="K30" s="220"/>
      <c r="L30" s="220"/>
      <c r="M30" s="220"/>
    </row>
    <row r="31" s="162" customFormat="1" ht="15" hidden="1" spans="1:13">
      <c r="A31" s="207">
        <v>27</v>
      </c>
      <c r="B31" s="210" t="s">
        <v>152</v>
      </c>
      <c r="C31" s="152" t="s">
        <v>153</v>
      </c>
      <c r="D31" s="208" t="s">
        <v>1115</v>
      </c>
      <c r="E31" s="208" t="s">
        <v>85</v>
      </c>
      <c r="F31" s="152"/>
      <c r="G31" s="217"/>
      <c r="I31" s="220"/>
      <c r="J31" s="220"/>
      <c r="K31" s="220"/>
      <c r="L31" s="220"/>
      <c r="M31" s="220"/>
    </row>
    <row r="32" s="162" customFormat="1" ht="15" hidden="1" spans="1:13">
      <c r="A32" s="207">
        <v>28</v>
      </c>
      <c r="B32" s="210" t="s">
        <v>154</v>
      </c>
      <c r="C32" s="152" t="s">
        <v>155</v>
      </c>
      <c r="D32" s="208" t="s">
        <v>1115</v>
      </c>
      <c r="E32" s="208" t="s">
        <v>89</v>
      </c>
      <c r="F32" s="152"/>
      <c r="G32" s="217"/>
      <c r="I32" s="220"/>
      <c r="J32" s="220"/>
      <c r="K32" s="220"/>
      <c r="L32" s="220"/>
      <c r="M32" s="220"/>
    </row>
    <row r="33" ht="15" hidden="1" spans="1:7">
      <c r="A33" s="207">
        <v>29</v>
      </c>
      <c r="B33" s="155" t="s">
        <v>156</v>
      </c>
      <c r="C33" s="156" t="s">
        <v>157</v>
      </c>
      <c r="D33" s="155" t="s">
        <v>158</v>
      </c>
      <c r="E33" s="156" t="s">
        <v>159</v>
      </c>
      <c r="F33" s="155" t="s">
        <v>160</v>
      </c>
      <c r="G33" s="216"/>
    </row>
    <row r="34" ht="30" hidden="1" spans="1:7">
      <c r="A34" s="207">
        <v>30</v>
      </c>
      <c r="B34" s="155" t="s">
        <v>161</v>
      </c>
      <c r="C34" s="156" t="s">
        <v>162</v>
      </c>
      <c r="D34" s="155" t="s">
        <v>158</v>
      </c>
      <c r="E34" s="156" t="s">
        <v>163</v>
      </c>
      <c r="F34" s="155" t="s">
        <v>164</v>
      </c>
      <c r="G34" s="216"/>
    </row>
    <row r="35" ht="30" spans="1:7">
      <c r="A35" s="207">
        <v>31</v>
      </c>
      <c r="B35" s="155" t="s">
        <v>165</v>
      </c>
      <c r="C35" s="156" t="s">
        <v>166</v>
      </c>
      <c r="D35" s="176" t="s">
        <v>93</v>
      </c>
      <c r="E35" s="184" t="s">
        <v>167</v>
      </c>
      <c r="F35" s="155"/>
      <c r="G35" s="216"/>
    </row>
    <row r="36" ht="15" spans="1:7">
      <c r="A36" s="207">
        <v>32</v>
      </c>
      <c r="B36" s="155" t="s">
        <v>168</v>
      </c>
      <c r="C36" s="156" t="s">
        <v>169</v>
      </c>
      <c r="D36" s="176" t="s">
        <v>93</v>
      </c>
      <c r="E36" s="176" t="s">
        <v>100</v>
      </c>
      <c r="F36" s="155"/>
      <c r="G36" s="216"/>
    </row>
    <row r="37" ht="15" spans="1:7">
      <c r="A37" s="207">
        <v>33</v>
      </c>
      <c r="B37" s="155" t="s">
        <v>170</v>
      </c>
      <c r="C37" s="156" t="s">
        <v>171</v>
      </c>
      <c r="D37" s="176" t="s">
        <v>93</v>
      </c>
      <c r="E37" s="176" t="s">
        <v>172</v>
      </c>
      <c r="F37" s="155"/>
      <c r="G37" s="216"/>
    </row>
    <row r="38" customFormat="1" ht="15" hidden="1" spans="1:13">
      <c r="A38" s="207">
        <v>34</v>
      </c>
      <c r="B38" s="155" t="s">
        <v>207</v>
      </c>
      <c r="C38" s="155" t="s">
        <v>208</v>
      </c>
      <c r="D38" s="155" t="s">
        <v>267</v>
      </c>
      <c r="E38" s="155" t="s">
        <v>119</v>
      </c>
      <c r="F38" s="155"/>
      <c r="G38" s="218"/>
      <c r="I38" s="222"/>
      <c r="J38" s="222"/>
      <c r="K38" s="222"/>
      <c r="L38" s="222"/>
      <c r="M38" s="222"/>
    </row>
    <row r="39" ht="15" hidden="1" spans="1:6">
      <c r="A39" s="207">
        <v>35</v>
      </c>
      <c r="B39" s="155" t="s">
        <v>209</v>
      </c>
      <c r="C39" s="155" t="s">
        <v>210</v>
      </c>
      <c r="D39" s="155" t="s">
        <v>267</v>
      </c>
      <c r="E39" s="155" t="s">
        <v>122</v>
      </c>
      <c r="F39" s="155"/>
    </row>
    <row r="40" ht="15" hidden="1" spans="1:6">
      <c r="A40" s="207">
        <v>36</v>
      </c>
      <c r="B40" s="155" t="s">
        <v>211</v>
      </c>
      <c r="C40" s="155" t="s">
        <v>212</v>
      </c>
      <c r="D40" s="155" t="s">
        <v>267</v>
      </c>
      <c r="E40" s="155" t="s">
        <v>89</v>
      </c>
      <c r="F40" s="155"/>
    </row>
    <row r="41" ht="15" hidden="1" spans="1:6">
      <c r="A41" s="207">
        <v>37</v>
      </c>
      <c r="B41" s="176" t="s">
        <v>1125</v>
      </c>
      <c r="C41" s="211" t="s">
        <v>1126</v>
      </c>
      <c r="D41" s="176" t="s">
        <v>1127</v>
      </c>
      <c r="E41" s="176" t="s">
        <v>1128</v>
      </c>
      <c r="F41" s="176"/>
    </row>
    <row r="42" ht="15" hidden="1" spans="1:6">
      <c r="A42" s="207">
        <v>38</v>
      </c>
      <c r="B42" s="176" t="s">
        <v>1129</v>
      </c>
      <c r="C42" s="211" t="s">
        <v>1130</v>
      </c>
      <c r="D42" s="176" t="s">
        <v>1127</v>
      </c>
      <c r="E42" s="176" t="s">
        <v>1131</v>
      </c>
      <c r="F42" s="176"/>
    </row>
    <row r="43" ht="15" hidden="1" spans="1:6">
      <c r="A43" s="207">
        <v>39</v>
      </c>
      <c r="B43" s="176" t="s">
        <v>1132</v>
      </c>
      <c r="C43" s="211" t="s">
        <v>1133</v>
      </c>
      <c r="D43" s="176" t="s">
        <v>1127</v>
      </c>
      <c r="E43" s="176" t="s">
        <v>1134</v>
      </c>
      <c r="F43" s="176"/>
    </row>
    <row r="44" ht="15" hidden="1" spans="1:6">
      <c r="A44" s="207">
        <v>40</v>
      </c>
      <c r="B44" s="145" t="s">
        <v>1135</v>
      </c>
      <c r="C44" s="176" t="s">
        <v>1136</v>
      </c>
      <c r="D44" s="176" t="s">
        <v>1137</v>
      </c>
      <c r="E44" s="219" t="s">
        <v>1138</v>
      </c>
      <c r="F44" s="176"/>
    </row>
    <row r="45" ht="15" hidden="1" spans="1:6">
      <c r="A45" s="207">
        <v>41</v>
      </c>
      <c r="B45" s="145" t="s">
        <v>1139</v>
      </c>
      <c r="C45" s="176" t="s">
        <v>1140</v>
      </c>
      <c r="D45" s="176" t="s">
        <v>1137</v>
      </c>
      <c r="E45" s="219" t="s">
        <v>1141</v>
      </c>
      <c r="F45" s="176"/>
    </row>
    <row r="46" ht="15" hidden="1" spans="1:6">
      <c r="A46" s="207">
        <v>42</v>
      </c>
      <c r="B46" s="145" t="s">
        <v>1142</v>
      </c>
      <c r="C46" s="176" t="s">
        <v>1143</v>
      </c>
      <c r="D46" s="176" t="s">
        <v>1137</v>
      </c>
      <c r="E46" s="219" t="s">
        <v>1144</v>
      </c>
      <c r="F46" s="176"/>
    </row>
    <row r="47" ht="15" hidden="1" spans="1:6">
      <c r="A47" s="207">
        <v>43</v>
      </c>
      <c r="B47" s="145" t="s">
        <v>1145</v>
      </c>
      <c r="C47" s="176" t="s">
        <v>1146</v>
      </c>
      <c r="D47" s="176" t="s">
        <v>1137</v>
      </c>
      <c r="E47" s="219" t="s">
        <v>1147</v>
      </c>
      <c r="F47" s="176"/>
    </row>
    <row r="48" ht="15" hidden="1" spans="1:6">
      <c r="A48" s="207">
        <v>44</v>
      </c>
      <c r="B48" s="145" t="s">
        <v>1148</v>
      </c>
      <c r="C48" s="176" t="s">
        <v>1149</v>
      </c>
      <c r="D48" s="176" t="s">
        <v>1137</v>
      </c>
      <c r="E48" s="219" t="s">
        <v>1150</v>
      </c>
      <c r="F48" s="176"/>
    </row>
    <row r="49" ht="15" hidden="1" spans="1:6">
      <c r="A49" s="207">
        <v>45</v>
      </c>
      <c r="B49" s="145" t="s">
        <v>1151</v>
      </c>
      <c r="C49" s="176" t="s">
        <v>1152</v>
      </c>
      <c r="D49" s="176" t="s">
        <v>1137</v>
      </c>
      <c r="E49" s="219" t="s">
        <v>1153</v>
      </c>
      <c r="F49" s="176"/>
    </row>
    <row r="50" ht="15" hidden="1" spans="1:6">
      <c r="A50" s="207">
        <v>46</v>
      </c>
      <c r="B50" s="145" t="s">
        <v>1154</v>
      </c>
      <c r="C50" s="176" t="s">
        <v>1155</v>
      </c>
      <c r="D50" s="176" t="s">
        <v>1137</v>
      </c>
      <c r="E50" s="219" t="s">
        <v>1156</v>
      </c>
      <c r="F50" s="176"/>
    </row>
    <row r="51" ht="15" hidden="1" spans="1:6">
      <c r="A51" s="207">
        <v>47</v>
      </c>
      <c r="B51" s="145" t="s">
        <v>1157</v>
      </c>
      <c r="C51" s="176" t="s">
        <v>1158</v>
      </c>
      <c r="D51" s="176" t="s">
        <v>1137</v>
      </c>
      <c r="E51" s="219" t="s">
        <v>1159</v>
      </c>
      <c r="F51" s="176"/>
    </row>
    <row r="52" ht="30" hidden="1" spans="1:6">
      <c r="A52" s="207">
        <v>48</v>
      </c>
      <c r="B52" s="145" t="s">
        <v>1160</v>
      </c>
      <c r="C52" s="176" t="s">
        <v>1161</v>
      </c>
      <c r="D52" s="176" t="s">
        <v>1137</v>
      </c>
      <c r="E52" s="219" t="s">
        <v>1162</v>
      </c>
      <c r="F52" s="176"/>
    </row>
    <row r="53" ht="30" hidden="1" spans="1:6">
      <c r="A53" s="207">
        <v>49</v>
      </c>
      <c r="B53" s="145" t="s">
        <v>1163</v>
      </c>
      <c r="C53" s="184" t="s">
        <v>1164</v>
      </c>
      <c r="D53" s="176" t="s">
        <v>1165</v>
      </c>
      <c r="E53" s="219" t="s">
        <v>1166</v>
      </c>
      <c r="F53" s="176"/>
    </row>
    <row r="54" ht="30" hidden="1" spans="1:6">
      <c r="A54" s="207">
        <v>50</v>
      </c>
      <c r="B54" s="145" t="s">
        <v>1167</v>
      </c>
      <c r="C54" s="184" t="s">
        <v>1168</v>
      </c>
      <c r="D54" s="176" t="s">
        <v>1165</v>
      </c>
      <c r="E54" s="219" t="s">
        <v>1169</v>
      </c>
      <c r="F54" s="176"/>
    </row>
    <row r="55" ht="30" hidden="1" spans="1:6">
      <c r="A55" s="207">
        <v>51</v>
      </c>
      <c r="B55" s="145" t="s">
        <v>1170</v>
      </c>
      <c r="C55" s="184" t="s">
        <v>1171</v>
      </c>
      <c r="D55" s="176" t="s">
        <v>1165</v>
      </c>
      <c r="E55" s="219" t="s">
        <v>1172</v>
      </c>
      <c r="F55" s="176"/>
    </row>
    <row r="56" ht="15" hidden="1" spans="1:6">
      <c r="A56" s="207">
        <v>52</v>
      </c>
      <c r="B56" s="27" t="s">
        <v>1173</v>
      </c>
      <c r="C56" s="27" t="s">
        <v>1174</v>
      </c>
      <c r="D56" s="27" t="s">
        <v>1175</v>
      </c>
      <c r="E56" s="27" t="s">
        <v>1176</v>
      </c>
      <c r="F56" s="176"/>
    </row>
    <row r="57" ht="30" hidden="1" spans="1:6">
      <c r="A57" s="207">
        <v>53</v>
      </c>
      <c r="B57" s="27" t="s">
        <v>1177</v>
      </c>
      <c r="C57" s="27" t="s">
        <v>1178</v>
      </c>
      <c r="D57" s="27" t="s">
        <v>1175</v>
      </c>
      <c r="E57" s="27" t="s">
        <v>1179</v>
      </c>
      <c r="F57" s="176"/>
    </row>
    <row r="58" ht="30" hidden="1" spans="1:6">
      <c r="A58" s="207">
        <v>54</v>
      </c>
      <c r="B58" s="27" t="s">
        <v>1180</v>
      </c>
      <c r="C58" s="27" t="s">
        <v>1181</v>
      </c>
      <c r="D58" s="27" t="s">
        <v>1175</v>
      </c>
      <c r="E58" s="27" t="s">
        <v>1182</v>
      </c>
      <c r="F58" s="176" t="s">
        <v>1183</v>
      </c>
    </row>
    <row r="59" ht="30" hidden="1" spans="1:6">
      <c r="A59" s="207">
        <v>55</v>
      </c>
      <c r="B59" s="212" t="s">
        <v>1184</v>
      </c>
      <c r="C59" s="212" t="s">
        <v>1185</v>
      </c>
      <c r="D59" s="212" t="s">
        <v>1186</v>
      </c>
      <c r="E59" s="212" t="s">
        <v>1187</v>
      </c>
      <c r="F59" s="212" t="s">
        <v>1188</v>
      </c>
    </row>
    <row r="60" ht="30" hidden="1" spans="1:6">
      <c r="A60" s="207">
        <v>56</v>
      </c>
      <c r="B60" s="212" t="s">
        <v>1189</v>
      </c>
      <c r="C60" s="212" t="s">
        <v>1190</v>
      </c>
      <c r="D60" s="212" t="s">
        <v>1186</v>
      </c>
      <c r="E60" s="212" t="s">
        <v>1191</v>
      </c>
      <c r="F60" s="212"/>
    </row>
    <row r="61" ht="30" hidden="1" spans="1:6">
      <c r="A61" s="207">
        <v>57</v>
      </c>
      <c r="B61" s="212" t="s">
        <v>1192</v>
      </c>
      <c r="C61" s="212" t="s">
        <v>1193</v>
      </c>
      <c r="D61" s="212" t="s">
        <v>1186</v>
      </c>
      <c r="E61" s="212" t="s">
        <v>1194</v>
      </c>
      <c r="F61" s="212"/>
    </row>
    <row r="62" ht="15" hidden="1" spans="1:6">
      <c r="A62" s="207">
        <v>58</v>
      </c>
      <c r="B62" s="212" t="s">
        <v>1195</v>
      </c>
      <c r="C62" s="212" t="s">
        <v>1196</v>
      </c>
      <c r="D62" s="212" t="s">
        <v>1197</v>
      </c>
      <c r="E62" s="212" t="s">
        <v>1198</v>
      </c>
      <c r="F62" s="212" t="s">
        <v>1199</v>
      </c>
    </row>
    <row r="63" ht="30" hidden="1" spans="1:6">
      <c r="A63" s="207">
        <v>59</v>
      </c>
      <c r="B63" s="212" t="s">
        <v>1200</v>
      </c>
      <c r="C63" s="212" t="s">
        <v>1201</v>
      </c>
      <c r="D63" s="212" t="s">
        <v>1197</v>
      </c>
      <c r="E63" s="212" t="s">
        <v>1202</v>
      </c>
      <c r="F63" s="212"/>
    </row>
    <row r="64" ht="30" hidden="1" spans="1:6">
      <c r="A64" s="207">
        <v>60</v>
      </c>
      <c r="B64" s="212" t="s">
        <v>1203</v>
      </c>
      <c r="C64" s="212" t="s">
        <v>1204</v>
      </c>
      <c r="D64" s="212" t="s">
        <v>1197</v>
      </c>
      <c r="E64" s="212" t="s">
        <v>1205</v>
      </c>
      <c r="F64" s="212"/>
    </row>
    <row r="65" ht="15" hidden="1" spans="1:6">
      <c r="A65" s="207">
        <v>61</v>
      </c>
      <c r="B65" s="212" t="s">
        <v>1206</v>
      </c>
      <c r="C65" s="212" t="s">
        <v>1207</v>
      </c>
      <c r="D65" s="212" t="s">
        <v>1197</v>
      </c>
      <c r="E65" s="212" t="s">
        <v>1208</v>
      </c>
      <c r="F65" s="212" t="s">
        <v>1209</v>
      </c>
    </row>
    <row r="66" ht="15" hidden="1" spans="1:6">
      <c r="A66" s="207">
        <v>62</v>
      </c>
      <c r="B66" s="212" t="s">
        <v>1210</v>
      </c>
      <c r="C66" s="212" t="s">
        <v>1211</v>
      </c>
      <c r="D66" s="212" t="s">
        <v>1212</v>
      </c>
      <c r="E66" s="212" t="s">
        <v>1198</v>
      </c>
      <c r="F66" s="212"/>
    </row>
    <row r="67" ht="30" hidden="1" spans="1:6">
      <c r="A67" s="207">
        <v>63</v>
      </c>
      <c r="B67" s="212" t="s">
        <v>1213</v>
      </c>
      <c r="C67" s="212" t="s">
        <v>1214</v>
      </c>
      <c r="D67" s="212" t="s">
        <v>1212</v>
      </c>
      <c r="E67" s="212" t="s">
        <v>1202</v>
      </c>
      <c r="F67" s="212"/>
    </row>
    <row r="68" ht="30" hidden="1" spans="1:6">
      <c r="A68" s="207">
        <v>64</v>
      </c>
      <c r="B68" s="212" t="s">
        <v>1215</v>
      </c>
      <c r="C68" s="212" t="s">
        <v>1216</v>
      </c>
      <c r="D68" s="212" t="s">
        <v>1212</v>
      </c>
      <c r="E68" s="212" t="s">
        <v>1205</v>
      </c>
      <c r="F68" s="212"/>
    </row>
    <row r="69" ht="60" hidden="1" spans="1:6">
      <c r="A69" s="207">
        <v>65</v>
      </c>
      <c r="B69" s="560" t="s">
        <v>1217</v>
      </c>
      <c r="C69" s="156" t="s">
        <v>1218</v>
      </c>
      <c r="D69" s="155"/>
      <c r="E69" s="37" t="s">
        <v>1219</v>
      </c>
      <c r="F69" s="155"/>
    </row>
    <row r="70" ht="60" hidden="1" spans="1:6">
      <c r="A70" s="207">
        <v>66</v>
      </c>
      <c r="B70" s="560" t="s">
        <v>1220</v>
      </c>
      <c r="C70" s="156" t="s">
        <v>1218</v>
      </c>
      <c r="D70" s="155"/>
      <c r="E70" s="37" t="s">
        <v>1221</v>
      </c>
      <c r="F70" s="155"/>
    </row>
    <row r="71" ht="60" hidden="1" spans="1:6">
      <c r="A71" s="207">
        <v>67</v>
      </c>
      <c r="B71" s="560" t="s">
        <v>1222</v>
      </c>
      <c r="C71" s="156" t="s">
        <v>1218</v>
      </c>
      <c r="D71" s="155"/>
      <c r="E71" s="37" t="s">
        <v>1223</v>
      </c>
      <c r="F71" s="155"/>
    </row>
    <row r="72" ht="60" hidden="1" spans="1:6">
      <c r="A72" s="207">
        <v>68</v>
      </c>
      <c r="B72" s="560" t="s">
        <v>1224</v>
      </c>
      <c r="C72" s="156" t="s">
        <v>1225</v>
      </c>
      <c r="D72" s="155"/>
      <c r="E72" s="37" t="s">
        <v>1226</v>
      </c>
      <c r="F72" s="155"/>
    </row>
    <row r="73" ht="60" hidden="1" spans="1:6">
      <c r="A73" s="207">
        <v>69</v>
      </c>
      <c r="B73" s="560" t="s">
        <v>1227</v>
      </c>
      <c r="C73" s="156" t="s">
        <v>1228</v>
      </c>
      <c r="D73" s="155"/>
      <c r="E73" s="37" t="s">
        <v>1229</v>
      </c>
      <c r="F73" s="155"/>
    </row>
    <row r="74" ht="60" hidden="1" spans="1:6">
      <c r="A74" s="207">
        <v>70</v>
      </c>
      <c r="B74" s="560" t="s">
        <v>1230</v>
      </c>
      <c r="C74" s="156" t="s">
        <v>1231</v>
      </c>
      <c r="D74" s="155"/>
      <c r="E74" s="37" t="s">
        <v>1232</v>
      </c>
      <c r="F74" s="155"/>
    </row>
    <row r="75" ht="60" hidden="1" spans="1:6">
      <c r="A75" s="207">
        <v>71</v>
      </c>
      <c r="B75" s="560" t="s">
        <v>1233</v>
      </c>
      <c r="C75" s="156" t="s">
        <v>1234</v>
      </c>
      <c r="D75" s="155"/>
      <c r="E75" s="37" t="s">
        <v>1235</v>
      </c>
      <c r="F75" s="155"/>
    </row>
    <row r="76" ht="45" hidden="1" spans="1:6">
      <c r="A76" s="207">
        <v>72</v>
      </c>
      <c r="B76" s="560" t="s">
        <v>1236</v>
      </c>
      <c r="C76" s="156" t="s">
        <v>1234</v>
      </c>
      <c r="D76" s="155"/>
      <c r="E76" s="37" t="s">
        <v>1237</v>
      </c>
      <c r="F76" s="155"/>
    </row>
    <row r="77" ht="45" hidden="1" spans="1:6">
      <c r="A77" s="207">
        <v>73</v>
      </c>
      <c r="B77" s="560" t="s">
        <v>1238</v>
      </c>
      <c r="C77" s="156" t="s">
        <v>1234</v>
      </c>
      <c r="D77" s="155"/>
      <c r="E77" s="37" t="s">
        <v>1239</v>
      </c>
      <c r="F77" s="155"/>
    </row>
    <row r="78" ht="45" hidden="1" spans="1:6">
      <c r="A78" s="207">
        <v>74</v>
      </c>
      <c r="B78" s="560" t="s">
        <v>1240</v>
      </c>
      <c r="C78" s="184" t="s">
        <v>1241</v>
      </c>
      <c r="D78" s="155"/>
      <c r="E78" s="560" t="s">
        <v>1242</v>
      </c>
      <c r="F78" s="155"/>
    </row>
    <row r="79" ht="45" hidden="1" spans="1:6">
      <c r="A79" s="207">
        <v>75</v>
      </c>
      <c r="B79" s="560" t="s">
        <v>1243</v>
      </c>
      <c r="C79" s="184" t="s">
        <v>1244</v>
      </c>
      <c r="D79" s="155"/>
      <c r="E79" s="560" t="s">
        <v>1245</v>
      </c>
      <c r="F79" s="155"/>
    </row>
    <row r="80" ht="45" hidden="1" spans="1:6">
      <c r="A80" s="207">
        <v>76</v>
      </c>
      <c r="B80" s="560" t="s">
        <v>1246</v>
      </c>
      <c r="C80" s="184" t="s">
        <v>1244</v>
      </c>
      <c r="D80" s="155"/>
      <c r="E80" s="560" t="s">
        <v>1247</v>
      </c>
      <c r="F80" s="155"/>
    </row>
    <row r="81" ht="45" hidden="1" spans="1:6">
      <c r="A81" s="207">
        <v>77</v>
      </c>
      <c r="B81" s="560" t="s">
        <v>1248</v>
      </c>
      <c r="C81" s="184" t="s">
        <v>1244</v>
      </c>
      <c r="D81" s="155"/>
      <c r="E81" s="560" t="s">
        <v>1249</v>
      </c>
      <c r="F81" s="155"/>
    </row>
    <row r="82" ht="45" hidden="1" spans="1:6">
      <c r="A82" s="207">
        <v>78</v>
      </c>
      <c r="B82" s="560" t="s">
        <v>1250</v>
      </c>
      <c r="C82" s="184" t="s">
        <v>1251</v>
      </c>
      <c r="D82" s="155"/>
      <c r="E82" s="560" t="s">
        <v>1252</v>
      </c>
      <c r="F82" s="155"/>
    </row>
    <row r="83" ht="45" hidden="1" spans="1:6">
      <c r="A83" s="207">
        <v>79</v>
      </c>
      <c r="B83" s="560" t="s">
        <v>1253</v>
      </c>
      <c r="C83" s="184" t="s">
        <v>1251</v>
      </c>
      <c r="D83" s="155"/>
      <c r="E83" s="560" t="s">
        <v>1254</v>
      </c>
      <c r="F83" s="155"/>
    </row>
    <row r="84" ht="45" hidden="1" spans="1:6">
      <c r="A84" s="207">
        <v>80</v>
      </c>
      <c r="B84" s="560" t="s">
        <v>1255</v>
      </c>
      <c r="C84" s="184" t="s">
        <v>1251</v>
      </c>
      <c r="D84" s="155"/>
      <c r="E84" s="560" t="s">
        <v>1256</v>
      </c>
      <c r="F84" s="155"/>
    </row>
    <row r="85" ht="45" hidden="1" spans="1:6">
      <c r="A85" s="207">
        <v>81</v>
      </c>
      <c r="B85" s="560" t="s">
        <v>1257</v>
      </c>
      <c r="C85" s="156" t="s">
        <v>1258</v>
      </c>
      <c r="D85" s="155"/>
      <c r="E85" s="561" t="s">
        <v>1259</v>
      </c>
      <c r="F85" s="155"/>
    </row>
    <row r="86" ht="45" hidden="1" spans="1:6">
      <c r="A86" s="207">
        <v>82</v>
      </c>
      <c r="B86" s="560" t="s">
        <v>1260</v>
      </c>
      <c r="C86" s="156" t="s">
        <v>1261</v>
      </c>
      <c r="D86" s="155"/>
      <c r="E86" s="561" t="s">
        <v>1262</v>
      </c>
      <c r="F86" s="155"/>
    </row>
    <row r="87" ht="45" hidden="1" spans="1:6">
      <c r="A87" s="207">
        <v>83</v>
      </c>
      <c r="B87" s="560" t="s">
        <v>1263</v>
      </c>
      <c r="C87" s="156" t="s">
        <v>1261</v>
      </c>
      <c r="D87" s="155"/>
      <c r="E87" s="561" t="s">
        <v>1242</v>
      </c>
      <c r="F87" s="155"/>
    </row>
    <row r="88" ht="30" hidden="1" spans="1:6">
      <c r="A88" s="207">
        <v>84</v>
      </c>
      <c r="B88" s="184" t="s">
        <v>1264</v>
      </c>
      <c r="C88" s="184" t="s">
        <v>1265</v>
      </c>
      <c r="D88" s="155"/>
      <c r="E88" s="184" t="s">
        <v>1266</v>
      </c>
      <c r="F88" s="155"/>
    </row>
    <row r="89" ht="30" hidden="1" spans="1:6">
      <c r="A89" s="207">
        <v>85</v>
      </c>
      <c r="B89" s="184" t="s">
        <v>1267</v>
      </c>
      <c r="C89" s="184" t="s">
        <v>1268</v>
      </c>
      <c r="D89" s="155"/>
      <c r="E89" s="184" t="s">
        <v>1269</v>
      </c>
      <c r="F89" s="155"/>
    </row>
    <row r="90" ht="30" hidden="1" spans="1:6">
      <c r="A90" s="207">
        <v>86</v>
      </c>
      <c r="B90" s="145" t="s">
        <v>1270</v>
      </c>
      <c r="C90" s="184" t="s">
        <v>1271</v>
      </c>
      <c r="D90" s="155"/>
      <c r="E90" s="152" t="s">
        <v>1272</v>
      </c>
      <c r="F90" s="155"/>
    </row>
    <row r="91" ht="30" hidden="1" spans="1:6">
      <c r="A91" s="207">
        <v>87</v>
      </c>
      <c r="B91" s="152" t="s">
        <v>1273</v>
      </c>
      <c r="C91" s="184" t="s">
        <v>1274</v>
      </c>
      <c r="D91" s="155"/>
      <c r="E91" s="152" t="s">
        <v>1275</v>
      </c>
      <c r="F91" s="155"/>
    </row>
    <row r="92" ht="15" hidden="1" spans="1:6">
      <c r="A92" s="207">
        <v>88</v>
      </c>
      <c r="B92" s="184" t="s">
        <v>1276</v>
      </c>
      <c r="C92" s="184" t="s">
        <v>1277</v>
      </c>
      <c r="D92" s="167"/>
      <c r="E92" s="185"/>
      <c r="F92" s="155"/>
    </row>
  </sheetData>
  <autoFilter ref="A4:M92">
    <filterColumn colId="1">
      <filters>
        <filter val="CN_WEB1"/>
        <filter val="CN_WEB2"/>
        <filter val="CN_WEB3"/>
        <filter val="CN_WEB_KT"/>
        <filter val="NVJ1-PTM"/>
        <filter val="NVJ2-PTM"/>
        <filter val="NVJ3-PTM"/>
      </filters>
    </filterColumn>
    <extLst/>
  </autoFilter>
  <mergeCells count="7">
    <mergeCell ref="A1:F1"/>
    <mergeCell ref="A3:A4"/>
    <mergeCell ref="B3:B4"/>
    <mergeCell ref="C3:C4"/>
    <mergeCell ref="D3:D4"/>
    <mergeCell ref="E3:E4"/>
    <mergeCell ref="F3:F4"/>
  </mergeCells>
  <conditionalFormatting sqref="B20">
    <cfRule type="duplicateValues" dxfId="0" priority="3"/>
  </conditionalFormatting>
  <conditionalFormatting sqref="B26">
    <cfRule type="duplicateValues" dxfId="0" priority="2"/>
  </conditionalFormatting>
  <conditionalFormatting sqref="B28">
    <cfRule type="duplicateValues" dxfId="0" priority="1"/>
  </conditionalFormatting>
  <conditionalFormatting sqref="B5:B19 B21:B25 B27 B29:B32">
    <cfRule type="expression" dxfId="1" priority="6" stopIfTrue="1">
      <formula>AND(COUNTIF($B$5:$B$19,B5)+COUNTIF($B$21:$B$25,B5)+COUNTIF($B$27:$B$27,B5)+COUNTIF($B$29:$B$32,B5)&gt;1,NOT(ISBLANK(B5)))</formula>
    </cfRule>
  </conditionalFormatting>
  <pageMargins left="0.7" right="0.7" top="0.75" bottom="0.75" header="0.3" footer="0.3"/>
  <pageSetup paperSize="9" scale="35" orientation="portrait"/>
  <headerFooter/>
  <colBreaks count="1" manualBreakCount="1">
    <brk id="6" max="1048575" man="1"/>
  </col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22"/>
  <sheetViews>
    <sheetView view="pageBreakPreview" zoomScale="85" zoomScaleNormal="100" workbookViewId="0">
      <selection activeCell="F10" sqref="F10"/>
    </sheetView>
  </sheetViews>
  <sheetFormatPr defaultColWidth="9" defaultRowHeight="14.25" outlineLevelCol="5"/>
  <cols>
    <col min="1" max="1" width="5" style="193" customWidth="1"/>
    <col min="2" max="2" width="25.8571428571429" style="193" customWidth="1"/>
    <col min="3" max="3" width="25.1428571428571" style="194" customWidth="1"/>
    <col min="4" max="4" width="33.1428571428571" style="194" customWidth="1"/>
    <col min="5" max="5" width="17.4285714285714" style="194" customWidth="1"/>
    <col min="6" max="6" width="57.7142857142857" style="194" customWidth="1"/>
    <col min="7" max="16384" width="9.14285714285714" style="194"/>
  </cols>
  <sheetData>
    <row r="1" s="113" customFormat="1" ht="45.75" customHeight="1" spans="1:6">
      <c r="A1" s="21" t="s">
        <v>1278</v>
      </c>
      <c r="B1" s="21"/>
      <c r="C1" s="21"/>
      <c r="D1" s="21"/>
      <c r="E1" s="21"/>
      <c r="F1" s="21"/>
    </row>
    <row r="3" s="192" customFormat="1" ht="30" spans="1:6">
      <c r="A3" s="122" t="s">
        <v>34</v>
      </c>
      <c r="B3" s="122" t="s">
        <v>1279</v>
      </c>
      <c r="C3" s="122" t="s">
        <v>35</v>
      </c>
      <c r="D3" s="122" t="s">
        <v>915</v>
      </c>
      <c r="E3" s="122" t="s">
        <v>1280</v>
      </c>
      <c r="F3" s="122" t="s">
        <v>1281</v>
      </c>
    </row>
    <row r="4" ht="90" spans="1:6">
      <c r="A4" s="195">
        <v>1</v>
      </c>
      <c r="B4" s="195" t="s">
        <v>917</v>
      </c>
      <c r="C4" s="184" t="s">
        <v>917</v>
      </c>
      <c r="D4" s="184" t="s">
        <v>1282</v>
      </c>
      <c r="E4" s="196"/>
      <c r="F4" s="556" t="s">
        <v>1283</v>
      </c>
    </row>
    <row r="5" ht="30" spans="1:6">
      <c r="A5" s="195">
        <v>2</v>
      </c>
      <c r="B5" s="195" t="s">
        <v>41</v>
      </c>
      <c r="C5" s="184" t="s">
        <v>1284</v>
      </c>
      <c r="D5" s="196" t="s">
        <v>1285</v>
      </c>
      <c r="E5" s="196" t="s">
        <v>1286</v>
      </c>
      <c r="F5" s="556" t="s">
        <v>1287</v>
      </c>
    </row>
    <row r="6" ht="30" spans="1:6">
      <c r="A6" s="195">
        <v>3</v>
      </c>
      <c r="B6" s="195" t="s">
        <v>41</v>
      </c>
      <c r="C6" s="197" t="s">
        <v>1288</v>
      </c>
      <c r="D6" s="197" t="s">
        <v>1289</v>
      </c>
      <c r="E6" s="196"/>
      <c r="F6" s="196" t="s">
        <v>1290</v>
      </c>
    </row>
    <row r="7" ht="15" spans="1:6">
      <c r="A7" s="195">
        <v>4</v>
      </c>
      <c r="B7" s="195" t="s">
        <v>41</v>
      </c>
      <c r="C7" s="197" t="s">
        <v>1291</v>
      </c>
      <c r="D7" s="197" t="s">
        <v>1292</v>
      </c>
      <c r="E7" s="196"/>
      <c r="F7" s="196" t="s">
        <v>1293</v>
      </c>
    </row>
    <row r="8" ht="15" spans="1:6">
      <c r="A8" s="195">
        <v>5</v>
      </c>
      <c r="B8" s="195" t="s">
        <v>41</v>
      </c>
      <c r="C8" s="197" t="s">
        <v>1294</v>
      </c>
      <c r="D8" s="197" t="s">
        <v>1295</v>
      </c>
      <c r="E8" s="196"/>
      <c r="F8" s="196" t="s">
        <v>1296</v>
      </c>
    </row>
    <row r="9" ht="30" spans="1:6">
      <c r="A9" s="195">
        <v>6</v>
      </c>
      <c r="B9" s="195" t="s">
        <v>41</v>
      </c>
      <c r="C9" s="184" t="s">
        <v>1297</v>
      </c>
      <c r="D9" s="184" t="s">
        <v>1298</v>
      </c>
      <c r="E9" s="196"/>
      <c r="F9" s="196" t="s">
        <v>1299</v>
      </c>
    </row>
    <row r="10" ht="30" spans="1:6">
      <c r="A10" s="195">
        <v>7</v>
      </c>
      <c r="B10" s="198" t="s">
        <v>41</v>
      </c>
      <c r="C10" s="184" t="s">
        <v>1300</v>
      </c>
      <c r="D10" s="184" t="s">
        <v>1301</v>
      </c>
      <c r="E10" s="154"/>
      <c r="F10" s="154" t="s">
        <v>1302</v>
      </c>
    </row>
    <row r="11" ht="30" spans="1:6">
      <c r="A11" s="195">
        <v>8</v>
      </c>
      <c r="B11" s="198" t="s">
        <v>41</v>
      </c>
      <c r="C11" s="197" t="s">
        <v>1303</v>
      </c>
      <c r="D11" s="197" t="s">
        <v>1304</v>
      </c>
      <c r="E11" s="154"/>
      <c r="F11" s="154" t="s">
        <v>1305</v>
      </c>
    </row>
    <row r="12" ht="60" spans="1:6">
      <c r="A12" s="195">
        <v>9</v>
      </c>
      <c r="B12" s="198" t="s">
        <v>43</v>
      </c>
      <c r="C12" s="197" t="s">
        <v>1306</v>
      </c>
      <c r="D12" s="197" t="s">
        <v>1307</v>
      </c>
      <c r="E12" s="154" t="s">
        <v>1308</v>
      </c>
      <c r="F12" s="154" t="s">
        <v>1309</v>
      </c>
    </row>
    <row r="13" ht="15" spans="1:6">
      <c r="A13" s="195">
        <v>10</v>
      </c>
      <c r="B13" s="198" t="s">
        <v>43</v>
      </c>
      <c r="C13" s="154" t="s">
        <v>45</v>
      </c>
      <c r="D13" s="154" t="s">
        <v>1310</v>
      </c>
      <c r="E13" s="154" t="s">
        <v>1308</v>
      </c>
      <c r="F13" s="562" t="s">
        <v>1311</v>
      </c>
    </row>
    <row r="14" ht="30" spans="1:6">
      <c r="A14" s="195">
        <v>11</v>
      </c>
      <c r="B14" s="198" t="s">
        <v>47</v>
      </c>
      <c r="C14" s="154" t="s">
        <v>1312</v>
      </c>
      <c r="D14" s="154" t="s">
        <v>1313</v>
      </c>
      <c r="E14" s="154" t="s">
        <v>1308</v>
      </c>
      <c r="F14" s="154" t="s">
        <v>1314</v>
      </c>
    </row>
    <row r="15" ht="30" spans="1:6">
      <c r="A15" s="195">
        <v>12</v>
      </c>
      <c r="B15" s="198" t="s">
        <v>47</v>
      </c>
      <c r="C15" s="154" t="s">
        <v>47</v>
      </c>
      <c r="D15" s="154" t="s">
        <v>1315</v>
      </c>
      <c r="E15" s="154" t="s">
        <v>1316</v>
      </c>
      <c r="F15" s="562" t="s">
        <v>1317</v>
      </c>
    </row>
    <row r="16" ht="33" customHeight="1" spans="1:6">
      <c r="A16" s="195">
        <v>13</v>
      </c>
      <c r="B16" s="198" t="s">
        <v>47</v>
      </c>
      <c r="C16" s="154" t="s">
        <v>1318</v>
      </c>
      <c r="D16" s="154" t="s">
        <v>1319</v>
      </c>
      <c r="E16" s="154" t="s">
        <v>1308</v>
      </c>
      <c r="F16" s="562" t="s">
        <v>1320</v>
      </c>
    </row>
    <row r="17" ht="30" spans="1:6">
      <c r="A17" s="195">
        <v>14</v>
      </c>
      <c r="B17" s="198" t="s">
        <v>47</v>
      </c>
      <c r="C17" s="154" t="s">
        <v>1321</v>
      </c>
      <c r="D17" s="154" t="s">
        <v>1322</v>
      </c>
      <c r="E17" s="154"/>
      <c r="F17" s="154" t="s">
        <v>1323</v>
      </c>
    </row>
    <row r="18" ht="30" spans="1:6">
      <c r="A18" s="195">
        <v>15</v>
      </c>
      <c r="B18" s="198" t="s">
        <v>43</v>
      </c>
      <c r="C18" s="154" t="s">
        <v>1324</v>
      </c>
      <c r="D18" s="154" t="s">
        <v>1325</v>
      </c>
      <c r="E18" s="154"/>
      <c r="F18" s="154" t="s">
        <v>1326</v>
      </c>
    </row>
    <row r="19" ht="15" spans="1:6">
      <c r="A19" s="195">
        <v>16</v>
      </c>
      <c r="B19" s="198" t="s">
        <v>43</v>
      </c>
      <c r="C19" s="154" t="s">
        <v>1327</v>
      </c>
      <c r="D19" s="154" t="s">
        <v>1328</v>
      </c>
      <c r="E19" s="154"/>
      <c r="F19" s="154" t="s">
        <v>1329</v>
      </c>
    </row>
    <row r="20" ht="15" spans="1:6">
      <c r="A20" s="195">
        <v>17</v>
      </c>
      <c r="B20" s="198" t="s">
        <v>47</v>
      </c>
      <c r="C20" s="154" t="s">
        <v>47</v>
      </c>
      <c r="D20" s="154" t="s">
        <v>1330</v>
      </c>
      <c r="E20" s="154"/>
      <c r="F20" s="154" t="s">
        <v>1331</v>
      </c>
    </row>
    <row r="21" ht="15" spans="1:6">
      <c r="A21" s="195">
        <v>18</v>
      </c>
      <c r="B21" s="185" t="s">
        <v>1332</v>
      </c>
      <c r="C21" s="185" t="s">
        <v>1332</v>
      </c>
      <c r="D21" s="184" t="s">
        <v>1333</v>
      </c>
      <c r="E21" s="156"/>
      <c r="F21" s="156"/>
    </row>
    <row r="22" ht="45" spans="1:6">
      <c r="A22" s="198">
        <v>19</v>
      </c>
      <c r="B22" s="198" t="s">
        <v>1334</v>
      </c>
      <c r="C22" s="154" t="s">
        <v>1335</v>
      </c>
      <c r="D22" s="154" t="s">
        <v>1336</v>
      </c>
      <c r="E22" s="154" t="s">
        <v>1337</v>
      </c>
      <c r="F22" s="154"/>
    </row>
  </sheetData>
  <mergeCells count="1">
    <mergeCell ref="A1:F1"/>
  </mergeCells>
  <conditionalFormatting sqref="B21">
    <cfRule type="duplicateValues" dxfId="0" priority="1"/>
  </conditionalFormatting>
  <conditionalFormatting sqref="C21">
    <cfRule type="duplicateValues" dxfId="0" priority="2"/>
  </conditionalFormatting>
  <pageMargins left="0.7" right="0.7" top="0.75" bottom="0.75" header="0.3" footer="0.3"/>
  <pageSetup paperSize="9" scale="52"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J268"/>
  <sheetViews>
    <sheetView view="pageBreakPreview" zoomScale="85" zoomScaleNormal="100" topLeftCell="A16" workbookViewId="0">
      <selection activeCell="K33" sqref="K33"/>
    </sheetView>
  </sheetViews>
  <sheetFormatPr defaultColWidth="9" defaultRowHeight="12.75"/>
  <cols>
    <col min="1" max="1" width="9.14285714285714" style="158"/>
    <col min="2" max="2" width="37.5714285714286" style="158" customWidth="1"/>
    <col min="3" max="3" width="19.4285714285714" style="158" customWidth="1"/>
    <col min="4" max="4" width="39.8571428571429" style="158" hidden="1" customWidth="1"/>
    <col min="5" max="5" width="14.5714285714286" style="164" customWidth="1"/>
  </cols>
  <sheetData>
    <row r="1" ht="18" spans="1:5">
      <c r="A1" s="165" t="s">
        <v>1338</v>
      </c>
      <c r="B1" s="166"/>
      <c r="C1" s="166"/>
      <c r="D1" s="166"/>
      <c r="E1" s="171"/>
    </row>
    <row r="2" ht="15" spans="1:10">
      <c r="A2" s="23" t="s">
        <v>267</v>
      </c>
      <c r="B2" s="23" t="s">
        <v>975</v>
      </c>
      <c r="C2" s="23" t="s">
        <v>1279</v>
      </c>
      <c r="D2" s="23"/>
      <c r="E2" s="23" t="s">
        <v>902</v>
      </c>
      <c r="F2" s="172"/>
      <c r="G2" s="172"/>
      <c r="H2" s="172"/>
      <c r="I2" s="172"/>
      <c r="J2" s="172"/>
    </row>
    <row r="3" ht="15" spans="1:10">
      <c r="A3" s="23"/>
      <c r="B3" s="23" t="s">
        <v>1339</v>
      </c>
      <c r="C3" s="23"/>
      <c r="D3" s="23"/>
      <c r="E3" s="23" t="s">
        <v>1340</v>
      </c>
      <c r="F3" s="172"/>
      <c r="G3" s="172"/>
      <c r="H3" s="172"/>
      <c r="I3" s="172"/>
      <c r="J3" s="172"/>
    </row>
    <row r="4" ht="15" spans="1:10">
      <c r="A4" s="24">
        <v>1</v>
      </c>
      <c r="B4" s="167" t="s">
        <v>78</v>
      </c>
      <c r="C4" s="167" t="s">
        <v>41</v>
      </c>
      <c r="D4" s="167" t="str">
        <f>B4&amp;C4</f>
        <v>NVJ1-PTMGiải pháp</v>
      </c>
      <c r="E4" s="173">
        <v>8</v>
      </c>
      <c r="F4" s="172"/>
      <c r="G4" s="172"/>
      <c r="H4" s="172"/>
      <c r="I4" s="172"/>
      <c r="J4" s="172"/>
    </row>
    <row r="5" ht="15" spans="1:5">
      <c r="A5" s="24">
        <v>2</v>
      </c>
      <c r="B5" s="167" t="s">
        <v>78</v>
      </c>
      <c r="C5" s="167" t="s">
        <v>43</v>
      </c>
      <c r="D5" s="167" t="str">
        <f t="shared" ref="D5:D70" si="0">B5&amp;C5</f>
        <v>NVJ1-PTMPhát triển</v>
      </c>
      <c r="E5" s="173">
        <v>12</v>
      </c>
    </row>
    <row r="6" ht="15" spans="1:5">
      <c r="A6" s="24">
        <v>3</v>
      </c>
      <c r="B6" s="167" t="s">
        <v>78</v>
      </c>
      <c r="C6" s="167" t="s">
        <v>47</v>
      </c>
      <c r="D6" s="167" t="str">
        <f t="shared" si="0"/>
        <v>NVJ1-PTMKiểm thử</v>
      </c>
      <c r="E6" s="173">
        <v>8</v>
      </c>
    </row>
    <row r="7" ht="15" spans="1:5">
      <c r="A7" s="24">
        <v>4</v>
      </c>
      <c r="B7" s="167" t="s">
        <v>83</v>
      </c>
      <c r="C7" s="167" t="s">
        <v>41</v>
      </c>
      <c r="D7" s="167" t="str">
        <f t="shared" si="0"/>
        <v>NVJ2-PTMGiải pháp</v>
      </c>
      <c r="E7" s="173">
        <v>10</v>
      </c>
    </row>
    <row r="8" ht="15" spans="1:5">
      <c r="A8" s="24">
        <v>5</v>
      </c>
      <c r="B8" s="167" t="s">
        <v>83</v>
      </c>
      <c r="C8" s="167" t="s">
        <v>43</v>
      </c>
      <c r="D8" s="167" t="str">
        <f t="shared" si="0"/>
        <v>NVJ2-PTMPhát triển</v>
      </c>
      <c r="E8" s="173">
        <v>20</v>
      </c>
    </row>
    <row r="9" ht="15" spans="1:5">
      <c r="A9" s="24">
        <v>6</v>
      </c>
      <c r="B9" s="167" t="s">
        <v>83</v>
      </c>
      <c r="C9" s="167" t="s">
        <v>47</v>
      </c>
      <c r="D9" s="167" t="str">
        <f t="shared" si="0"/>
        <v>NVJ2-PTMKiểm thử</v>
      </c>
      <c r="E9" s="173">
        <v>14</v>
      </c>
    </row>
    <row r="10" ht="15" spans="1:5">
      <c r="A10" s="24">
        <v>7</v>
      </c>
      <c r="B10" s="167" t="s">
        <v>87</v>
      </c>
      <c r="C10" s="167" t="s">
        <v>41</v>
      </c>
      <c r="D10" s="167" t="str">
        <f t="shared" si="0"/>
        <v>NVJ3-PTMGiải pháp</v>
      </c>
      <c r="E10" s="173">
        <v>16</v>
      </c>
    </row>
    <row r="11" ht="15" spans="1:5">
      <c r="A11" s="24">
        <v>8</v>
      </c>
      <c r="B11" s="167" t="s">
        <v>87</v>
      </c>
      <c r="C11" s="167" t="s">
        <v>43</v>
      </c>
      <c r="D11" s="167" t="str">
        <f t="shared" si="0"/>
        <v>NVJ3-PTMPhát triển</v>
      </c>
      <c r="E11" s="173">
        <v>26</v>
      </c>
    </row>
    <row r="12" ht="15" spans="1:5">
      <c r="A12" s="24">
        <v>9</v>
      </c>
      <c r="B12" s="167" t="s">
        <v>87</v>
      </c>
      <c r="C12" s="167" t="s">
        <v>47</v>
      </c>
      <c r="D12" s="167" t="str">
        <f t="shared" si="0"/>
        <v>NVJ3-PTMKiểm thử</v>
      </c>
      <c r="E12" s="173">
        <v>23</v>
      </c>
    </row>
    <row r="13" ht="15" spans="1:5">
      <c r="A13" s="24">
        <v>10</v>
      </c>
      <c r="B13" s="167" t="s">
        <v>95</v>
      </c>
      <c r="C13" s="167" t="s">
        <v>41</v>
      </c>
      <c r="D13" s="167" t="str">
        <f t="shared" si="0"/>
        <v>GD_WEB1Giải pháp</v>
      </c>
      <c r="E13" s="173">
        <v>6</v>
      </c>
    </row>
    <row r="14" ht="15" spans="1:10">
      <c r="A14" s="24">
        <v>11</v>
      </c>
      <c r="B14" s="167" t="s">
        <v>95</v>
      </c>
      <c r="C14" s="167" t="s">
        <v>43</v>
      </c>
      <c r="D14" s="167" t="str">
        <f t="shared" si="0"/>
        <v>GD_WEB1Phát triển</v>
      </c>
      <c r="E14" s="173">
        <v>12</v>
      </c>
      <c r="J14" s="175"/>
    </row>
    <row r="15" ht="15" spans="1:5">
      <c r="A15" s="24">
        <v>12</v>
      </c>
      <c r="B15" s="167" t="s">
        <v>95</v>
      </c>
      <c r="C15" s="167" t="s">
        <v>47</v>
      </c>
      <c r="D15" s="167" t="str">
        <f t="shared" si="0"/>
        <v>GD_WEB1Kiểm thử</v>
      </c>
      <c r="E15" s="173">
        <v>8</v>
      </c>
    </row>
    <row r="16" ht="15" spans="1:5">
      <c r="A16" s="24">
        <v>13</v>
      </c>
      <c r="B16" s="27" t="s">
        <v>98</v>
      </c>
      <c r="C16" s="167" t="s">
        <v>41</v>
      </c>
      <c r="D16" s="167" t="str">
        <f t="shared" si="0"/>
        <v>GD_WEB2Giải pháp</v>
      </c>
      <c r="E16" s="173">
        <v>10</v>
      </c>
    </row>
    <row r="17" ht="15" spans="1:5">
      <c r="A17" s="24">
        <v>14</v>
      </c>
      <c r="B17" s="27" t="s">
        <v>98</v>
      </c>
      <c r="C17" s="167" t="s">
        <v>43</v>
      </c>
      <c r="D17" s="167" t="str">
        <f t="shared" si="0"/>
        <v>GD_WEB2Phát triển</v>
      </c>
      <c r="E17" s="173">
        <v>19</v>
      </c>
    </row>
    <row r="18" ht="15" spans="1:5">
      <c r="A18" s="24">
        <v>15</v>
      </c>
      <c r="B18" s="27" t="s">
        <v>98</v>
      </c>
      <c r="C18" s="167" t="s">
        <v>47</v>
      </c>
      <c r="D18" s="167" t="str">
        <f t="shared" si="0"/>
        <v>GD_WEB2Kiểm thử</v>
      </c>
      <c r="E18" s="173">
        <v>10</v>
      </c>
    </row>
    <row r="19" ht="15" spans="1:5">
      <c r="A19" s="24">
        <v>16</v>
      </c>
      <c r="B19" s="27" t="s">
        <v>102</v>
      </c>
      <c r="C19" s="167" t="s">
        <v>41</v>
      </c>
      <c r="D19" s="167" t="str">
        <f t="shared" si="0"/>
        <v>GD_WEB3Giải pháp</v>
      </c>
      <c r="E19" s="173">
        <v>15</v>
      </c>
    </row>
    <row r="20" ht="15" spans="1:5">
      <c r="A20" s="24">
        <v>17</v>
      </c>
      <c r="B20" s="27" t="s">
        <v>102</v>
      </c>
      <c r="C20" s="167" t="s">
        <v>43</v>
      </c>
      <c r="D20" s="167" t="str">
        <f t="shared" si="0"/>
        <v>GD_WEB3Phát triển</v>
      </c>
      <c r="E20" s="173">
        <v>22</v>
      </c>
    </row>
    <row r="21" ht="15" spans="1:5">
      <c r="A21" s="24">
        <v>18</v>
      </c>
      <c r="B21" s="27" t="s">
        <v>102</v>
      </c>
      <c r="C21" s="167" t="s">
        <v>47</v>
      </c>
      <c r="D21" s="167" t="str">
        <f t="shared" si="0"/>
        <v>GD_WEB3Kiểm thử</v>
      </c>
      <c r="E21" s="173">
        <v>16</v>
      </c>
    </row>
    <row r="22" ht="15" spans="1:5">
      <c r="A22" s="24">
        <v>19</v>
      </c>
      <c r="B22" s="167" t="s">
        <v>106</v>
      </c>
      <c r="C22" s="167" t="s">
        <v>41</v>
      </c>
      <c r="D22" s="167" t="str">
        <f t="shared" si="0"/>
        <v>BC1Giải pháp</v>
      </c>
      <c r="E22" s="30">
        <v>6</v>
      </c>
    </row>
    <row r="23" ht="15" spans="1:5">
      <c r="A23" s="24">
        <v>20</v>
      </c>
      <c r="B23" s="167" t="s">
        <v>106</v>
      </c>
      <c r="C23" s="167" t="s">
        <v>43</v>
      </c>
      <c r="D23" s="167" t="str">
        <f t="shared" si="0"/>
        <v>BC1Phát triển</v>
      </c>
      <c r="E23" s="30">
        <v>7</v>
      </c>
    </row>
    <row r="24" ht="15" spans="1:5">
      <c r="A24" s="24">
        <v>21</v>
      </c>
      <c r="B24" s="167" t="s">
        <v>106</v>
      </c>
      <c r="C24" s="167" t="s">
        <v>47</v>
      </c>
      <c r="D24" s="167" t="str">
        <f t="shared" si="0"/>
        <v>BC1Kiểm thử</v>
      </c>
      <c r="E24" s="30">
        <v>6</v>
      </c>
    </row>
    <row r="25" ht="15" spans="1:5">
      <c r="A25" s="24">
        <v>22</v>
      </c>
      <c r="B25" s="167" t="s">
        <v>111</v>
      </c>
      <c r="C25" s="167" t="s">
        <v>41</v>
      </c>
      <c r="D25" s="167" t="str">
        <f t="shared" si="0"/>
        <v>BC2Giải pháp</v>
      </c>
      <c r="E25" s="173">
        <v>6</v>
      </c>
    </row>
    <row r="26" ht="15" spans="1:5">
      <c r="A26" s="24">
        <v>23</v>
      </c>
      <c r="B26" s="167" t="s">
        <v>111</v>
      </c>
      <c r="C26" s="167" t="s">
        <v>43</v>
      </c>
      <c r="D26" s="167" t="str">
        <f t="shared" si="0"/>
        <v>BC2Phát triển</v>
      </c>
      <c r="E26" s="173">
        <v>15</v>
      </c>
    </row>
    <row r="27" ht="15" spans="1:5">
      <c r="A27" s="24">
        <v>24</v>
      </c>
      <c r="B27" s="167" t="s">
        <v>111</v>
      </c>
      <c r="C27" s="167" t="s">
        <v>47</v>
      </c>
      <c r="D27" s="167" t="str">
        <f t="shared" si="0"/>
        <v>BC2Kiểm thử</v>
      </c>
      <c r="E27" s="173">
        <v>11</v>
      </c>
    </row>
    <row r="28" s="162" customFormat="1" ht="15" spans="1:5">
      <c r="A28" s="24">
        <v>25</v>
      </c>
      <c r="B28" s="167" t="s">
        <v>114</v>
      </c>
      <c r="C28" s="167" t="s">
        <v>41</v>
      </c>
      <c r="D28" s="167" t="str">
        <f t="shared" si="0"/>
        <v>BC3Giải pháp</v>
      </c>
      <c r="E28" s="173">
        <v>16</v>
      </c>
    </row>
    <row r="29" s="162" customFormat="1" ht="15" spans="1:5">
      <c r="A29" s="24">
        <v>26</v>
      </c>
      <c r="B29" s="167" t="s">
        <v>114</v>
      </c>
      <c r="C29" s="167" t="s">
        <v>43</v>
      </c>
      <c r="D29" s="167" t="str">
        <f t="shared" si="0"/>
        <v>BC3Phát triển</v>
      </c>
      <c r="E29" s="173">
        <v>32</v>
      </c>
    </row>
    <row r="30" s="162" customFormat="1" ht="15" spans="1:5">
      <c r="A30" s="24">
        <v>27</v>
      </c>
      <c r="B30" s="167" t="s">
        <v>114</v>
      </c>
      <c r="C30" s="167" t="s">
        <v>47</v>
      </c>
      <c r="D30" s="167" t="str">
        <f t="shared" si="0"/>
        <v>BC3Kiểm thử</v>
      </c>
      <c r="E30" s="173">
        <v>16</v>
      </c>
    </row>
    <row r="31" ht="15" spans="1:5">
      <c r="A31" s="24">
        <v>28</v>
      </c>
      <c r="B31" s="167" t="s">
        <v>123</v>
      </c>
      <c r="C31" s="167" t="s">
        <v>41</v>
      </c>
      <c r="D31" s="167" t="str">
        <f t="shared" si="0"/>
        <v>NVJ3-NCGiải pháp</v>
      </c>
      <c r="E31" s="173">
        <v>6</v>
      </c>
    </row>
    <row r="32" ht="15" spans="1:5">
      <c r="A32" s="24">
        <v>29</v>
      </c>
      <c r="B32" s="167" t="s">
        <v>123</v>
      </c>
      <c r="C32" s="167" t="s">
        <v>43</v>
      </c>
      <c r="D32" s="167" t="str">
        <f t="shared" si="0"/>
        <v>NVJ3-NCPhát triển</v>
      </c>
      <c r="E32" s="173">
        <v>15</v>
      </c>
    </row>
    <row r="33" ht="15" spans="1:5">
      <c r="A33" s="24">
        <v>30</v>
      </c>
      <c r="B33" s="167" t="s">
        <v>123</v>
      </c>
      <c r="C33" s="167" t="s">
        <v>47</v>
      </c>
      <c r="D33" s="167" t="str">
        <f t="shared" si="0"/>
        <v>NVJ3-NCKiểm thử</v>
      </c>
      <c r="E33" s="173">
        <v>11</v>
      </c>
    </row>
    <row r="34" ht="15" spans="1:5">
      <c r="A34" s="24">
        <v>31</v>
      </c>
      <c r="B34" s="167" t="s">
        <v>120</v>
      </c>
      <c r="C34" s="167" t="s">
        <v>41</v>
      </c>
      <c r="D34" s="167" t="str">
        <f t="shared" si="0"/>
        <v>NVJ2-NCGiải pháp</v>
      </c>
      <c r="E34" s="30">
        <v>3.59</v>
      </c>
    </row>
    <row r="35" ht="15" spans="1:5">
      <c r="A35" s="24">
        <v>32</v>
      </c>
      <c r="B35" s="167" t="s">
        <v>120</v>
      </c>
      <c r="C35" s="167" t="s">
        <v>43</v>
      </c>
      <c r="D35" s="167" t="str">
        <f t="shared" si="0"/>
        <v>NVJ2-NCPhát triển</v>
      </c>
      <c r="E35" s="30">
        <v>6.14</v>
      </c>
    </row>
    <row r="36" ht="15" spans="1:5">
      <c r="A36" s="24">
        <v>33</v>
      </c>
      <c r="B36" s="167" t="s">
        <v>120</v>
      </c>
      <c r="C36" s="167" t="s">
        <v>47</v>
      </c>
      <c r="D36" s="167" t="str">
        <f t="shared" si="0"/>
        <v>NVJ2-NCKiểm thử</v>
      </c>
      <c r="E36" s="30">
        <v>4.76</v>
      </c>
    </row>
    <row r="37" ht="15" spans="1:5">
      <c r="A37" s="24">
        <v>34</v>
      </c>
      <c r="B37" s="167" t="s">
        <v>117</v>
      </c>
      <c r="C37" s="167" t="s">
        <v>41</v>
      </c>
      <c r="D37" s="167" t="str">
        <f t="shared" si="0"/>
        <v>NVJ1-NCGiải pháp</v>
      </c>
      <c r="E37" s="30">
        <v>1.69</v>
      </c>
    </row>
    <row r="38" ht="15" spans="1:5">
      <c r="A38" s="24">
        <v>35</v>
      </c>
      <c r="B38" s="167" t="s">
        <v>117</v>
      </c>
      <c r="C38" s="167" t="s">
        <v>43</v>
      </c>
      <c r="D38" s="167" t="str">
        <f t="shared" si="0"/>
        <v>NVJ1-NCPhát triển</v>
      </c>
      <c r="E38" s="30">
        <v>3.01</v>
      </c>
    </row>
    <row r="39" ht="15" spans="1:5">
      <c r="A39" s="24">
        <v>36</v>
      </c>
      <c r="B39" s="167" t="s">
        <v>117</v>
      </c>
      <c r="C39" s="167" t="s">
        <v>47</v>
      </c>
      <c r="D39" s="167" t="str">
        <f t="shared" si="0"/>
        <v>NVJ1-NCKiểm thử</v>
      </c>
      <c r="E39" s="30">
        <v>3.16</v>
      </c>
    </row>
    <row r="40" ht="15" spans="1:5">
      <c r="A40" s="24">
        <v>37</v>
      </c>
      <c r="B40" s="152" t="s">
        <v>128</v>
      </c>
      <c r="C40" s="167" t="s">
        <v>41</v>
      </c>
      <c r="D40" s="167" t="str">
        <f t="shared" si="0"/>
        <v>DM2Giải pháp</v>
      </c>
      <c r="E40" s="30">
        <v>4.5</v>
      </c>
    </row>
    <row r="41" ht="15" spans="1:5">
      <c r="A41" s="24">
        <v>38</v>
      </c>
      <c r="B41" s="152" t="s">
        <v>128</v>
      </c>
      <c r="C41" s="167" t="s">
        <v>43</v>
      </c>
      <c r="D41" s="167" t="str">
        <f t="shared" si="0"/>
        <v>DM2Phát triển</v>
      </c>
      <c r="E41" s="30">
        <v>9</v>
      </c>
    </row>
    <row r="42" ht="15" spans="1:5">
      <c r="A42" s="24">
        <v>39</v>
      </c>
      <c r="B42" s="152" t="s">
        <v>128</v>
      </c>
      <c r="C42" s="167" t="s">
        <v>47</v>
      </c>
      <c r="D42" s="167" t="str">
        <f t="shared" si="0"/>
        <v>DM2Kiểm thử</v>
      </c>
      <c r="E42" s="30">
        <v>7.5</v>
      </c>
    </row>
    <row r="43" ht="15" spans="1:5">
      <c r="A43" s="24">
        <v>40</v>
      </c>
      <c r="B43" s="152" t="s">
        <v>133</v>
      </c>
      <c r="C43" s="167" t="s">
        <v>41</v>
      </c>
      <c r="D43" s="167" t="str">
        <f t="shared" si="0"/>
        <v>GD_MOBILE1Giải pháp</v>
      </c>
      <c r="E43" s="173">
        <v>3</v>
      </c>
    </row>
    <row r="44" ht="15" spans="1:5">
      <c r="A44" s="24">
        <v>41</v>
      </c>
      <c r="B44" s="152" t="s">
        <v>133</v>
      </c>
      <c r="C44" s="167" t="s">
        <v>43</v>
      </c>
      <c r="D44" s="167" t="str">
        <f t="shared" si="0"/>
        <v>GD_MOBILE1Phát triển</v>
      </c>
      <c r="E44" s="173">
        <v>4</v>
      </c>
    </row>
    <row r="45" ht="15" spans="1:5">
      <c r="A45" s="24">
        <v>42</v>
      </c>
      <c r="B45" s="152" t="s">
        <v>133</v>
      </c>
      <c r="C45" s="167" t="s">
        <v>47</v>
      </c>
      <c r="D45" s="167" t="str">
        <f t="shared" si="0"/>
        <v>GD_MOBILE1Kiểm thử</v>
      </c>
      <c r="E45" s="173">
        <v>3</v>
      </c>
    </row>
    <row r="46" ht="15" spans="1:5">
      <c r="A46" s="24">
        <v>43</v>
      </c>
      <c r="B46" s="152" t="s">
        <v>137</v>
      </c>
      <c r="C46" s="167" t="s">
        <v>41</v>
      </c>
      <c r="D46" s="167" t="str">
        <f t="shared" si="0"/>
        <v>GD_MOBILE2Giải pháp</v>
      </c>
      <c r="E46" s="173">
        <v>7</v>
      </c>
    </row>
    <row r="47" ht="15" spans="1:5">
      <c r="A47" s="24">
        <v>44</v>
      </c>
      <c r="B47" s="152" t="s">
        <v>137</v>
      </c>
      <c r="C47" s="167" t="s">
        <v>43</v>
      </c>
      <c r="D47" s="167" t="str">
        <f t="shared" si="0"/>
        <v>GD_MOBILE2Phát triển</v>
      </c>
      <c r="E47" s="173">
        <v>10</v>
      </c>
    </row>
    <row r="48" ht="15" spans="1:5">
      <c r="A48" s="24">
        <v>45</v>
      </c>
      <c r="B48" s="152" t="s">
        <v>137</v>
      </c>
      <c r="C48" s="167" t="s">
        <v>47</v>
      </c>
      <c r="D48" s="167" t="str">
        <f t="shared" si="0"/>
        <v>GD_MOBILE2Kiểm thử</v>
      </c>
      <c r="E48" s="173">
        <v>7</v>
      </c>
    </row>
    <row r="49" ht="15" spans="1:5">
      <c r="A49" s="24">
        <v>46</v>
      </c>
      <c r="B49" s="152" t="s">
        <v>140</v>
      </c>
      <c r="C49" s="167" t="s">
        <v>41</v>
      </c>
      <c r="D49" s="167" t="str">
        <f t="shared" si="0"/>
        <v>GD_MOBILE3Giải pháp</v>
      </c>
      <c r="E49" s="173">
        <v>13</v>
      </c>
    </row>
    <row r="50" ht="15" spans="1:5">
      <c r="A50" s="24">
        <v>47</v>
      </c>
      <c r="B50" s="152" t="s">
        <v>140</v>
      </c>
      <c r="C50" s="167" t="s">
        <v>43</v>
      </c>
      <c r="D50" s="167" t="str">
        <f t="shared" si="0"/>
        <v>GD_MOBILE3Phát triển</v>
      </c>
      <c r="E50" s="173">
        <v>19</v>
      </c>
    </row>
    <row r="51" ht="15" spans="1:5">
      <c r="A51" s="24">
        <v>48</v>
      </c>
      <c r="B51" s="152" t="s">
        <v>140</v>
      </c>
      <c r="C51" s="167" t="s">
        <v>47</v>
      </c>
      <c r="D51" s="167" t="str">
        <f t="shared" si="0"/>
        <v>GD_MOBILE3Kiểm thử</v>
      </c>
      <c r="E51" s="173">
        <v>14</v>
      </c>
    </row>
    <row r="52" ht="15" spans="1:5">
      <c r="A52" s="24">
        <v>49</v>
      </c>
      <c r="B52" s="152" t="s">
        <v>125</v>
      </c>
      <c r="C52" s="167" t="s">
        <v>41</v>
      </c>
      <c r="D52" s="167" t="str">
        <f t="shared" si="0"/>
        <v>DM1Giải pháp</v>
      </c>
      <c r="E52" s="30">
        <v>1.5</v>
      </c>
    </row>
    <row r="53" ht="15" spans="1:5">
      <c r="A53" s="24">
        <v>50</v>
      </c>
      <c r="B53" s="152" t="s">
        <v>125</v>
      </c>
      <c r="C53" s="167" t="s">
        <v>43</v>
      </c>
      <c r="D53" s="167" t="str">
        <f t="shared" si="0"/>
        <v>DM1Phát triển</v>
      </c>
      <c r="E53" s="30">
        <v>3</v>
      </c>
    </row>
    <row r="54" ht="15" spans="1:5">
      <c r="A54" s="24">
        <v>51</v>
      </c>
      <c r="B54" s="152" t="s">
        <v>125</v>
      </c>
      <c r="C54" s="167" t="s">
        <v>47</v>
      </c>
      <c r="D54" s="167" t="str">
        <f t="shared" si="0"/>
        <v>DM1Kiểm thử</v>
      </c>
      <c r="E54" s="30">
        <v>3.5</v>
      </c>
    </row>
    <row r="55" ht="15" spans="1:5">
      <c r="A55" s="24">
        <v>52</v>
      </c>
      <c r="B55" s="27" t="s">
        <v>91</v>
      </c>
      <c r="C55" s="167" t="s">
        <v>41</v>
      </c>
      <c r="D55" s="167" t="str">
        <f t="shared" si="0"/>
        <v>CN_WEB_KTGiải pháp</v>
      </c>
      <c r="E55" s="30">
        <v>8</v>
      </c>
    </row>
    <row r="56" ht="15" spans="1:5">
      <c r="A56" s="24">
        <v>53</v>
      </c>
      <c r="B56" s="27" t="s">
        <v>91</v>
      </c>
      <c r="C56" s="167" t="s">
        <v>43</v>
      </c>
      <c r="D56" s="167" t="str">
        <f t="shared" si="0"/>
        <v>CN_WEB_KTPhát triển</v>
      </c>
      <c r="E56" s="30">
        <v>48</v>
      </c>
    </row>
    <row r="57" ht="15" spans="1:5">
      <c r="A57" s="24">
        <v>54</v>
      </c>
      <c r="B57" s="27" t="s">
        <v>91</v>
      </c>
      <c r="C57" s="167" t="s">
        <v>47</v>
      </c>
      <c r="D57" s="167" t="str">
        <f t="shared" si="0"/>
        <v>CN_WEB_KTKiểm thử</v>
      </c>
      <c r="E57" s="30">
        <v>16</v>
      </c>
    </row>
    <row r="58" ht="15" spans="1:5">
      <c r="A58" s="24">
        <v>55</v>
      </c>
      <c r="B58" s="27" t="s">
        <v>156</v>
      </c>
      <c r="C58" s="167" t="s">
        <v>41</v>
      </c>
      <c r="D58" s="167" t="str">
        <f t="shared" si="0"/>
        <v>GD1_CUTGiải pháp</v>
      </c>
      <c r="E58" s="30">
        <v>1.2</v>
      </c>
    </row>
    <row r="59" ht="15" spans="1:5">
      <c r="A59" s="24">
        <v>56</v>
      </c>
      <c r="B59" s="27" t="s">
        <v>156</v>
      </c>
      <c r="C59" s="167" t="s">
        <v>1341</v>
      </c>
      <c r="D59" s="167" t="str">
        <f t="shared" si="0"/>
        <v>GD1_CUTkiểm thử</v>
      </c>
      <c r="E59" s="30">
        <v>1.2</v>
      </c>
    </row>
    <row r="60" ht="15" spans="1:5">
      <c r="A60" s="24">
        <v>57</v>
      </c>
      <c r="B60" s="27" t="s">
        <v>156</v>
      </c>
      <c r="C60" s="167" t="s">
        <v>43</v>
      </c>
      <c r="D60" s="167" t="str">
        <f t="shared" si="0"/>
        <v>GD1_CUTPhát triển</v>
      </c>
      <c r="E60" s="30">
        <v>0</v>
      </c>
    </row>
    <row r="61" ht="15" spans="1:5">
      <c r="A61" s="24">
        <v>58</v>
      </c>
      <c r="B61" s="27" t="s">
        <v>161</v>
      </c>
      <c r="C61" s="167" t="s">
        <v>43</v>
      </c>
      <c r="D61" s="167" t="str">
        <f t="shared" si="0"/>
        <v>GD2_CUTPhát triển</v>
      </c>
      <c r="E61" s="30">
        <v>4</v>
      </c>
    </row>
    <row r="62" ht="15" spans="1:5">
      <c r="A62" s="24">
        <v>59</v>
      </c>
      <c r="B62" s="27" t="s">
        <v>161</v>
      </c>
      <c r="C62" s="167" t="s">
        <v>1341</v>
      </c>
      <c r="D62" s="167" t="str">
        <f t="shared" si="0"/>
        <v>GD2_CUTkiểm thử</v>
      </c>
      <c r="E62" s="30">
        <v>2</v>
      </c>
    </row>
    <row r="63" ht="15" spans="1:5">
      <c r="A63" s="24">
        <v>60</v>
      </c>
      <c r="B63" s="27" t="s">
        <v>161</v>
      </c>
      <c r="C63" s="167" t="s">
        <v>41</v>
      </c>
      <c r="D63" s="167" t="str">
        <f t="shared" si="0"/>
        <v>GD2_CUTGiải pháp</v>
      </c>
      <c r="E63" s="30">
        <v>0</v>
      </c>
    </row>
    <row r="64" s="162" customFormat="1" ht="15" spans="1:5">
      <c r="A64" s="168">
        <v>61</v>
      </c>
      <c r="B64" s="169" t="s">
        <v>165</v>
      </c>
      <c r="C64" s="170" t="s">
        <v>41</v>
      </c>
      <c r="D64" s="170" t="str">
        <f t="shared" si="0"/>
        <v>CN_WEB1Giải pháp</v>
      </c>
      <c r="E64" s="174">
        <v>7.5</v>
      </c>
    </row>
    <row r="65" s="162" customFormat="1" ht="15" spans="1:5">
      <c r="A65" s="168">
        <v>62</v>
      </c>
      <c r="B65" s="169" t="s">
        <v>165</v>
      </c>
      <c r="C65" s="170" t="s">
        <v>43</v>
      </c>
      <c r="D65" s="170" t="str">
        <f t="shared" si="0"/>
        <v>CN_WEB1Phát triển</v>
      </c>
      <c r="E65" s="174">
        <v>12</v>
      </c>
    </row>
    <row r="66" s="162" customFormat="1" ht="15" spans="1:5">
      <c r="A66" s="168">
        <v>63</v>
      </c>
      <c r="B66" s="169" t="s">
        <v>165</v>
      </c>
      <c r="C66" s="170" t="s">
        <v>47</v>
      </c>
      <c r="D66" s="170" t="str">
        <f t="shared" si="0"/>
        <v>CN_WEB1Kiểm thử</v>
      </c>
      <c r="E66" s="174">
        <v>7</v>
      </c>
    </row>
    <row r="67" s="162" customFormat="1" ht="15" spans="1:5">
      <c r="A67" s="168">
        <v>64</v>
      </c>
      <c r="B67" s="169" t="s">
        <v>168</v>
      </c>
      <c r="C67" s="170" t="s">
        <v>41</v>
      </c>
      <c r="D67" s="170" t="str">
        <f t="shared" si="0"/>
        <v>CN_WEB2Giải pháp</v>
      </c>
      <c r="E67" s="174">
        <v>10</v>
      </c>
    </row>
    <row r="68" s="162" customFormat="1" ht="15" spans="1:5">
      <c r="A68" s="168">
        <v>65</v>
      </c>
      <c r="B68" s="169" t="s">
        <v>168</v>
      </c>
      <c r="C68" s="170" t="s">
        <v>43</v>
      </c>
      <c r="D68" s="170" t="str">
        <f t="shared" si="0"/>
        <v>CN_WEB2Phát triển</v>
      </c>
      <c r="E68" s="174">
        <v>15</v>
      </c>
    </row>
    <row r="69" s="162" customFormat="1" ht="15" spans="1:5">
      <c r="A69" s="168">
        <v>66</v>
      </c>
      <c r="B69" s="169" t="s">
        <v>168</v>
      </c>
      <c r="C69" s="170" t="s">
        <v>47</v>
      </c>
      <c r="D69" s="170" t="str">
        <f t="shared" si="0"/>
        <v>CN_WEB2Kiểm thử</v>
      </c>
      <c r="E69" s="174">
        <v>10</v>
      </c>
    </row>
    <row r="70" s="162" customFormat="1" ht="15" spans="1:5">
      <c r="A70" s="168">
        <v>67</v>
      </c>
      <c r="B70" s="169" t="s">
        <v>170</v>
      </c>
      <c r="C70" s="170" t="s">
        <v>41</v>
      </c>
      <c r="D70" s="170" t="str">
        <f t="shared" si="0"/>
        <v>CN_WEB3Giải pháp</v>
      </c>
      <c r="E70" s="178">
        <v>15</v>
      </c>
    </row>
    <row r="71" s="162" customFormat="1" ht="15" spans="1:5">
      <c r="A71" s="168">
        <v>68</v>
      </c>
      <c r="B71" s="169" t="s">
        <v>170</v>
      </c>
      <c r="C71" s="170" t="s">
        <v>43</v>
      </c>
      <c r="D71" s="170" t="str">
        <f t="shared" ref="D71:D134" si="1">B71&amp;C71</f>
        <v>CN_WEB3Phát triển</v>
      </c>
      <c r="E71" s="178">
        <v>21</v>
      </c>
    </row>
    <row r="72" s="162" customFormat="1" ht="15" spans="1:5">
      <c r="A72" s="168">
        <v>69</v>
      </c>
      <c r="B72" s="169" t="s">
        <v>170</v>
      </c>
      <c r="C72" s="170" t="s">
        <v>47</v>
      </c>
      <c r="D72" s="170" t="str">
        <f t="shared" si="1"/>
        <v>CN_WEB3Kiểm thử</v>
      </c>
      <c r="E72" s="178">
        <v>15</v>
      </c>
    </row>
    <row r="73" ht="15" spans="1:5">
      <c r="A73" s="24">
        <v>70</v>
      </c>
      <c r="B73" s="152" t="s">
        <v>143</v>
      </c>
      <c r="C73" s="27" t="s">
        <v>41</v>
      </c>
      <c r="D73" s="167" t="str">
        <f t="shared" si="1"/>
        <v>CN_MOBILE Client1Giải pháp</v>
      </c>
      <c r="E73" s="179">
        <v>4</v>
      </c>
    </row>
    <row r="74" ht="15" spans="1:5">
      <c r="A74" s="24">
        <v>71</v>
      </c>
      <c r="B74" s="152" t="s">
        <v>143</v>
      </c>
      <c r="C74" s="27" t="s">
        <v>43</v>
      </c>
      <c r="D74" s="167" t="str">
        <f t="shared" si="1"/>
        <v>CN_MOBILE Client1Phát triển</v>
      </c>
      <c r="E74" s="179">
        <v>8</v>
      </c>
    </row>
    <row r="75" ht="15" spans="1:5">
      <c r="A75" s="24">
        <v>72</v>
      </c>
      <c r="B75" s="152" t="s">
        <v>143</v>
      </c>
      <c r="C75" s="27" t="s">
        <v>1341</v>
      </c>
      <c r="D75" s="167" t="str">
        <f t="shared" si="1"/>
        <v>CN_MOBILE Client1kiểm thử</v>
      </c>
      <c r="E75" s="179">
        <v>4</v>
      </c>
    </row>
    <row r="76" ht="15" spans="1:5">
      <c r="A76" s="24">
        <v>73</v>
      </c>
      <c r="B76" s="152" t="s">
        <v>146</v>
      </c>
      <c r="C76" s="27" t="s">
        <v>41</v>
      </c>
      <c r="D76" s="167" t="str">
        <f t="shared" si="1"/>
        <v>CN_MOBILE Client2Giải pháp</v>
      </c>
      <c r="E76" s="179">
        <v>8</v>
      </c>
    </row>
    <row r="77" ht="15" spans="1:5">
      <c r="A77" s="24">
        <v>74</v>
      </c>
      <c r="B77" s="152" t="s">
        <v>146</v>
      </c>
      <c r="C77" s="27" t="s">
        <v>43</v>
      </c>
      <c r="D77" s="167" t="str">
        <f t="shared" si="1"/>
        <v>CN_MOBILE Client2Phát triển</v>
      </c>
      <c r="E77" s="179">
        <v>17.5</v>
      </c>
    </row>
    <row r="78" ht="15" spans="1:5">
      <c r="A78" s="24">
        <v>75</v>
      </c>
      <c r="B78" s="152" t="s">
        <v>146</v>
      </c>
      <c r="C78" s="27" t="s">
        <v>1341</v>
      </c>
      <c r="D78" s="167" t="str">
        <f t="shared" si="1"/>
        <v>CN_MOBILE Client2kiểm thử</v>
      </c>
      <c r="E78" s="179">
        <v>10.5</v>
      </c>
    </row>
    <row r="79" s="163" customFormat="1" ht="15" spans="1:7">
      <c r="A79" s="24">
        <v>76</v>
      </c>
      <c r="B79" s="27" t="s">
        <v>1121</v>
      </c>
      <c r="C79" s="27" t="s">
        <v>41</v>
      </c>
      <c r="D79" s="167" t="str">
        <f t="shared" si="1"/>
        <v>CN_MOBILE Client2_NCGiải pháp</v>
      </c>
      <c r="E79" s="30">
        <v>4</v>
      </c>
      <c r="F79" s="180"/>
      <c r="G79" s="181"/>
    </row>
    <row r="80" s="163" customFormat="1" ht="15" spans="1:7">
      <c r="A80" s="24">
        <v>77</v>
      </c>
      <c r="B80" s="27" t="s">
        <v>1121</v>
      </c>
      <c r="C80" s="27" t="s">
        <v>43</v>
      </c>
      <c r="D80" s="167" t="str">
        <f t="shared" si="1"/>
        <v>CN_MOBILE Client2_NCPhát triển</v>
      </c>
      <c r="E80" s="30">
        <v>8</v>
      </c>
      <c r="F80" s="182"/>
      <c r="G80" s="182"/>
    </row>
    <row r="81" s="163" customFormat="1" ht="15" spans="1:7">
      <c r="A81" s="24">
        <v>78</v>
      </c>
      <c r="B81" s="27" t="s">
        <v>1121</v>
      </c>
      <c r="C81" s="27" t="s">
        <v>1341</v>
      </c>
      <c r="D81" s="167" t="str">
        <f t="shared" si="1"/>
        <v>CN_MOBILE Client2_NCkiểm thử</v>
      </c>
      <c r="E81" s="30">
        <v>4</v>
      </c>
      <c r="F81" s="182"/>
      <c r="G81" s="182"/>
    </row>
    <row r="82" ht="15" spans="1:5">
      <c r="A82" s="24">
        <v>79</v>
      </c>
      <c r="B82" s="152" t="s">
        <v>148</v>
      </c>
      <c r="C82" s="27" t="s">
        <v>41</v>
      </c>
      <c r="D82" s="167" t="str">
        <f t="shared" si="1"/>
        <v>CN_MOBILE Client3Giải pháp</v>
      </c>
      <c r="E82" s="179">
        <v>12</v>
      </c>
    </row>
    <row r="83" ht="15" spans="1:5">
      <c r="A83" s="24">
        <v>80</v>
      </c>
      <c r="B83" s="152" t="s">
        <v>148</v>
      </c>
      <c r="C83" s="27" t="s">
        <v>43</v>
      </c>
      <c r="D83" s="167" t="str">
        <f t="shared" si="1"/>
        <v>CN_MOBILE Client3Phát triển</v>
      </c>
      <c r="E83" s="179">
        <v>28</v>
      </c>
    </row>
    <row r="84" ht="15" spans="1:5">
      <c r="A84" s="24">
        <v>81</v>
      </c>
      <c r="B84" s="152" t="s">
        <v>148</v>
      </c>
      <c r="C84" s="27" t="s">
        <v>1341</v>
      </c>
      <c r="D84" s="167" t="str">
        <f t="shared" si="1"/>
        <v>CN_MOBILE Client3kiểm thử</v>
      </c>
      <c r="E84" s="179">
        <v>16.8</v>
      </c>
    </row>
    <row r="85" ht="15" spans="1:5">
      <c r="A85" s="24">
        <v>82</v>
      </c>
      <c r="B85" s="152" t="s">
        <v>150</v>
      </c>
      <c r="C85" s="27" t="s">
        <v>41</v>
      </c>
      <c r="D85" s="167" t="str">
        <f t="shared" si="1"/>
        <v>CN_MOBILE Server1Giải pháp</v>
      </c>
      <c r="E85" s="179">
        <v>4</v>
      </c>
    </row>
    <row r="86" ht="15" spans="1:5">
      <c r="A86" s="24">
        <v>83</v>
      </c>
      <c r="B86" s="152" t="s">
        <v>150</v>
      </c>
      <c r="C86" s="27" t="s">
        <v>43</v>
      </c>
      <c r="D86" s="167" t="str">
        <f t="shared" si="1"/>
        <v>CN_MOBILE Server1Phát triển</v>
      </c>
      <c r="E86" s="179">
        <v>7.5</v>
      </c>
    </row>
    <row r="87" ht="15" spans="1:5">
      <c r="A87" s="24">
        <v>84</v>
      </c>
      <c r="B87" s="152" t="s">
        <v>150</v>
      </c>
      <c r="C87" s="27" t="s">
        <v>1341</v>
      </c>
      <c r="D87" s="167" t="str">
        <f t="shared" si="1"/>
        <v>CN_MOBILE Server1kiểm thử</v>
      </c>
      <c r="E87" s="179">
        <v>4</v>
      </c>
    </row>
    <row r="88" ht="15" spans="1:5">
      <c r="A88" s="24">
        <v>85</v>
      </c>
      <c r="B88" s="152" t="s">
        <v>152</v>
      </c>
      <c r="C88" s="27" t="s">
        <v>41</v>
      </c>
      <c r="D88" s="167" t="str">
        <f t="shared" si="1"/>
        <v>CN_MOBILE Server2Giải pháp</v>
      </c>
      <c r="E88" s="179">
        <v>8</v>
      </c>
    </row>
    <row r="89" ht="15" spans="1:5">
      <c r="A89" s="24">
        <v>86</v>
      </c>
      <c r="B89" s="152" t="s">
        <v>152</v>
      </c>
      <c r="C89" s="27" t="s">
        <v>43</v>
      </c>
      <c r="D89" s="167" t="str">
        <f t="shared" si="1"/>
        <v>CN_MOBILE Server2Phát triển</v>
      </c>
      <c r="E89" s="179">
        <v>14.8</v>
      </c>
    </row>
    <row r="90" ht="15" spans="1:5">
      <c r="A90" s="24">
        <v>87</v>
      </c>
      <c r="B90" s="152" t="s">
        <v>152</v>
      </c>
      <c r="C90" s="27" t="s">
        <v>1341</v>
      </c>
      <c r="D90" s="167" t="str">
        <f t="shared" si="1"/>
        <v>CN_MOBILE Server2kiểm thử</v>
      </c>
      <c r="E90" s="179">
        <v>9</v>
      </c>
    </row>
    <row r="91" ht="15" spans="1:5">
      <c r="A91" s="24">
        <v>88</v>
      </c>
      <c r="B91" s="152" t="s">
        <v>154</v>
      </c>
      <c r="C91" s="27" t="s">
        <v>41</v>
      </c>
      <c r="D91" s="167" t="str">
        <f t="shared" si="1"/>
        <v>CN_MOBILE Server3Giải pháp</v>
      </c>
      <c r="E91" s="179">
        <v>15</v>
      </c>
    </row>
    <row r="92" ht="15" spans="1:5">
      <c r="A92" s="24">
        <v>89</v>
      </c>
      <c r="B92" s="152" t="s">
        <v>154</v>
      </c>
      <c r="C92" s="27" t="s">
        <v>43</v>
      </c>
      <c r="D92" s="167" t="str">
        <f t="shared" si="1"/>
        <v>CN_MOBILE Server3Phát triển</v>
      </c>
      <c r="E92" s="179">
        <v>26</v>
      </c>
    </row>
    <row r="93" ht="15" spans="1:5">
      <c r="A93" s="24">
        <v>90</v>
      </c>
      <c r="B93" s="152" t="s">
        <v>154</v>
      </c>
      <c r="C93" s="27" t="s">
        <v>1341</v>
      </c>
      <c r="D93" s="167" t="str">
        <f t="shared" si="1"/>
        <v>CN_MOBILE Server3kiểm thử</v>
      </c>
      <c r="E93" s="179">
        <v>18</v>
      </c>
    </row>
    <row r="94" ht="15" spans="1:5">
      <c r="A94" s="24">
        <v>91</v>
      </c>
      <c r="B94" s="176" t="s">
        <v>207</v>
      </c>
      <c r="C94" s="27" t="s">
        <v>41</v>
      </c>
      <c r="D94" s="167" t="str">
        <f t="shared" si="1"/>
        <v>TT_DB1Giải pháp</v>
      </c>
      <c r="E94" s="30">
        <v>7.36</v>
      </c>
    </row>
    <row r="95" ht="15" spans="1:5">
      <c r="A95" s="24">
        <v>92</v>
      </c>
      <c r="B95" s="176" t="s">
        <v>207</v>
      </c>
      <c r="C95" s="27" t="s">
        <v>43</v>
      </c>
      <c r="D95" s="167" t="str">
        <f t="shared" si="1"/>
        <v>TT_DB1Phát triển</v>
      </c>
      <c r="E95" s="30">
        <v>8</v>
      </c>
    </row>
    <row r="96" ht="15" spans="1:5">
      <c r="A96" s="24">
        <v>93</v>
      </c>
      <c r="B96" s="176" t="s">
        <v>207</v>
      </c>
      <c r="C96" s="27" t="s">
        <v>1341</v>
      </c>
      <c r="D96" s="167" t="str">
        <f t="shared" si="1"/>
        <v>TT_DB1kiểm thử</v>
      </c>
      <c r="E96" s="30">
        <v>6.88</v>
      </c>
    </row>
    <row r="97" ht="15" spans="1:5">
      <c r="A97" s="24">
        <v>94</v>
      </c>
      <c r="B97" s="176" t="s">
        <v>209</v>
      </c>
      <c r="C97" s="27" t="s">
        <v>41</v>
      </c>
      <c r="D97" s="167" t="str">
        <f t="shared" si="1"/>
        <v>TT_DB2Giải pháp</v>
      </c>
      <c r="E97" s="30">
        <v>11.04</v>
      </c>
    </row>
    <row r="98" ht="15" spans="1:5">
      <c r="A98" s="24">
        <v>95</v>
      </c>
      <c r="B98" s="176" t="s">
        <v>209</v>
      </c>
      <c r="C98" s="27" t="s">
        <v>43</v>
      </c>
      <c r="D98" s="167" t="str">
        <f t="shared" si="1"/>
        <v>TT_DB2Phát triển</v>
      </c>
      <c r="E98" s="30">
        <v>16</v>
      </c>
    </row>
    <row r="99" ht="15" spans="1:5">
      <c r="A99" s="24">
        <v>96</v>
      </c>
      <c r="B99" s="176" t="s">
        <v>209</v>
      </c>
      <c r="C99" s="27" t="s">
        <v>1341</v>
      </c>
      <c r="D99" s="167" t="str">
        <f t="shared" si="1"/>
        <v>TT_DB2kiểm thử</v>
      </c>
      <c r="E99" s="30">
        <v>10.4</v>
      </c>
    </row>
    <row r="100" ht="15" spans="1:5">
      <c r="A100" s="24">
        <v>97</v>
      </c>
      <c r="B100" s="176" t="s">
        <v>211</v>
      </c>
      <c r="C100" s="27" t="s">
        <v>41</v>
      </c>
      <c r="D100" s="167" t="str">
        <f t="shared" si="1"/>
        <v>TT_DB3Giải pháp</v>
      </c>
      <c r="E100" s="30">
        <v>14.72</v>
      </c>
    </row>
    <row r="101" ht="15" spans="1:5">
      <c r="A101" s="24">
        <v>98</v>
      </c>
      <c r="B101" s="176" t="s">
        <v>211</v>
      </c>
      <c r="C101" s="27" t="s">
        <v>43</v>
      </c>
      <c r="D101" s="167" t="str">
        <f t="shared" si="1"/>
        <v>TT_DB3Phát triển</v>
      </c>
      <c r="E101" s="30">
        <v>24</v>
      </c>
    </row>
    <row r="102" ht="15" spans="1:5">
      <c r="A102" s="24">
        <v>99</v>
      </c>
      <c r="B102" s="176" t="s">
        <v>211</v>
      </c>
      <c r="C102" s="27" t="s">
        <v>1341</v>
      </c>
      <c r="D102" s="167" t="str">
        <f t="shared" si="1"/>
        <v>TT_DB3kiểm thử</v>
      </c>
      <c r="E102" s="30">
        <v>13.84</v>
      </c>
    </row>
    <row r="103" ht="15" spans="1:5">
      <c r="A103" s="24">
        <v>100</v>
      </c>
      <c r="B103" s="145" t="s">
        <v>1135</v>
      </c>
      <c r="C103" s="177" t="s">
        <v>41</v>
      </c>
      <c r="D103" s="167" t="str">
        <f t="shared" si="1"/>
        <v>FW_GSM1Giải pháp</v>
      </c>
      <c r="E103" s="173">
        <v>20</v>
      </c>
    </row>
    <row r="104" ht="15" spans="1:5">
      <c r="A104" s="24">
        <v>101</v>
      </c>
      <c r="B104" s="145" t="s">
        <v>1135</v>
      </c>
      <c r="C104" s="177" t="s">
        <v>43</v>
      </c>
      <c r="D104" s="167" t="str">
        <f t="shared" si="1"/>
        <v>FW_GSM1Phát triển</v>
      </c>
      <c r="E104" s="173">
        <v>32</v>
      </c>
    </row>
    <row r="105" ht="15" spans="1:5">
      <c r="A105" s="24">
        <v>102</v>
      </c>
      <c r="B105" s="145" t="s">
        <v>1135</v>
      </c>
      <c r="C105" s="177" t="s">
        <v>1341</v>
      </c>
      <c r="D105" s="167" t="str">
        <f t="shared" si="1"/>
        <v>FW_GSM1kiểm thử</v>
      </c>
      <c r="E105" s="173">
        <v>24</v>
      </c>
    </row>
    <row r="106" ht="15" spans="1:5">
      <c r="A106" s="24">
        <v>103</v>
      </c>
      <c r="B106" s="145" t="s">
        <v>1139</v>
      </c>
      <c r="C106" s="177" t="s">
        <v>41</v>
      </c>
      <c r="D106" s="167" t="str">
        <f t="shared" si="1"/>
        <v>FW_GSM2Giải pháp</v>
      </c>
      <c r="E106" s="173">
        <v>26</v>
      </c>
    </row>
    <row r="107" ht="15" spans="1:5">
      <c r="A107" s="24">
        <v>104</v>
      </c>
      <c r="B107" s="145" t="s">
        <v>1139</v>
      </c>
      <c r="C107" s="177" t="s">
        <v>43</v>
      </c>
      <c r="D107" s="167" t="str">
        <f t="shared" si="1"/>
        <v>FW_GSM2Phát triển</v>
      </c>
      <c r="E107" s="173">
        <v>40</v>
      </c>
    </row>
    <row r="108" ht="15" spans="1:5">
      <c r="A108" s="24">
        <v>105</v>
      </c>
      <c r="B108" s="145" t="s">
        <v>1139</v>
      </c>
      <c r="C108" s="177" t="s">
        <v>1341</v>
      </c>
      <c r="D108" s="167" t="str">
        <f t="shared" si="1"/>
        <v>FW_GSM2kiểm thử</v>
      </c>
      <c r="E108" s="173">
        <v>28</v>
      </c>
    </row>
    <row r="109" ht="15" spans="1:5">
      <c r="A109" s="24">
        <v>106</v>
      </c>
      <c r="B109" s="145" t="s">
        <v>1142</v>
      </c>
      <c r="C109" s="177" t="s">
        <v>41</v>
      </c>
      <c r="D109" s="167" t="str">
        <f t="shared" si="1"/>
        <v>FW_GSM3Giải pháp</v>
      </c>
      <c r="E109" s="173">
        <v>32</v>
      </c>
    </row>
    <row r="110" ht="15" spans="1:5">
      <c r="A110" s="24">
        <v>107</v>
      </c>
      <c r="B110" s="145" t="s">
        <v>1142</v>
      </c>
      <c r="C110" s="177" t="s">
        <v>43</v>
      </c>
      <c r="D110" s="167" t="str">
        <f t="shared" si="1"/>
        <v>FW_GSM3Phát triển</v>
      </c>
      <c r="E110" s="173">
        <v>48</v>
      </c>
    </row>
    <row r="111" ht="15" spans="1:5">
      <c r="A111" s="24">
        <v>108</v>
      </c>
      <c r="B111" s="145" t="s">
        <v>1142</v>
      </c>
      <c r="C111" s="177" t="s">
        <v>1341</v>
      </c>
      <c r="D111" s="167" t="str">
        <f t="shared" si="1"/>
        <v>FW_GSM3kiểm thử</v>
      </c>
      <c r="E111" s="173">
        <v>32</v>
      </c>
    </row>
    <row r="112" ht="15" spans="1:5">
      <c r="A112" s="24">
        <v>109</v>
      </c>
      <c r="B112" s="145" t="s">
        <v>1145</v>
      </c>
      <c r="C112" s="177" t="s">
        <v>41</v>
      </c>
      <c r="D112" s="167" t="str">
        <f t="shared" si="1"/>
        <v>FW_SSL1Giải pháp</v>
      </c>
      <c r="E112" s="173">
        <v>20</v>
      </c>
    </row>
    <row r="113" ht="15" spans="1:5">
      <c r="A113" s="24">
        <v>110</v>
      </c>
      <c r="B113" s="145" t="s">
        <v>1145</v>
      </c>
      <c r="C113" s="177" t="s">
        <v>43</v>
      </c>
      <c r="D113" s="167" t="str">
        <f t="shared" si="1"/>
        <v>FW_SSL1Phát triển</v>
      </c>
      <c r="E113" s="173">
        <v>32</v>
      </c>
    </row>
    <row r="114" ht="15" spans="1:5">
      <c r="A114" s="24">
        <v>111</v>
      </c>
      <c r="B114" s="145" t="s">
        <v>1145</v>
      </c>
      <c r="C114" s="177" t="s">
        <v>1341</v>
      </c>
      <c r="D114" s="167" t="str">
        <f t="shared" si="1"/>
        <v>FW_SSL1kiểm thử</v>
      </c>
      <c r="E114" s="173">
        <v>24</v>
      </c>
    </row>
    <row r="115" ht="15" spans="1:5">
      <c r="A115" s="24">
        <v>112</v>
      </c>
      <c r="B115" s="145" t="s">
        <v>1148</v>
      </c>
      <c r="C115" s="177" t="s">
        <v>41</v>
      </c>
      <c r="D115" s="167" t="str">
        <f t="shared" si="1"/>
        <v>FW_SSL2Giải pháp</v>
      </c>
      <c r="E115" s="173">
        <v>26</v>
      </c>
    </row>
    <row r="116" ht="15" spans="1:5">
      <c r="A116" s="24">
        <v>113</v>
      </c>
      <c r="B116" s="145" t="s">
        <v>1148</v>
      </c>
      <c r="C116" s="177" t="s">
        <v>43</v>
      </c>
      <c r="D116" s="167" t="str">
        <f t="shared" si="1"/>
        <v>FW_SSL2Phát triển</v>
      </c>
      <c r="E116" s="173">
        <v>40</v>
      </c>
    </row>
    <row r="117" ht="15" spans="1:5">
      <c r="A117" s="24">
        <v>114</v>
      </c>
      <c r="B117" s="145" t="s">
        <v>1148</v>
      </c>
      <c r="C117" s="177" t="s">
        <v>1341</v>
      </c>
      <c r="D117" s="167" t="str">
        <f t="shared" si="1"/>
        <v>FW_SSL2kiểm thử</v>
      </c>
      <c r="E117" s="173">
        <v>28</v>
      </c>
    </row>
    <row r="118" ht="15" spans="1:5">
      <c r="A118" s="24">
        <v>115</v>
      </c>
      <c r="B118" s="145" t="s">
        <v>1151</v>
      </c>
      <c r="C118" s="177" t="s">
        <v>41</v>
      </c>
      <c r="D118" s="167" t="str">
        <f t="shared" si="1"/>
        <v>FW_SSL3Giải pháp</v>
      </c>
      <c r="E118" s="173">
        <v>32</v>
      </c>
    </row>
    <row r="119" ht="15" spans="1:5">
      <c r="A119" s="24">
        <v>116</v>
      </c>
      <c r="B119" s="145" t="s">
        <v>1151</v>
      </c>
      <c r="C119" s="177" t="s">
        <v>43</v>
      </c>
      <c r="D119" s="167" t="str">
        <f t="shared" si="1"/>
        <v>FW_SSL3Phát triển</v>
      </c>
      <c r="E119" s="173">
        <v>48</v>
      </c>
    </row>
    <row r="120" ht="15" spans="1:5">
      <c r="A120" s="24">
        <v>117</v>
      </c>
      <c r="B120" s="145" t="s">
        <v>1151</v>
      </c>
      <c r="C120" s="177" t="s">
        <v>1341</v>
      </c>
      <c r="D120" s="167" t="str">
        <f t="shared" si="1"/>
        <v>FW_SSL3kiểm thử</v>
      </c>
      <c r="E120" s="173">
        <v>32</v>
      </c>
    </row>
    <row r="121" ht="15" spans="1:5">
      <c r="A121" s="24">
        <v>118</v>
      </c>
      <c r="B121" s="145" t="s">
        <v>1154</v>
      </c>
      <c r="C121" s="177" t="s">
        <v>41</v>
      </c>
      <c r="D121" s="167" t="str">
        <f t="shared" si="1"/>
        <v>FW_ADC1Giải pháp</v>
      </c>
      <c r="E121" s="173">
        <v>20</v>
      </c>
    </row>
    <row r="122" ht="15" spans="1:5">
      <c r="A122" s="24">
        <v>119</v>
      </c>
      <c r="B122" s="145" t="s">
        <v>1154</v>
      </c>
      <c r="C122" s="177" t="s">
        <v>43</v>
      </c>
      <c r="D122" s="167" t="str">
        <f t="shared" si="1"/>
        <v>FW_ADC1Phát triển</v>
      </c>
      <c r="E122" s="173">
        <v>32</v>
      </c>
    </row>
    <row r="123" ht="15" spans="1:5">
      <c r="A123" s="24">
        <v>120</v>
      </c>
      <c r="B123" s="145" t="s">
        <v>1154</v>
      </c>
      <c r="C123" s="177" t="s">
        <v>1341</v>
      </c>
      <c r="D123" s="167" t="str">
        <f t="shared" si="1"/>
        <v>FW_ADC1kiểm thử</v>
      </c>
      <c r="E123" s="173">
        <v>24</v>
      </c>
    </row>
    <row r="124" ht="15" spans="1:5">
      <c r="A124" s="24">
        <v>121</v>
      </c>
      <c r="B124" s="145" t="s">
        <v>1157</v>
      </c>
      <c r="C124" s="177" t="s">
        <v>41</v>
      </c>
      <c r="D124" s="167" t="str">
        <f t="shared" si="1"/>
        <v>FW_ADC2Giải pháp</v>
      </c>
      <c r="E124" s="173">
        <v>26</v>
      </c>
    </row>
    <row r="125" ht="15" spans="1:5">
      <c r="A125" s="24">
        <v>122</v>
      </c>
      <c r="B125" s="145" t="s">
        <v>1157</v>
      </c>
      <c r="C125" s="177" t="s">
        <v>43</v>
      </c>
      <c r="D125" s="167" t="str">
        <f t="shared" si="1"/>
        <v>FW_ADC2Phát triển</v>
      </c>
      <c r="E125" s="173">
        <v>40</v>
      </c>
    </row>
    <row r="126" ht="15" spans="1:5">
      <c r="A126" s="24">
        <v>123</v>
      </c>
      <c r="B126" s="145" t="s">
        <v>1157</v>
      </c>
      <c r="C126" s="177" t="s">
        <v>1341</v>
      </c>
      <c r="D126" s="167" t="str">
        <f t="shared" si="1"/>
        <v>FW_ADC2kiểm thử</v>
      </c>
      <c r="E126" s="173">
        <v>28</v>
      </c>
    </row>
    <row r="127" ht="15" spans="1:5">
      <c r="A127" s="24">
        <v>124</v>
      </c>
      <c r="B127" s="145" t="s">
        <v>1160</v>
      </c>
      <c r="C127" s="177" t="s">
        <v>41</v>
      </c>
      <c r="D127" s="167" t="str">
        <f t="shared" si="1"/>
        <v>FW_ADC3Giải pháp</v>
      </c>
      <c r="E127" s="173">
        <v>32</v>
      </c>
    </row>
    <row r="128" ht="15" spans="1:5">
      <c r="A128" s="24">
        <v>125</v>
      </c>
      <c r="B128" s="145" t="s">
        <v>1160</v>
      </c>
      <c r="C128" s="177" t="s">
        <v>43</v>
      </c>
      <c r="D128" s="167" t="str">
        <f t="shared" si="1"/>
        <v>FW_ADC3Phát triển</v>
      </c>
      <c r="E128" s="173">
        <v>48</v>
      </c>
    </row>
    <row r="129" ht="15" spans="1:5">
      <c r="A129" s="24">
        <v>126</v>
      </c>
      <c r="B129" s="145" t="s">
        <v>1160</v>
      </c>
      <c r="C129" s="177" t="s">
        <v>1341</v>
      </c>
      <c r="D129" s="167" t="str">
        <f t="shared" si="1"/>
        <v>FW_ADC3kiểm thử</v>
      </c>
      <c r="E129" s="173">
        <v>32</v>
      </c>
    </row>
    <row r="130" ht="15" spans="1:5">
      <c r="A130" s="24">
        <v>127</v>
      </c>
      <c r="B130" s="176" t="s">
        <v>1163</v>
      </c>
      <c r="C130" s="177" t="s">
        <v>41</v>
      </c>
      <c r="D130" s="167" t="str">
        <f t="shared" si="1"/>
        <v>CSI_NORMAL_1Giải pháp</v>
      </c>
      <c r="E130" s="173">
        <v>24</v>
      </c>
    </row>
    <row r="131" ht="15" spans="1:5">
      <c r="A131" s="24">
        <v>128</v>
      </c>
      <c r="B131" s="176" t="s">
        <v>1163</v>
      </c>
      <c r="C131" s="177" t="s">
        <v>43</v>
      </c>
      <c r="D131" s="167" t="str">
        <f t="shared" si="1"/>
        <v>CSI_NORMAL_1Phát triển</v>
      </c>
      <c r="E131" s="173">
        <v>6</v>
      </c>
    </row>
    <row r="132" ht="15" spans="1:5">
      <c r="A132" s="24">
        <v>129</v>
      </c>
      <c r="B132" s="176" t="s">
        <v>1163</v>
      </c>
      <c r="C132" s="177" t="s">
        <v>47</v>
      </c>
      <c r="D132" s="167" t="str">
        <f t="shared" si="1"/>
        <v>CSI_NORMAL_1Kiểm thử</v>
      </c>
      <c r="E132" s="173">
        <v>12</v>
      </c>
    </row>
    <row r="133" ht="15" spans="1:5">
      <c r="A133" s="24">
        <v>130</v>
      </c>
      <c r="B133" s="176" t="s">
        <v>1167</v>
      </c>
      <c r="C133" s="177" t="s">
        <v>41</v>
      </c>
      <c r="D133" s="167" t="str">
        <f t="shared" si="1"/>
        <v>CSI_NORMAL_2Giải pháp</v>
      </c>
      <c r="E133" s="173">
        <v>40</v>
      </c>
    </row>
    <row r="134" ht="15" spans="1:5">
      <c r="A134" s="24">
        <v>131</v>
      </c>
      <c r="B134" s="176" t="s">
        <v>1167</v>
      </c>
      <c r="C134" s="177" t="s">
        <v>43</v>
      </c>
      <c r="D134" s="167" t="str">
        <f t="shared" si="1"/>
        <v>CSI_NORMAL_2Phát triển</v>
      </c>
      <c r="E134" s="173">
        <v>10</v>
      </c>
    </row>
    <row r="135" ht="15" spans="1:5">
      <c r="A135" s="24">
        <v>132</v>
      </c>
      <c r="B135" s="176" t="s">
        <v>1167</v>
      </c>
      <c r="C135" s="177" t="s">
        <v>47</v>
      </c>
      <c r="D135" s="167" t="str">
        <f t="shared" ref="D135:D198" si="2">B135&amp;C135</f>
        <v>CSI_NORMAL_2Kiểm thử</v>
      </c>
      <c r="E135" s="173">
        <v>20</v>
      </c>
    </row>
    <row r="136" ht="15" spans="1:5">
      <c r="A136" s="24">
        <v>133</v>
      </c>
      <c r="B136" s="176" t="s">
        <v>1170</v>
      </c>
      <c r="C136" s="177" t="s">
        <v>41</v>
      </c>
      <c r="D136" s="167" t="str">
        <f t="shared" si="2"/>
        <v>CSI_NORMAL_3Giải pháp</v>
      </c>
      <c r="E136" s="173">
        <v>64</v>
      </c>
    </row>
    <row r="137" ht="15" spans="1:5">
      <c r="A137" s="24">
        <v>134</v>
      </c>
      <c r="B137" s="176" t="s">
        <v>1170</v>
      </c>
      <c r="C137" s="177" t="s">
        <v>43</v>
      </c>
      <c r="D137" s="167" t="str">
        <f t="shared" si="2"/>
        <v>CSI_NORMAL_3Phát triển</v>
      </c>
      <c r="E137" s="173">
        <v>16</v>
      </c>
    </row>
    <row r="138" ht="15" spans="1:5">
      <c r="A138" s="24">
        <v>135</v>
      </c>
      <c r="B138" s="176" t="s">
        <v>1170</v>
      </c>
      <c r="C138" s="177" t="s">
        <v>47</v>
      </c>
      <c r="D138" s="167" t="str">
        <f t="shared" si="2"/>
        <v>CSI_NORMAL_3Kiểm thử</v>
      </c>
      <c r="E138" s="173">
        <v>32</v>
      </c>
    </row>
    <row r="139" ht="15" spans="1:5">
      <c r="A139" s="24">
        <v>136</v>
      </c>
      <c r="B139" s="152" t="s">
        <v>131</v>
      </c>
      <c r="C139" s="167" t="s">
        <v>41</v>
      </c>
      <c r="D139" s="167" t="str">
        <f t="shared" si="2"/>
        <v>DM3Giải pháp</v>
      </c>
      <c r="E139" s="30">
        <v>6</v>
      </c>
    </row>
    <row r="140" ht="15" spans="1:5">
      <c r="A140" s="24">
        <v>137</v>
      </c>
      <c r="B140" s="152" t="s">
        <v>131</v>
      </c>
      <c r="C140" s="167" t="s">
        <v>43</v>
      </c>
      <c r="D140" s="167" t="str">
        <f t="shared" si="2"/>
        <v>DM3Phát triển</v>
      </c>
      <c r="E140" s="30">
        <v>16</v>
      </c>
    </row>
    <row r="141" ht="15" spans="1:5">
      <c r="A141" s="24">
        <v>138</v>
      </c>
      <c r="B141" s="152" t="s">
        <v>131</v>
      </c>
      <c r="C141" s="183" t="s">
        <v>47</v>
      </c>
      <c r="D141" s="167" t="str">
        <f t="shared" si="2"/>
        <v>DM3Kiểm thử</v>
      </c>
      <c r="E141" s="30">
        <v>16</v>
      </c>
    </row>
    <row r="142" ht="15" spans="1:5">
      <c r="A142" s="24">
        <v>139</v>
      </c>
      <c r="B142" s="176" t="s">
        <v>1184</v>
      </c>
      <c r="C142" s="177" t="s">
        <v>41</v>
      </c>
      <c r="D142" s="167" t="str">
        <f t="shared" si="2"/>
        <v>DP_IMP1Giải pháp</v>
      </c>
      <c r="E142" s="173">
        <v>4</v>
      </c>
    </row>
    <row r="143" ht="15" spans="1:5">
      <c r="A143" s="24">
        <v>140</v>
      </c>
      <c r="B143" s="176" t="s">
        <v>1184</v>
      </c>
      <c r="C143" s="177" t="s">
        <v>43</v>
      </c>
      <c r="D143" s="167" t="str">
        <f t="shared" si="2"/>
        <v>DP_IMP1Phát triển</v>
      </c>
      <c r="E143" s="173">
        <v>4</v>
      </c>
    </row>
    <row r="144" ht="15" spans="1:5">
      <c r="A144" s="24">
        <v>141</v>
      </c>
      <c r="B144" s="176" t="s">
        <v>1184</v>
      </c>
      <c r="C144" s="183" t="s">
        <v>47</v>
      </c>
      <c r="D144" s="167" t="str">
        <f t="shared" si="2"/>
        <v>DP_IMP1Kiểm thử</v>
      </c>
      <c r="E144" s="173">
        <v>3.5</v>
      </c>
    </row>
    <row r="145" ht="15" spans="1:5">
      <c r="A145" s="24">
        <v>142</v>
      </c>
      <c r="B145" s="176" t="s">
        <v>1189</v>
      </c>
      <c r="C145" s="177" t="s">
        <v>41</v>
      </c>
      <c r="D145" s="167" t="str">
        <f t="shared" si="2"/>
        <v>DP_IMP2Giải pháp</v>
      </c>
      <c r="E145" s="173">
        <v>7.5</v>
      </c>
    </row>
    <row r="146" ht="15" spans="1:5">
      <c r="A146" s="24">
        <v>143</v>
      </c>
      <c r="B146" s="176" t="s">
        <v>1189</v>
      </c>
      <c r="C146" s="177" t="s">
        <v>43</v>
      </c>
      <c r="D146" s="167" t="str">
        <f t="shared" si="2"/>
        <v>DP_IMP2Phát triển</v>
      </c>
      <c r="E146" s="173">
        <v>12</v>
      </c>
    </row>
    <row r="147" ht="15" spans="1:5">
      <c r="A147" s="24">
        <v>144</v>
      </c>
      <c r="B147" s="176" t="s">
        <v>1189</v>
      </c>
      <c r="C147" s="183" t="s">
        <v>47</v>
      </c>
      <c r="D147" s="167" t="str">
        <f t="shared" si="2"/>
        <v>DP_IMP2Kiểm thử</v>
      </c>
      <c r="E147" s="173">
        <v>7</v>
      </c>
    </row>
    <row r="148" ht="15" spans="1:5">
      <c r="A148" s="24">
        <v>145</v>
      </c>
      <c r="B148" s="176" t="s">
        <v>1192</v>
      </c>
      <c r="C148" s="177" t="s">
        <v>41</v>
      </c>
      <c r="D148" s="167" t="str">
        <f t="shared" si="2"/>
        <v>DP_IMP3Giải pháp</v>
      </c>
      <c r="E148" s="173">
        <v>11</v>
      </c>
    </row>
    <row r="149" ht="15" spans="1:5">
      <c r="A149" s="24">
        <v>146</v>
      </c>
      <c r="B149" s="176" t="s">
        <v>1192</v>
      </c>
      <c r="C149" s="177" t="s">
        <v>43</v>
      </c>
      <c r="D149" s="167" t="str">
        <f t="shared" si="2"/>
        <v>DP_IMP3Phát triển</v>
      </c>
      <c r="E149" s="173">
        <v>16</v>
      </c>
    </row>
    <row r="150" ht="15" spans="1:5">
      <c r="A150" s="24">
        <v>147</v>
      </c>
      <c r="B150" s="176" t="s">
        <v>1192</v>
      </c>
      <c r="C150" s="183" t="s">
        <v>47</v>
      </c>
      <c r="D150" s="167" t="str">
        <f t="shared" si="2"/>
        <v>DP_IMP3Kiểm thử</v>
      </c>
      <c r="E150" s="173">
        <v>10.5</v>
      </c>
    </row>
    <row r="151" ht="15" spans="1:5">
      <c r="A151" s="24">
        <v>148</v>
      </c>
      <c r="B151" s="27" t="s">
        <v>1206</v>
      </c>
      <c r="C151" s="177" t="s">
        <v>41</v>
      </c>
      <c r="D151" s="167" t="str">
        <f t="shared" si="2"/>
        <v>DP_EXP1Giải pháp</v>
      </c>
      <c r="E151" s="173">
        <v>4</v>
      </c>
    </row>
    <row r="152" ht="15" spans="1:5">
      <c r="A152" s="24">
        <v>149</v>
      </c>
      <c r="B152" s="27" t="s">
        <v>1206</v>
      </c>
      <c r="C152" s="177" t="s">
        <v>43</v>
      </c>
      <c r="D152" s="167" t="str">
        <f t="shared" si="2"/>
        <v>DP_EXP1Phát triển</v>
      </c>
      <c r="E152" s="173">
        <v>4</v>
      </c>
    </row>
    <row r="153" ht="15" spans="1:5">
      <c r="A153" s="24">
        <v>150</v>
      </c>
      <c r="B153" s="27" t="s">
        <v>1206</v>
      </c>
      <c r="C153" s="183" t="s">
        <v>47</v>
      </c>
      <c r="D153" s="167" t="str">
        <f t="shared" si="2"/>
        <v>DP_EXP1Kiểm thử</v>
      </c>
      <c r="E153" s="173">
        <v>3.5</v>
      </c>
    </row>
    <row r="154" ht="15" spans="1:5">
      <c r="A154" s="24">
        <v>151</v>
      </c>
      <c r="B154" s="176" t="s">
        <v>1195</v>
      </c>
      <c r="C154" s="177" t="s">
        <v>41</v>
      </c>
      <c r="D154" s="167" t="str">
        <f t="shared" si="2"/>
        <v>DP_AGG1Giải pháp</v>
      </c>
      <c r="E154" s="173">
        <v>6</v>
      </c>
    </row>
    <row r="155" ht="15" spans="1:5">
      <c r="A155" s="24">
        <v>152</v>
      </c>
      <c r="B155" s="176" t="s">
        <v>1195</v>
      </c>
      <c r="C155" s="177" t="s">
        <v>43</v>
      </c>
      <c r="D155" s="167" t="str">
        <f t="shared" si="2"/>
        <v>DP_AGG1Phát triển</v>
      </c>
      <c r="E155" s="173">
        <v>6</v>
      </c>
    </row>
    <row r="156" ht="15" spans="1:5">
      <c r="A156" s="24">
        <v>153</v>
      </c>
      <c r="B156" s="176" t="s">
        <v>1195</v>
      </c>
      <c r="C156" s="183" t="s">
        <v>47</v>
      </c>
      <c r="D156" s="167" t="str">
        <f t="shared" si="2"/>
        <v>DP_AGG1Kiểm thử</v>
      </c>
      <c r="E156" s="173">
        <v>5.5</v>
      </c>
    </row>
    <row r="157" ht="15" spans="1:5">
      <c r="A157" s="24">
        <v>154</v>
      </c>
      <c r="B157" s="176" t="s">
        <v>1200</v>
      </c>
      <c r="C157" s="177" t="s">
        <v>41</v>
      </c>
      <c r="D157" s="167" t="str">
        <f t="shared" si="2"/>
        <v>DP_AGG2Giải pháp</v>
      </c>
      <c r="E157" s="173">
        <v>8.5</v>
      </c>
    </row>
    <row r="158" ht="15" spans="1:5">
      <c r="A158" s="24">
        <v>155</v>
      </c>
      <c r="B158" s="176" t="s">
        <v>1200</v>
      </c>
      <c r="C158" s="177" t="s">
        <v>43</v>
      </c>
      <c r="D158" s="167" t="str">
        <f t="shared" si="2"/>
        <v>DP_AGG2Phát triển</v>
      </c>
      <c r="E158" s="173">
        <v>16</v>
      </c>
    </row>
    <row r="159" ht="15" spans="1:5">
      <c r="A159" s="24">
        <v>156</v>
      </c>
      <c r="B159" s="176" t="s">
        <v>1200</v>
      </c>
      <c r="C159" s="183" t="s">
        <v>47</v>
      </c>
      <c r="D159" s="167" t="str">
        <f t="shared" si="2"/>
        <v>DP_AGG2Kiểm thử</v>
      </c>
      <c r="E159" s="173">
        <v>9</v>
      </c>
    </row>
    <row r="160" ht="15" spans="1:5">
      <c r="A160" s="24">
        <v>157</v>
      </c>
      <c r="B160" s="176" t="s">
        <v>1203</v>
      </c>
      <c r="C160" s="177" t="s">
        <v>41</v>
      </c>
      <c r="D160" s="167" t="str">
        <f t="shared" si="2"/>
        <v>DP_AGG3Giải pháp</v>
      </c>
      <c r="E160" s="173">
        <v>12</v>
      </c>
    </row>
    <row r="161" ht="15" spans="1:5">
      <c r="A161" s="24">
        <v>158</v>
      </c>
      <c r="B161" s="176" t="s">
        <v>1203</v>
      </c>
      <c r="C161" s="177" t="s">
        <v>43</v>
      </c>
      <c r="D161" s="167" t="str">
        <f t="shared" si="2"/>
        <v>DP_AGG3Phát triển</v>
      </c>
      <c r="E161" s="173">
        <v>24</v>
      </c>
    </row>
    <row r="162" ht="15" spans="1:5">
      <c r="A162" s="24">
        <v>159</v>
      </c>
      <c r="B162" s="176" t="s">
        <v>1203</v>
      </c>
      <c r="C162" s="183" t="s">
        <v>47</v>
      </c>
      <c r="D162" s="167" t="str">
        <f t="shared" si="2"/>
        <v>DP_AGG3Kiểm thử</v>
      </c>
      <c r="E162" s="173">
        <v>12.5</v>
      </c>
    </row>
    <row r="163" ht="15" spans="1:5">
      <c r="A163" s="24">
        <v>160</v>
      </c>
      <c r="B163" s="27" t="s">
        <v>1173</v>
      </c>
      <c r="C163" s="27" t="s">
        <v>41</v>
      </c>
      <c r="D163" s="167" t="str">
        <f t="shared" si="2"/>
        <v>DV_TABLEAU_CHARTGiải pháp</v>
      </c>
      <c r="E163" s="179">
        <v>2</v>
      </c>
    </row>
    <row r="164" ht="15" spans="1:5">
      <c r="A164" s="24">
        <v>161</v>
      </c>
      <c r="B164" s="27" t="s">
        <v>1173</v>
      </c>
      <c r="C164" s="27" t="s">
        <v>43</v>
      </c>
      <c r="D164" s="167" t="str">
        <f t="shared" si="2"/>
        <v>DV_TABLEAU_CHARTPhát triển</v>
      </c>
      <c r="E164" s="179">
        <v>3</v>
      </c>
    </row>
    <row r="165" ht="15" spans="1:5">
      <c r="A165" s="24">
        <v>162</v>
      </c>
      <c r="B165" s="27" t="s">
        <v>1173</v>
      </c>
      <c r="C165" s="183" t="s">
        <v>47</v>
      </c>
      <c r="D165" s="167" t="str">
        <f t="shared" si="2"/>
        <v>DV_TABLEAU_CHARTKiểm thử</v>
      </c>
      <c r="E165" s="179">
        <v>3</v>
      </c>
    </row>
    <row r="166" ht="30" spans="1:5">
      <c r="A166" s="24">
        <v>163</v>
      </c>
      <c r="B166" s="134" t="s">
        <v>1177</v>
      </c>
      <c r="C166" s="27" t="s">
        <v>41</v>
      </c>
      <c r="D166" s="167" t="str">
        <f t="shared" si="2"/>
        <v>DV_TABLEAU_DASHBOARD1Giải pháp</v>
      </c>
      <c r="E166" s="179">
        <v>2</v>
      </c>
    </row>
    <row r="167" ht="30" spans="1:5">
      <c r="A167" s="24">
        <v>164</v>
      </c>
      <c r="B167" s="134" t="s">
        <v>1177</v>
      </c>
      <c r="C167" s="27" t="s">
        <v>43</v>
      </c>
      <c r="D167" s="167" t="str">
        <f t="shared" si="2"/>
        <v>DV_TABLEAU_DASHBOARD1Phát triển</v>
      </c>
      <c r="E167" s="179">
        <v>4</v>
      </c>
    </row>
    <row r="168" ht="30" spans="1:5">
      <c r="A168" s="24">
        <v>165</v>
      </c>
      <c r="B168" s="134" t="s">
        <v>1177</v>
      </c>
      <c r="C168" s="183" t="s">
        <v>47</v>
      </c>
      <c r="D168" s="167" t="str">
        <f t="shared" si="2"/>
        <v>DV_TABLEAU_DASHBOARD1Kiểm thử</v>
      </c>
      <c r="E168" s="179">
        <v>2</v>
      </c>
    </row>
    <row r="169" ht="30" spans="1:5">
      <c r="A169" s="24">
        <v>166</v>
      </c>
      <c r="B169" s="134" t="s">
        <v>1180</v>
      </c>
      <c r="C169" s="27" t="s">
        <v>41</v>
      </c>
      <c r="D169" s="167" t="str">
        <f t="shared" si="2"/>
        <v>DV_TABLEAU_DASHBOARD2Giải pháp</v>
      </c>
      <c r="E169" s="179">
        <v>4</v>
      </c>
    </row>
    <row r="170" ht="30" spans="1:5">
      <c r="A170" s="24">
        <v>167</v>
      </c>
      <c r="B170" s="134" t="s">
        <v>1180</v>
      </c>
      <c r="C170" s="27" t="s">
        <v>43</v>
      </c>
      <c r="D170" s="167" t="str">
        <f t="shared" si="2"/>
        <v>DV_TABLEAU_DASHBOARD2Phát triển</v>
      </c>
      <c r="E170" s="179">
        <v>8</v>
      </c>
    </row>
    <row r="171" ht="30" spans="1:5">
      <c r="A171" s="24">
        <v>168</v>
      </c>
      <c r="B171" s="134" t="s">
        <v>1180</v>
      </c>
      <c r="C171" s="183" t="s">
        <v>47</v>
      </c>
      <c r="D171" s="167" t="str">
        <f t="shared" si="2"/>
        <v>DV_TABLEAU_DASHBOARD2Kiểm thử</v>
      </c>
      <c r="E171" s="179">
        <v>4</v>
      </c>
    </row>
    <row r="172" ht="15" spans="1:5">
      <c r="A172" s="24">
        <v>169</v>
      </c>
      <c r="B172" s="134" t="s">
        <v>1210</v>
      </c>
      <c r="C172" s="134" t="s">
        <v>41</v>
      </c>
      <c r="D172" s="167" t="str">
        <f t="shared" si="2"/>
        <v>DATA_SUPPORT1Giải pháp</v>
      </c>
      <c r="E172" s="151">
        <v>3</v>
      </c>
    </row>
    <row r="173" ht="15" spans="1:5">
      <c r="A173" s="24">
        <v>170</v>
      </c>
      <c r="B173" s="134" t="s">
        <v>1210</v>
      </c>
      <c r="C173" s="134" t="s">
        <v>43</v>
      </c>
      <c r="D173" s="167" t="str">
        <f t="shared" si="2"/>
        <v>DATA_SUPPORT1Phát triển</v>
      </c>
      <c r="E173" s="151">
        <v>6</v>
      </c>
    </row>
    <row r="174" ht="15" spans="1:5">
      <c r="A174" s="24">
        <v>171</v>
      </c>
      <c r="B174" s="134" t="s">
        <v>1210</v>
      </c>
      <c r="C174" s="183" t="s">
        <v>47</v>
      </c>
      <c r="D174" s="167" t="str">
        <f t="shared" si="2"/>
        <v>DATA_SUPPORT1Kiểm thử</v>
      </c>
      <c r="E174" s="151">
        <v>2.75</v>
      </c>
    </row>
    <row r="175" ht="15" spans="1:5">
      <c r="A175" s="24">
        <v>172</v>
      </c>
      <c r="B175" s="134" t="s">
        <v>1213</v>
      </c>
      <c r="C175" s="134" t="s">
        <v>41</v>
      </c>
      <c r="D175" s="167" t="str">
        <f t="shared" si="2"/>
        <v>DATA_SUPPORT2Giải pháp</v>
      </c>
      <c r="E175" s="151">
        <v>4.25</v>
      </c>
    </row>
    <row r="176" ht="15" spans="1:5">
      <c r="A176" s="24">
        <v>173</v>
      </c>
      <c r="B176" s="134" t="s">
        <v>1213</v>
      </c>
      <c r="C176" s="134" t="s">
        <v>43</v>
      </c>
      <c r="D176" s="167" t="str">
        <f t="shared" si="2"/>
        <v>DATA_SUPPORT2Phát triển</v>
      </c>
      <c r="E176" s="151">
        <v>16</v>
      </c>
    </row>
    <row r="177" ht="15" spans="1:5">
      <c r="A177" s="24">
        <v>174</v>
      </c>
      <c r="B177" s="134" t="s">
        <v>1213</v>
      </c>
      <c r="C177" s="183" t="s">
        <v>47</v>
      </c>
      <c r="D177" s="167" t="str">
        <f t="shared" si="2"/>
        <v>DATA_SUPPORT2Kiểm thử</v>
      </c>
      <c r="E177" s="151">
        <v>4.5</v>
      </c>
    </row>
    <row r="178" ht="15" spans="1:5">
      <c r="A178" s="24">
        <v>175</v>
      </c>
      <c r="B178" s="134" t="s">
        <v>1215</v>
      </c>
      <c r="C178" s="134" t="s">
        <v>41</v>
      </c>
      <c r="D178" s="167" t="str">
        <f t="shared" si="2"/>
        <v>DATA_SUPPORT3Giải pháp</v>
      </c>
      <c r="E178" s="151">
        <v>6</v>
      </c>
    </row>
    <row r="179" ht="15" spans="1:5">
      <c r="A179" s="24">
        <v>176</v>
      </c>
      <c r="B179" s="134" t="s">
        <v>1215</v>
      </c>
      <c r="C179" s="134" t="s">
        <v>43</v>
      </c>
      <c r="D179" s="167" t="str">
        <f t="shared" si="2"/>
        <v>DATA_SUPPORT3Phát triển</v>
      </c>
      <c r="E179" s="151">
        <v>24</v>
      </c>
    </row>
    <row r="180" ht="15" spans="1:5">
      <c r="A180" s="24">
        <v>177</v>
      </c>
      <c r="B180" s="134" t="s">
        <v>1215</v>
      </c>
      <c r="C180" s="183" t="s">
        <v>47</v>
      </c>
      <c r="D180" s="167" t="str">
        <f t="shared" si="2"/>
        <v>DATA_SUPPORT3Kiểm thử</v>
      </c>
      <c r="E180" s="151">
        <v>6.25</v>
      </c>
    </row>
    <row r="181" ht="15" spans="1:6">
      <c r="A181" s="24">
        <v>178</v>
      </c>
      <c r="B181" s="184" t="s">
        <v>1217</v>
      </c>
      <c r="C181" s="184" t="s">
        <v>1341</v>
      </c>
      <c r="D181" s="167" t="str">
        <f t="shared" si="2"/>
        <v>WRITE_TC_WEB_1kiểm thử</v>
      </c>
      <c r="E181" s="185">
        <v>8</v>
      </c>
      <c r="F181" s="186"/>
    </row>
    <row r="182" ht="15" spans="1:6">
      <c r="A182" s="24">
        <v>179</v>
      </c>
      <c r="B182" s="184" t="s">
        <v>1217</v>
      </c>
      <c r="C182" s="184" t="s">
        <v>41</v>
      </c>
      <c r="D182" s="167" t="str">
        <f t="shared" si="2"/>
        <v>WRITE_TC_WEB_1Giải pháp</v>
      </c>
      <c r="E182" s="185">
        <v>0</v>
      </c>
      <c r="F182" s="186"/>
    </row>
    <row r="183" ht="15" spans="1:6">
      <c r="A183" s="24">
        <v>180</v>
      </c>
      <c r="B183" s="184" t="s">
        <v>1217</v>
      </c>
      <c r="C183" s="184" t="s">
        <v>43</v>
      </c>
      <c r="D183" s="167" t="str">
        <f t="shared" si="2"/>
        <v>WRITE_TC_WEB_1Phát triển</v>
      </c>
      <c r="E183" s="185">
        <v>0</v>
      </c>
      <c r="F183" s="186"/>
    </row>
    <row r="184" ht="15" spans="1:6">
      <c r="A184" s="24">
        <v>181</v>
      </c>
      <c r="B184" s="184" t="s">
        <v>1342</v>
      </c>
      <c r="C184" s="184" t="s">
        <v>47</v>
      </c>
      <c r="D184" s="167" t="str">
        <f t="shared" si="2"/>
        <v>WRITE_TC_WEB_2Kiểm thử</v>
      </c>
      <c r="E184" s="185">
        <v>12</v>
      </c>
      <c r="F184" s="186"/>
    </row>
    <row r="185" ht="15" spans="1:6">
      <c r="A185" s="24">
        <v>182</v>
      </c>
      <c r="B185" s="184" t="s">
        <v>1342</v>
      </c>
      <c r="C185" s="184" t="s">
        <v>41</v>
      </c>
      <c r="D185" s="167" t="str">
        <f t="shared" si="2"/>
        <v>WRITE_TC_WEB_2Giải pháp</v>
      </c>
      <c r="E185" s="185">
        <v>0</v>
      </c>
      <c r="F185" s="186"/>
    </row>
    <row r="186" ht="15" spans="1:6">
      <c r="A186" s="24">
        <v>183</v>
      </c>
      <c r="B186" s="184" t="s">
        <v>1342</v>
      </c>
      <c r="C186" s="184" t="s">
        <v>43</v>
      </c>
      <c r="D186" s="167" t="str">
        <f t="shared" si="2"/>
        <v>WRITE_TC_WEB_2Phát triển</v>
      </c>
      <c r="E186" s="185">
        <v>0</v>
      </c>
      <c r="F186" s="186"/>
    </row>
    <row r="187" ht="15" spans="1:6">
      <c r="A187" s="24">
        <v>184</v>
      </c>
      <c r="B187" s="184" t="s">
        <v>1222</v>
      </c>
      <c r="C187" s="184" t="s">
        <v>1341</v>
      </c>
      <c r="D187" s="167" t="str">
        <f t="shared" si="2"/>
        <v>WRITE_TC_WEB_3kiểm thử</v>
      </c>
      <c r="E187" s="185">
        <v>16</v>
      </c>
      <c r="F187" s="186"/>
    </row>
    <row r="188" ht="15" spans="1:6">
      <c r="A188" s="24">
        <v>185</v>
      </c>
      <c r="B188" s="184" t="s">
        <v>1222</v>
      </c>
      <c r="C188" s="184" t="s">
        <v>41</v>
      </c>
      <c r="D188" s="167" t="str">
        <f t="shared" si="2"/>
        <v>WRITE_TC_WEB_3Giải pháp</v>
      </c>
      <c r="E188" s="185">
        <v>0</v>
      </c>
      <c r="F188" s="186"/>
    </row>
    <row r="189" ht="15" spans="1:6">
      <c r="A189" s="24">
        <v>186</v>
      </c>
      <c r="B189" s="184" t="s">
        <v>1222</v>
      </c>
      <c r="C189" s="184" t="s">
        <v>43</v>
      </c>
      <c r="D189" s="167" t="str">
        <f t="shared" si="2"/>
        <v>WRITE_TC_WEB_3Phát triển</v>
      </c>
      <c r="E189" s="185">
        <v>0</v>
      </c>
      <c r="F189" s="186"/>
    </row>
    <row r="190" ht="30" spans="1:6">
      <c r="A190" s="24">
        <v>187</v>
      </c>
      <c r="B190" s="184" t="s">
        <v>1224</v>
      </c>
      <c r="C190" s="184" t="s">
        <v>1341</v>
      </c>
      <c r="D190" s="167" t="str">
        <f t="shared" si="2"/>
        <v>WRITE_TC_MOBILE_ANDROID_1kiểm thử</v>
      </c>
      <c r="E190" s="185">
        <v>8</v>
      </c>
      <c r="F190" s="186"/>
    </row>
    <row r="191" ht="30" spans="1:6">
      <c r="A191" s="24">
        <v>188</v>
      </c>
      <c r="B191" s="184" t="s">
        <v>1224</v>
      </c>
      <c r="C191" s="184" t="s">
        <v>41</v>
      </c>
      <c r="D191" s="167" t="str">
        <f t="shared" si="2"/>
        <v>WRITE_TC_MOBILE_ANDROID_1Giải pháp</v>
      </c>
      <c r="E191" s="185">
        <v>0</v>
      </c>
      <c r="F191" s="186"/>
    </row>
    <row r="192" ht="30" spans="1:6">
      <c r="A192" s="24">
        <v>189</v>
      </c>
      <c r="B192" s="184" t="s">
        <v>1224</v>
      </c>
      <c r="C192" s="184" t="s">
        <v>43</v>
      </c>
      <c r="D192" s="167" t="str">
        <f t="shared" si="2"/>
        <v>WRITE_TC_MOBILE_ANDROID_1Phát triển</v>
      </c>
      <c r="E192" s="185">
        <v>0</v>
      </c>
      <c r="F192" s="186"/>
    </row>
    <row r="193" ht="30" spans="1:6">
      <c r="A193" s="24">
        <v>190</v>
      </c>
      <c r="B193" s="184" t="s">
        <v>1227</v>
      </c>
      <c r="C193" s="184" t="s">
        <v>1341</v>
      </c>
      <c r="D193" s="167" t="str">
        <f t="shared" si="2"/>
        <v>WRITE_TC_MOBILE_ANDROID_2kiểm thử</v>
      </c>
      <c r="E193" s="185">
        <v>12</v>
      </c>
      <c r="F193" s="186"/>
    </row>
    <row r="194" ht="30" spans="1:6">
      <c r="A194" s="24">
        <v>191</v>
      </c>
      <c r="B194" s="184" t="s">
        <v>1227</v>
      </c>
      <c r="C194" s="184" t="s">
        <v>41</v>
      </c>
      <c r="D194" s="167" t="str">
        <f t="shared" si="2"/>
        <v>WRITE_TC_MOBILE_ANDROID_2Giải pháp</v>
      </c>
      <c r="E194" s="185">
        <v>0</v>
      </c>
      <c r="F194" s="186"/>
    </row>
    <row r="195" ht="30" spans="1:6">
      <c r="A195" s="24">
        <v>192</v>
      </c>
      <c r="B195" s="184" t="s">
        <v>1227</v>
      </c>
      <c r="C195" s="184" t="s">
        <v>43</v>
      </c>
      <c r="D195" s="167" t="str">
        <f t="shared" si="2"/>
        <v>WRITE_TC_MOBILE_ANDROID_2Phát triển</v>
      </c>
      <c r="E195" s="185">
        <v>0</v>
      </c>
      <c r="F195" s="186"/>
    </row>
    <row r="196" ht="30" spans="1:6">
      <c r="A196" s="24">
        <v>193</v>
      </c>
      <c r="B196" s="184" t="s">
        <v>1230</v>
      </c>
      <c r="C196" s="184" t="s">
        <v>1341</v>
      </c>
      <c r="D196" s="167" t="str">
        <f t="shared" si="2"/>
        <v>WRITE_TC_MOBILE_ANDROID_3kiểm thử</v>
      </c>
      <c r="E196" s="185">
        <v>16</v>
      </c>
      <c r="F196" s="186"/>
    </row>
    <row r="197" ht="30" spans="1:6">
      <c r="A197" s="24">
        <v>194</v>
      </c>
      <c r="B197" s="184" t="s">
        <v>1230</v>
      </c>
      <c r="C197" s="184" t="s">
        <v>41</v>
      </c>
      <c r="D197" s="167" t="str">
        <f t="shared" si="2"/>
        <v>WRITE_TC_MOBILE_ANDROID_3Giải pháp</v>
      </c>
      <c r="E197" s="185">
        <v>0</v>
      </c>
      <c r="F197" s="186"/>
    </row>
    <row r="198" ht="30" spans="1:6">
      <c r="A198" s="24">
        <v>195</v>
      </c>
      <c r="B198" s="184" t="s">
        <v>1230</v>
      </c>
      <c r="C198" s="184" t="s">
        <v>43</v>
      </c>
      <c r="D198" s="167" t="str">
        <f t="shared" si="2"/>
        <v>WRITE_TC_MOBILE_ANDROID_3Phát triển</v>
      </c>
      <c r="E198" s="185">
        <v>0</v>
      </c>
      <c r="F198" s="186"/>
    </row>
    <row r="199" ht="15" spans="1:6">
      <c r="A199" s="24">
        <v>196</v>
      </c>
      <c r="B199" s="184" t="s">
        <v>1233</v>
      </c>
      <c r="C199" s="184" t="s">
        <v>1341</v>
      </c>
      <c r="D199" s="167" t="str">
        <f t="shared" ref="D199:D262" si="3">B199&amp;C199</f>
        <v>WRITE_TC_MOBILE_IOS_1kiểm thử</v>
      </c>
      <c r="E199" s="185">
        <v>12</v>
      </c>
      <c r="F199" s="186"/>
    </row>
    <row r="200" ht="15" spans="1:6">
      <c r="A200" s="24">
        <v>197</v>
      </c>
      <c r="B200" s="184" t="s">
        <v>1233</v>
      </c>
      <c r="C200" s="184" t="s">
        <v>41</v>
      </c>
      <c r="D200" s="167" t="str">
        <f t="shared" si="3"/>
        <v>WRITE_TC_MOBILE_IOS_1Giải pháp</v>
      </c>
      <c r="E200" s="185">
        <v>0</v>
      </c>
      <c r="F200" s="186"/>
    </row>
    <row r="201" ht="15" spans="1:6">
      <c r="A201" s="24">
        <v>198</v>
      </c>
      <c r="B201" s="184" t="s">
        <v>1233</v>
      </c>
      <c r="C201" s="184" t="s">
        <v>43</v>
      </c>
      <c r="D201" s="167" t="str">
        <f t="shared" si="3"/>
        <v>WRITE_TC_MOBILE_IOS_1Phát triển</v>
      </c>
      <c r="E201" s="185">
        <v>0</v>
      </c>
      <c r="F201" s="186"/>
    </row>
    <row r="202" ht="15" spans="1:6">
      <c r="A202" s="24">
        <v>199</v>
      </c>
      <c r="B202" s="184" t="s">
        <v>1236</v>
      </c>
      <c r="C202" s="184" t="s">
        <v>1341</v>
      </c>
      <c r="D202" s="167" t="str">
        <f t="shared" si="3"/>
        <v>WRITE_TC_MOBILE_IOS_2kiểm thử</v>
      </c>
      <c r="E202" s="185">
        <v>16</v>
      </c>
      <c r="F202" s="186"/>
    </row>
    <row r="203" ht="15" spans="1:6">
      <c r="A203" s="24">
        <v>200</v>
      </c>
      <c r="B203" s="184" t="s">
        <v>1236</v>
      </c>
      <c r="C203" s="184" t="s">
        <v>41</v>
      </c>
      <c r="D203" s="167" t="str">
        <f t="shared" si="3"/>
        <v>WRITE_TC_MOBILE_IOS_2Giải pháp</v>
      </c>
      <c r="E203" s="185">
        <v>0</v>
      </c>
      <c r="F203" s="186"/>
    </row>
    <row r="204" ht="15" spans="1:6">
      <c r="A204" s="24">
        <v>201</v>
      </c>
      <c r="B204" s="184" t="s">
        <v>1236</v>
      </c>
      <c r="C204" s="184" t="s">
        <v>43</v>
      </c>
      <c r="D204" s="167" t="str">
        <f t="shared" si="3"/>
        <v>WRITE_TC_MOBILE_IOS_2Phát triển</v>
      </c>
      <c r="E204" s="185">
        <v>0</v>
      </c>
      <c r="F204" s="186"/>
    </row>
    <row r="205" ht="15" spans="1:6">
      <c r="A205" s="24">
        <v>202</v>
      </c>
      <c r="B205" s="184" t="s">
        <v>1238</v>
      </c>
      <c r="C205" s="184" t="s">
        <v>1341</v>
      </c>
      <c r="D205" s="167" t="str">
        <f t="shared" si="3"/>
        <v>WRITE_TC_MOBILE_IOS_3kiểm thử</v>
      </c>
      <c r="E205" s="185">
        <v>20</v>
      </c>
      <c r="F205" s="186"/>
    </row>
    <row r="206" ht="15" spans="1:6">
      <c r="A206" s="24">
        <v>203</v>
      </c>
      <c r="B206" s="184" t="s">
        <v>1238</v>
      </c>
      <c r="C206" s="184" t="s">
        <v>41</v>
      </c>
      <c r="D206" s="167" t="str">
        <f t="shared" si="3"/>
        <v>WRITE_TC_MOBILE_IOS_3Giải pháp</v>
      </c>
      <c r="E206" s="185">
        <v>0</v>
      </c>
      <c r="F206" s="186"/>
    </row>
    <row r="207" ht="15" spans="1:6">
      <c r="A207" s="24">
        <v>204</v>
      </c>
      <c r="B207" s="184" t="s">
        <v>1238</v>
      </c>
      <c r="C207" s="184" t="s">
        <v>43</v>
      </c>
      <c r="D207" s="167" t="str">
        <f t="shared" si="3"/>
        <v>WRITE_TC_MOBILE_IOS_3Phát triển</v>
      </c>
      <c r="E207" s="185">
        <v>0</v>
      </c>
      <c r="F207" s="186"/>
    </row>
    <row r="208" ht="15" spans="1:6">
      <c r="A208" s="24">
        <v>205</v>
      </c>
      <c r="B208" s="184" t="s">
        <v>1264</v>
      </c>
      <c r="C208" s="184" t="s">
        <v>1341</v>
      </c>
      <c r="D208" s="167" t="str">
        <f t="shared" si="3"/>
        <v>MANTAIN_TC_WEBkiểm thử</v>
      </c>
      <c r="E208" s="185">
        <v>4</v>
      </c>
      <c r="F208" s="186"/>
    </row>
    <row r="209" ht="15" spans="1:6">
      <c r="A209" s="24">
        <v>206</v>
      </c>
      <c r="B209" s="184" t="s">
        <v>1264</v>
      </c>
      <c r="C209" s="184" t="s">
        <v>41</v>
      </c>
      <c r="D209" s="167" t="str">
        <f t="shared" si="3"/>
        <v>MANTAIN_TC_WEBGiải pháp</v>
      </c>
      <c r="E209" s="185">
        <v>0</v>
      </c>
      <c r="F209" s="186"/>
    </row>
    <row r="210" ht="15" spans="1:6">
      <c r="A210" s="24">
        <v>207</v>
      </c>
      <c r="B210" s="184" t="s">
        <v>1264</v>
      </c>
      <c r="C210" s="184" t="s">
        <v>43</v>
      </c>
      <c r="D210" s="167" t="str">
        <f t="shared" si="3"/>
        <v>MANTAIN_TC_WEBPhát triển</v>
      </c>
      <c r="E210" s="185">
        <v>0</v>
      </c>
      <c r="F210" s="186"/>
    </row>
    <row r="211" ht="15" spans="1:6">
      <c r="A211" s="24">
        <v>208</v>
      </c>
      <c r="B211" s="184" t="s">
        <v>1267</v>
      </c>
      <c r="C211" s="184" t="s">
        <v>1341</v>
      </c>
      <c r="D211" s="167" t="str">
        <f t="shared" si="3"/>
        <v>MAITAIN_TC_MOBILEkiểm thử</v>
      </c>
      <c r="E211" s="185">
        <v>6</v>
      </c>
      <c r="F211" s="186"/>
    </row>
    <row r="212" ht="15" spans="1:6">
      <c r="A212" s="24">
        <v>209</v>
      </c>
      <c r="B212" s="184" t="s">
        <v>1267</v>
      </c>
      <c r="C212" s="184" t="s">
        <v>41</v>
      </c>
      <c r="D212" s="167" t="str">
        <f t="shared" si="3"/>
        <v>MAITAIN_TC_MOBILEGiải pháp</v>
      </c>
      <c r="E212" s="185">
        <v>0</v>
      </c>
      <c r="F212" s="186"/>
    </row>
    <row r="213" ht="15" spans="1:6">
      <c r="A213" s="24">
        <v>210</v>
      </c>
      <c r="B213" s="184" t="s">
        <v>1267</v>
      </c>
      <c r="C213" s="184" t="s">
        <v>43</v>
      </c>
      <c r="D213" s="167" t="str">
        <f t="shared" si="3"/>
        <v>MAITAIN_TC_MOBILEPhát triển</v>
      </c>
      <c r="E213" s="185">
        <v>0</v>
      </c>
      <c r="F213" s="186"/>
    </row>
    <row r="214" ht="15" spans="1:6">
      <c r="A214" s="24">
        <v>211</v>
      </c>
      <c r="B214" s="145" t="s">
        <v>1270</v>
      </c>
      <c r="C214" s="152" t="s">
        <v>43</v>
      </c>
      <c r="D214" s="167" t="str">
        <f t="shared" si="3"/>
        <v>CICD02Phát triển</v>
      </c>
      <c r="E214" s="173">
        <v>10</v>
      </c>
      <c r="F214" s="186"/>
    </row>
    <row r="215" ht="15" spans="1:6">
      <c r="A215" s="24">
        <v>212</v>
      </c>
      <c r="B215" s="145" t="s">
        <v>1270</v>
      </c>
      <c r="C215" s="152" t="s">
        <v>1341</v>
      </c>
      <c r="D215" s="167" t="str">
        <f t="shared" si="3"/>
        <v>CICD02kiểm thử</v>
      </c>
      <c r="E215" s="173">
        <v>0</v>
      </c>
      <c r="F215" s="186"/>
    </row>
    <row r="216" ht="15" spans="1:6">
      <c r="A216" s="24">
        <v>213</v>
      </c>
      <c r="B216" s="145" t="s">
        <v>1270</v>
      </c>
      <c r="C216" s="152" t="s">
        <v>41</v>
      </c>
      <c r="D216" s="167" t="str">
        <f t="shared" si="3"/>
        <v>CICD02Giải pháp</v>
      </c>
      <c r="E216" s="173">
        <v>0</v>
      </c>
      <c r="F216" s="186"/>
    </row>
    <row r="217" ht="15" spans="1:6">
      <c r="A217" s="24">
        <v>214</v>
      </c>
      <c r="B217" s="152" t="s">
        <v>1273</v>
      </c>
      <c r="C217" s="152" t="s">
        <v>43</v>
      </c>
      <c r="D217" s="167" t="str">
        <f t="shared" si="3"/>
        <v>CICD03Phát triển</v>
      </c>
      <c r="E217" s="173">
        <v>2</v>
      </c>
      <c r="F217" s="186"/>
    </row>
    <row r="218" ht="15" spans="1:6">
      <c r="A218" s="24">
        <v>215</v>
      </c>
      <c r="B218" s="152" t="s">
        <v>1273</v>
      </c>
      <c r="C218" s="152" t="s">
        <v>1341</v>
      </c>
      <c r="D218" s="167" t="str">
        <f t="shared" si="3"/>
        <v>CICD03kiểm thử</v>
      </c>
      <c r="E218" s="173">
        <v>0</v>
      </c>
      <c r="F218" s="186"/>
    </row>
    <row r="219" ht="15" spans="1:6">
      <c r="A219" s="24">
        <v>216</v>
      </c>
      <c r="B219" s="152" t="s">
        <v>1273</v>
      </c>
      <c r="C219" s="152" t="s">
        <v>41</v>
      </c>
      <c r="D219" s="167" t="str">
        <f t="shared" si="3"/>
        <v>CICD03Giải pháp</v>
      </c>
      <c r="E219" s="173">
        <v>0</v>
      </c>
      <c r="F219" s="186"/>
    </row>
    <row r="220" ht="15" spans="1:5">
      <c r="A220" s="24">
        <v>217</v>
      </c>
      <c r="B220" s="560" t="s">
        <v>1257</v>
      </c>
      <c r="C220" s="560" t="s">
        <v>47</v>
      </c>
      <c r="D220" s="167" t="str">
        <f t="shared" si="3"/>
        <v>RUN_WEB_1Kiểm thử</v>
      </c>
      <c r="E220" s="173">
        <v>8</v>
      </c>
    </row>
    <row r="221" ht="15" spans="1:5">
      <c r="A221" s="24">
        <v>218</v>
      </c>
      <c r="B221" s="560" t="s">
        <v>1257</v>
      </c>
      <c r="C221" s="560" t="s">
        <v>41</v>
      </c>
      <c r="D221" s="167" t="str">
        <f t="shared" si="3"/>
        <v>RUN_WEB_1Giải pháp</v>
      </c>
      <c r="E221" s="173">
        <v>0</v>
      </c>
    </row>
    <row r="222" ht="15" spans="1:5">
      <c r="A222" s="24">
        <v>219</v>
      </c>
      <c r="B222" s="560" t="s">
        <v>1257</v>
      </c>
      <c r="C222" s="560" t="s">
        <v>43</v>
      </c>
      <c r="D222" s="167" t="str">
        <f t="shared" si="3"/>
        <v>RUN_WEB_1Phát triển</v>
      </c>
      <c r="E222" s="173">
        <v>0</v>
      </c>
    </row>
    <row r="223" ht="15" spans="1:8">
      <c r="A223" s="24">
        <v>220</v>
      </c>
      <c r="B223" s="560" t="s">
        <v>1260</v>
      </c>
      <c r="C223" s="560" t="s">
        <v>47</v>
      </c>
      <c r="D223" s="167" t="str">
        <f t="shared" si="3"/>
        <v> RUN_WEB_2Kiểm thử</v>
      </c>
      <c r="E223" s="173">
        <v>12</v>
      </c>
      <c r="H223" s="175"/>
    </row>
    <row r="224" ht="15" spans="1:8">
      <c r="A224" s="24">
        <v>221</v>
      </c>
      <c r="B224" s="560" t="s">
        <v>1260</v>
      </c>
      <c r="C224" s="560" t="s">
        <v>41</v>
      </c>
      <c r="D224" s="167" t="str">
        <f t="shared" si="3"/>
        <v> RUN_WEB_2Giải pháp</v>
      </c>
      <c r="E224" s="173">
        <v>0</v>
      </c>
      <c r="H224" s="175"/>
    </row>
    <row r="225" ht="15" spans="1:8">
      <c r="A225" s="24">
        <v>222</v>
      </c>
      <c r="B225" s="560" t="s">
        <v>1260</v>
      </c>
      <c r="C225" s="560" t="s">
        <v>43</v>
      </c>
      <c r="D225" s="167" t="str">
        <f t="shared" si="3"/>
        <v> RUN_WEB_2Phát triển</v>
      </c>
      <c r="E225" s="173">
        <v>0</v>
      </c>
      <c r="H225" s="175"/>
    </row>
    <row r="226" ht="15" spans="1:5">
      <c r="A226" s="24">
        <v>223</v>
      </c>
      <c r="B226" s="560" t="s">
        <v>1263</v>
      </c>
      <c r="C226" s="560" t="s">
        <v>47</v>
      </c>
      <c r="D226" s="167" t="str">
        <f t="shared" si="3"/>
        <v>RUN_WEB_3Kiểm thử</v>
      </c>
      <c r="E226" s="173">
        <v>16</v>
      </c>
    </row>
    <row r="227" ht="15" spans="1:5">
      <c r="A227" s="24">
        <v>224</v>
      </c>
      <c r="B227" s="560" t="s">
        <v>1263</v>
      </c>
      <c r="C227" s="560" t="s">
        <v>41</v>
      </c>
      <c r="D227" s="167" t="str">
        <f t="shared" si="3"/>
        <v>RUN_WEB_3Giải pháp</v>
      </c>
      <c r="E227" s="173">
        <v>0</v>
      </c>
    </row>
    <row r="228" ht="15" spans="1:5">
      <c r="A228" s="24">
        <v>225</v>
      </c>
      <c r="B228" s="560" t="s">
        <v>1263</v>
      </c>
      <c r="C228" s="560" t="s">
        <v>43</v>
      </c>
      <c r="D228" s="167" t="str">
        <f t="shared" si="3"/>
        <v>RUN_WEB_3Phát triển</v>
      </c>
      <c r="E228" s="173">
        <v>0</v>
      </c>
    </row>
    <row r="229" ht="15" spans="1:5">
      <c r="A229" s="24">
        <v>226</v>
      </c>
      <c r="B229" s="560" t="s">
        <v>1243</v>
      </c>
      <c r="C229" s="560" t="s">
        <v>47</v>
      </c>
      <c r="D229" s="167" t="str">
        <f t="shared" si="3"/>
        <v>RUN_MOBILE_ANDROID_1Kiểm thử</v>
      </c>
      <c r="E229" s="173">
        <v>8</v>
      </c>
    </row>
    <row r="230" ht="15" spans="1:5">
      <c r="A230" s="24">
        <v>227</v>
      </c>
      <c r="B230" s="560" t="s">
        <v>1243</v>
      </c>
      <c r="C230" s="560" t="s">
        <v>41</v>
      </c>
      <c r="D230" s="167" t="str">
        <f t="shared" si="3"/>
        <v>RUN_MOBILE_ANDROID_1Giải pháp</v>
      </c>
      <c r="E230" s="173">
        <v>0</v>
      </c>
    </row>
    <row r="231" ht="15" spans="1:5">
      <c r="A231" s="24">
        <v>228</v>
      </c>
      <c r="B231" s="560" t="s">
        <v>1243</v>
      </c>
      <c r="C231" s="560" t="s">
        <v>43</v>
      </c>
      <c r="D231" s="167" t="str">
        <f t="shared" si="3"/>
        <v>RUN_MOBILE_ANDROID_1Phát triển</v>
      </c>
      <c r="E231" s="173">
        <v>0</v>
      </c>
    </row>
    <row r="232" ht="15" spans="1:5">
      <c r="A232" s="24">
        <v>229</v>
      </c>
      <c r="B232" s="560" t="s">
        <v>1246</v>
      </c>
      <c r="C232" s="560" t="s">
        <v>47</v>
      </c>
      <c r="D232" s="167" t="str">
        <f t="shared" si="3"/>
        <v>RUN_MOBILE_ANDROID_2Kiểm thử</v>
      </c>
      <c r="E232" s="173">
        <v>12</v>
      </c>
    </row>
    <row r="233" ht="15" spans="1:5">
      <c r="A233" s="24">
        <v>230</v>
      </c>
      <c r="B233" s="560" t="s">
        <v>1246</v>
      </c>
      <c r="C233" s="560" t="s">
        <v>41</v>
      </c>
      <c r="D233" s="167" t="str">
        <f t="shared" si="3"/>
        <v>RUN_MOBILE_ANDROID_2Giải pháp</v>
      </c>
      <c r="E233" s="173">
        <v>0</v>
      </c>
    </row>
    <row r="234" ht="15" spans="1:5">
      <c r="A234" s="24">
        <v>231</v>
      </c>
      <c r="B234" s="560" t="s">
        <v>1246</v>
      </c>
      <c r="C234" s="560" t="s">
        <v>43</v>
      </c>
      <c r="D234" s="167" t="str">
        <f t="shared" si="3"/>
        <v>RUN_MOBILE_ANDROID_2Phát triển</v>
      </c>
      <c r="E234" s="173">
        <v>0</v>
      </c>
    </row>
    <row r="235" ht="15" spans="1:5">
      <c r="A235" s="24">
        <v>232</v>
      </c>
      <c r="B235" s="560" t="s">
        <v>1248</v>
      </c>
      <c r="C235" s="560" t="s">
        <v>47</v>
      </c>
      <c r="D235" s="167" t="str">
        <f t="shared" si="3"/>
        <v>RUN_MOBILE_ANDROID_3Kiểm thử</v>
      </c>
      <c r="E235" s="173">
        <v>16</v>
      </c>
    </row>
    <row r="236" ht="15" spans="1:5">
      <c r="A236" s="24">
        <v>233</v>
      </c>
      <c r="B236" s="560" t="s">
        <v>1248</v>
      </c>
      <c r="C236" s="560" t="s">
        <v>41</v>
      </c>
      <c r="D236" s="167" t="str">
        <f t="shared" si="3"/>
        <v>RUN_MOBILE_ANDROID_3Giải pháp</v>
      </c>
      <c r="E236" s="173">
        <v>0</v>
      </c>
    </row>
    <row r="237" ht="15" spans="1:5">
      <c r="A237" s="24">
        <v>234</v>
      </c>
      <c r="B237" s="560" t="s">
        <v>1248</v>
      </c>
      <c r="C237" s="560" t="s">
        <v>43</v>
      </c>
      <c r="D237" s="167" t="str">
        <f t="shared" si="3"/>
        <v>RUN_MOBILE_ANDROID_3Phát triển</v>
      </c>
      <c r="E237" s="173">
        <v>0</v>
      </c>
    </row>
    <row r="238" ht="15" spans="1:5">
      <c r="A238" s="24">
        <v>235</v>
      </c>
      <c r="B238" s="560" t="s">
        <v>1250</v>
      </c>
      <c r="C238" s="560" t="s">
        <v>47</v>
      </c>
      <c r="D238" s="167" t="str">
        <f t="shared" si="3"/>
        <v> RUN_MOBILE_IOS_1Kiểm thử</v>
      </c>
      <c r="E238" s="173">
        <v>12</v>
      </c>
    </row>
    <row r="239" ht="15" spans="1:5">
      <c r="A239" s="24">
        <v>236</v>
      </c>
      <c r="B239" s="560" t="s">
        <v>1250</v>
      </c>
      <c r="C239" s="560" t="s">
        <v>41</v>
      </c>
      <c r="D239" s="167" t="str">
        <f t="shared" si="3"/>
        <v> RUN_MOBILE_IOS_1Giải pháp</v>
      </c>
      <c r="E239" s="173">
        <v>0</v>
      </c>
    </row>
    <row r="240" ht="15" spans="1:5">
      <c r="A240" s="24">
        <v>237</v>
      </c>
      <c r="B240" s="560" t="s">
        <v>1250</v>
      </c>
      <c r="C240" s="560" t="s">
        <v>43</v>
      </c>
      <c r="D240" s="167" t="str">
        <f t="shared" si="3"/>
        <v> RUN_MOBILE_IOS_1Phát triển</v>
      </c>
      <c r="E240" s="173">
        <v>0</v>
      </c>
    </row>
    <row r="241" ht="15" spans="1:5">
      <c r="A241" s="24">
        <v>238</v>
      </c>
      <c r="B241" s="560" t="s">
        <v>1253</v>
      </c>
      <c r="C241" s="560" t="s">
        <v>47</v>
      </c>
      <c r="D241" s="167" t="str">
        <f t="shared" si="3"/>
        <v>RUN_MOBILE_IOS_2Kiểm thử</v>
      </c>
      <c r="E241" s="173">
        <v>20</v>
      </c>
    </row>
    <row r="242" ht="15" spans="1:5">
      <c r="A242" s="24">
        <v>239</v>
      </c>
      <c r="B242" s="560" t="s">
        <v>1253</v>
      </c>
      <c r="C242" s="560" t="s">
        <v>41</v>
      </c>
      <c r="D242" s="167" t="str">
        <f t="shared" si="3"/>
        <v>RUN_MOBILE_IOS_2Giải pháp</v>
      </c>
      <c r="E242" s="173"/>
    </row>
    <row r="243" ht="15" spans="1:5">
      <c r="A243" s="24">
        <v>240</v>
      </c>
      <c r="B243" s="560" t="s">
        <v>1253</v>
      </c>
      <c r="C243" s="560" t="s">
        <v>43</v>
      </c>
      <c r="D243" s="167" t="str">
        <f t="shared" si="3"/>
        <v>RUN_MOBILE_IOS_2Phát triển</v>
      </c>
      <c r="E243" s="173"/>
    </row>
    <row r="244" ht="15" spans="1:5">
      <c r="A244" s="24">
        <v>241</v>
      </c>
      <c r="B244" s="560" t="s">
        <v>1255</v>
      </c>
      <c r="C244" s="560" t="s">
        <v>47</v>
      </c>
      <c r="D244" s="167" t="str">
        <f t="shared" si="3"/>
        <v>RUN_MOBILE_IOS_3Kiểm thử</v>
      </c>
      <c r="E244" s="173">
        <v>28</v>
      </c>
    </row>
    <row r="245" ht="15" spans="1:5">
      <c r="A245" s="24">
        <v>242</v>
      </c>
      <c r="B245" s="560" t="s">
        <v>1255</v>
      </c>
      <c r="C245" s="560" t="s">
        <v>41</v>
      </c>
      <c r="D245" s="167" t="str">
        <f t="shared" si="3"/>
        <v>RUN_MOBILE_IOS_3Giải pháp</v>
      </c>
      <c r="E245" s="173"/>
    </row>
    <row r="246" ht="15" spans="1:5">
      <c r="A246" s="24">
        <v>243</v>
      </c>
      <c r="B246" s="560" t="s">
        <v>1255</v>
      </c>
      <c r="C246" s="560" t="s">
        <v>43</v>
      </c>
      <c r="D246" s="167" t="str">
        <f t="shared" si="3"/>
        <v>RUN_MOBILE_IOS_3Phát triển</v>
      </c>
      <c r="E246" s="173"/>
    </row>
    <row r="247" ht="15" spans="1:5">
      <c r="A247" s="24">
        <v>244</v>
      </c>
      <c r="B247" s="187" t="s">
        <v>1119</v>
      </c>
      <c r="C247" s="560" t="s">
        <v>41</v>
      </c>
      <c r="D247" s="167" t="str">
        <f t="shared" si="3"/>
        <v>CN_MOBILE Client1-NCGiải pháp</v>
      </c>
      <c r="E247" s="185">
        <v>2</v>
      </c>
    </row>
    <row r="248" ht="15" spans="1:5">
      <c r="A248" s="24">
        <v>245</v>
      </c>
      <c r="B248" s="187" t="s">
        <v>1119</v>
      </c>
      <c r="C248" s="560" t="s">
        <v>43</v>
      </c>
      <c r="D248" s="167" t="str">
        <f t="shared" si="3"/>
        <v>CN_MOBILE Client1-NCPhát triển</v>
      </c>
      <c r="E248" s="185">
        <v>4</v>
      </c>
    </row>
    <row r="249" ht="15" spans="1:5">
      <c r="A249" s="24">
        <v>246</v>
      </c>
      <c r="B249" s="187" t="s">
        <v>1119</v>
      </c>
      <c r="C249" s="560" t="s">
        <v>47</v>
      </c>
      <c r="D249" s="167" t="str">
        <f t="shared" si="3"/>
        <v>CN_MOBILE Client1-NCKiểm thử</v>
      </c>
      <c r="E249" s="185">
        <v>4</v>
      </c>
    </row>
    <row r="250" ht="15" spans="1:5">
      <c r="A250" s="24">
        <v>247</v>
      </c>
      <c r="B250" s="187" t="s">
        <v>1343</v>
      </c>
      <c r="C250" s="560" t="s">
        <v>41</v>
      </c>
      <c r="D250" s="167" t="str">
        <f t="shared" si="3"/>
        <v>CN_MOBILE Client2-NCGiải pháp</v>
      </c>
      <c r="E250" s="185">
        <v>4</v>
      </c>
    </row>
    <row r="251" ht="15" spans="1:5">
      <c r="A251" s="24">
        <v>248</v>
      </c>
      <c r="B251" s="187" t="s">
        <v>1343</v>
      </c>
      <c r="C251" s="560" t="s">
        <v>43</v>
      </c>
      <c r="D251" s="167" t="str">
        <f t="shared" si="3"/>
        <v>CN_MOBILE Client2-NCPhát triển</v>
      </c>
      <c r="E251" s="185">
        <v>8.75</v>
      </c>
    </row>
    <row r="252" ht="15" spans="1:5">
      <c r="A252" s="24">
        <v>249</v>
      </c>
      <c r="B252" s="187" t="s">
        <v>1343</v>
      </c>
      <c r="C252" s="560" t="s">
        <v>47</v>
      </c>
      <c r="D252" s="167" t="str">
        <f t="shared" si="3"/>
        <v>CN_MOBILE Client2-NCKiểm thử</v>
      </c>
      <c r="E252" s="185">
        <v>10.5</v>
      </c>
    </row>
    <row r="253" ht="15" spans="1:5">
      <c r="A253" s="24">
        <v>250</v>
      </c>
      <c r="B253" s="187" t="s">
        <v>1123</v>
      </c>
      <c r="C253" s="560" t="s">
        <v>41</v>
      </c>
      <c r="D253" s="167" t="str">
        <f t="shared" si="3"/>
        <v>CN_MOBILE Client3-NCGiải pháp</v>
      </c>
      <c r="E253" s="185">
        <v>7.5</v>
      </c>
    </row>
    <row r="254" ht="15" spans="1:5">
      <c r="A254" s="24">
        <v>251</v>
      </c>
      <c r="B254" s="187" t="s">
        <v>1123</v>
      </c>
      <c r="C254" s="560" t="s">
        <v>43</v>
      </c>
      <c r="D254" s="167" t="str">
        <f t="shared" si="3"/>
        <v>CN_MOBILE Client3-NCPhát triển</v>
      </c>
      <c r="E254" s="185">
        <v>13</v>
      </c>
    </row>
    <row r="255" ht="15" spans="1:5">
      <c r="A255" s="24">
        <v>252</v>
      </c>
      <c r="B255" s="187" t="s">
        <v>1123</v>
      </c>
      <c r="C255" s="560" t="s">
        <v>47</v>
      </c>
      <c r="D255" s="167" t="str">
        <f t="shared" si="3"/>
        <v>CN_MOBILE Client3-NCKiểm thử</v>
      </c>
      <c r="E255" s="185">
        <v>18</v>
      </c>
    </row>
    <row r="256" ht="15" spans="1:5">
      <c r="A256" s="24">
        <v>253</v>
      </c>
      <c r="B256" s="187" t="s">
        <v>1344</v>
      </c>
      <c r="C256" s="560" t="s">
        <v>41</v>
      </c>
      <c r="D256" s="167" t="str">
        <f t="shared" si="3"/>
        <v>CN_MOBILE Server1-NCGiải pháp</v>
      </c>
      <c r="E256" s="185">
        <v>2</v>
      </c>
    </row>
    <row r="257" ht="15" spans="1:5">
      <c r="A257" s="24">
        <v>254</v>
      </c>
      <c r="B257" s="187" t="s">
        <v>1344</v>
      </c>
      <c r="C257" s="560" t="s">
        <v>43</v>
      </c>
      <c r="D257" s="167" t="str">
        <f t="shared" si="3"/>
        <v>CN_MOBILE Server1-NCPhát triển</v>
      </c>
      <c r="E257" s="185">
        <v>3.5</v>
      </c>
    </row>
    <row r="258" ht="15" spans="1:5">
      <c r="A258" s="24">
        <v>255</v>
      </c>
      <c r="B258" s="187" t="s">
        <v>1344</v>
      </c>
      <c r="C258" s="560" t="s">
        <v>47</v>
      </c>
      <c r="D258" s="167" t="str">
        <f t="shared" si="3"/>
        <v>CN_MOBILE Server1-NCKiểm thử</v>
      </c>
      <c r="E258" s="185">
        <v>4</v>
      </c>
    </row>
    <row r="259" ht="15" spans="1:5">
      <c r="A259" s="24">
        <v>256</v>
      </c>
      <c r="B259" s="187" t="s">
        <v>1345</v>
      </c>
      <c r="C259" s="560" t="s">
        <v>41</v>
      </c>
      <c r="D259" s="167" t="str">
        <f t="shared" si="3"/>
        <v>CN_MOBILE Server2-NCGiải pháp</v>
      </c>
      <c r="E259" s="185">
        <v>4</v>
      </c>
    </row>
    <row r="260" ht="15" spans="1:5">
      <c r="A260" s="24">
        <v>257</v>
      </c>
      <c r="B260" s="187" t="s">
        <v>1345</v>
      </c>
      <c r="C260" s="560" t="s">
        <v>43</v>
      </c>
      <c r="D260" s="167" t="str">
        <f t="shared" si="3"/>
        <v>CN_MOBILE Server2-NCPhát triển</v>
      </c>
      <c r="E260" s="185">
        <v>7.5</v>
      </c>
    </row>
    <row r="261" ht="15" spans="1:5">
      <c r="A261" s="24">
        <v>258</v>
      </c>
      <c r="B261" s="187" t="s">
        <v>1345</v>
      </c>
      <c r="C261" s="560" t="s">
        <v>47</v>
      </c>
      <c r="D261" s="167" t="str">
        <f t="shared" si="3"/>
        <v>CN_MOBILE Server2-NCKiểm thử</v>
      </c>
      <c r="E261" s="185">
        <v>9</v>
      </c>
    </row>
    <row r="262" ht="15" spans="1:5">
      <c r="A262" s="24">
        <v>259</v>
      </c>
      <c r="B262" s="187" t="s">
        <v>1346</v>
      </c>
      <c r="C262" s="560" t="s">
        <v>41</v>
      </c>
      <c r="D262" s="167" t="str">
        <f t="shared" si="3"/>
        <v>CN_MOBILE Server3-NCGiải pháp</v>
      </c>
      <c r="E262" s="185">
        <v>7.5</v>
      </c>
    </row>
    <row r="263" ht="15" spans="1:5">
      <c r="A263" s="24">
        <v>260</v>
      </c>
      <c r="B263" s="187" t="s">
        <v>1346</v>
      </c>
      <c r="C263" s="560" t="s">
        <v>43</v>
      </c>
      <c r="D263" s="167" t="str">
        <f>B263&amp;C263</f>
        <v>CN_MOBILE Server3-NCPhát triển</v>
      </c>
      <c r="E263" s="185">
        <v>13</v>
      </c>
    </row>
    <row r="264" ht="15" spans="1:5">
      <c r="A264" s="24">
        <v>261</v>
      </c>
      <c r="B264" s="187" t="s">
        <v>1346</v>
      </c>
      <c r="C264" s="560" t="s">
        <v>47</v>
      </c>
      <c r="D264" s="167" t="str">
        <f>B264&amp;C264</f>
        <v>CN_MOBILE Server3-NCKiểm thử</v>
      </c>
      <c r="E264" s="185">
        <v>18</v>
      </c>
    </row>
    <row r="265" ht="30" spans="1:5">
      <c r="A265" s="24">
        <v>262</v>
      </c>
      <c r="B265" s="184" t="s">
        <v>1276</v>
      </c>
      <c r="C265" s="184" t="s">
        <v>1277</v>
      </c>
      <c r="D265" s="167" t="str">
        <f>B265&amp;C265</f>
        <v>UNITTESTNỗ lực unit Test</v>
      </c>
      <c r="E265" s="185" t="s">
        <v>1347</v>
      </c>
    </row>
    <row r="266" ht="18" spans="2:4">
      <c r="B266" s="188"/>
      <c r="C266" s="188"/>
      <c r="D266" s="189"/>
    </row>
    <row r="267" ht="18" spans="2:4">
      <c r="B267" s="190"/>
      <c r="C267" s="188"/>
      <c r="D267" s="189"/>
    </row>
    <row r="268" ht="18" spans="2:4">
      <c r="B268" s="191"/>
      <c r="C268" s="188"/>
      <c r="D268" s="189"/>
    </row>
  </sheetData>
  <mergeCells count="5">
    <mergeCell ref="A1:E1"/>
    <mergeCell ref="A2:A3"/>
    <mergeCell ref="B2:B3"/>
    <mergeCell ref="C2:C3"/>
    <mergeCell ref="E2:E3"/>
  </mergeCells>
  <pageMargins left="0.7" right="0.7" top="0.75" bottom="0.75" header="0.3" footer="0.3"/>
  <pageSetup paperSize="1" scale="77" orientation="portrait"/>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L65"/>
  <sheetViews>
    <sheetView view="pageBreakPreview" zoomScale="85" zoomScaleNormal="100" topLeftCell="A37" workbookViewId="0">
      <selection activeCell="L58" sqref="L58"/>
    </sheetView>
  </sheetViews>
  <sheetFormatPr defaultColWidth="9" defaultRowHeight="12.75"/>
  <cols>
    <col min="1" max="1" width="5.28571428571429" style="116" customWidth="1"/>
    <col min="2" max="2" width="25.5714285714286" style="116" customWidth="1"/>
    <col min="3" max="3" width="41.2857142857143" style="117" customWidth="1"/>
    <col min="4" max="4" width="34.2857142857143" style="117" customWidth="1"/>
    <col min="5" max="5" width="24.4285714285714" style="116" customWidth="1"/>
    <col min="6" max="6" width="13.2857142857143" style="116" customWidth="1"/>
    <col min="7" max="7" width="24.5714285714286" style="118" customWidth="1"/>
    <col min="8" max="16384" width="9.14285714285714" style="116"/>
  </cols>
  <sheetData>
    <row r="1" s="113" customFormat="1" ht="42.75" customHeight="1" spans="1:7">
      <c r="A1" s="21" t="s">
        <v>1348</v>
      </c>
      <c r="B1" s="21"/>
      <c r="C1" s="21"/>
      <c r="D1" s="21"/>
      <c r="E1" s="21"/>
      <c r="F1" s="21"/>
      <c r="G1" s="21"/>
    </row>
    <row r="2" spans="2:6">
      <c r="B2" s="119"/>
      <c r="C2" s="120"/>
      <c r="D2" s="120"/>
      <c r="E2" s="119"/>
      <c r="F2" s="119"/>
    </row>
    <row r="3" s="114" customFormat="1" ht="27" customHeight="1" spans="1:7">
      <c r="A3" s="121" t="s">
        <v>34</v>
      </c>
      <c r="B3" s="121" t="s">
        <v>913</v>
      </c>
      <c r="C3" s="122" t="s">
        <v>1349</v>
      </c>
      <c r="D3" s="122" t="s">
        <v>1350</v>
      </c>
      <c r="E3" s="121" t="s">
        <v>77</v>
      </c>
      <c r="F3" s="122" t="s">
        <v>1351</v>
      </c>
      <c r="G3" s="137" t="s">
        <v>1352</v>
      </c>
    </row>
    <row r="4" s="115" customFormat="1" ht="15" spans="1:8">
      <c r="A4" s="151">
        <v>1</v>
      </c>
      <c r="B4" s="124" t="s">
        <v>917</v>
      </c>
      <c r="C4" s="125" t="s">
        <v>1353</v>
      </c>
      <c r="D4" s="125" t="s">
        <v>1354</v>
      </c>
      <c r="E4" s="124"/>
      <c r="F4" s="124"/>
      <c r="G4" s="125" t="s">
        <v>1355</v>
      </c>
      <c r="H4" s="139"/>
    </row>
    <row r="5" s="148" customFormat="1" ht="15" spans="1:8">
      <c r="A5" s="151">
        <v>2</v>
      </c>
      <c r="B5" s="145" t="s">
        <v>1334</v>
      </c>
      <c r="C5" s="27" t="s">
        <v>1356</v>
      </c>
      <c r="D5" s="27" t="s">
        <v>1354</v>
      </c>
      <c r="E5" s="145"/>
      <c r="F5" s="145"/>
      <c r="G5" s="159">
        <v>0.03</v>
      </c>
      <c r="H5" s="160"/>
    </row>
    <row r="6" s="148" customFormat="1" ht="15" spans="1:8">
      <c r="A6" s="151">
        <v>3</v>
      </c>
      <c r="B6" s="145" t="s">
        <v>1357</v>
      </c>
      <c r="C6" s="27" t="s">
        <v>1358</v>
      </c>
      <c r="D6" s="27" t="s">
        <v>1359</v>
      </c>
      <c r="E6" s="145"/>
      <c r="F6" s="145"/>
      <c r="G6" s="161">
        <v>12</v>
      </c>
      <c r="H6" s="160"/>
    </row>
    <row r="7" s="115" customFormat="1" ht="15" spans="1:8">
      <c r="A7" s="151">
        <v>4</v>
      </c>
      <c r="B7" s="124" t="s">
        <v>1360</v>
      </c>
      <c r="C7" s="125" t="s">
        <v>1361</v>
      </c>
      <c r="D7" s="125" t="s">
        <v>1354</v>
      </c>
      <c r="E7" s="125"/>
      <c r="F7" s="124"/>
      <c r="G7" s="143">
        <v>5</v>
      </c>
      <c r="H7" s="139"/>
    </row>
    <row r="8" s="115" customFormat="1" ht="15" spans="1:8">
      <c r="A8" s="151">
        <v>5</v>
      </c>
      <c r="B8" s="124" t="s">
        <v>1362</v>
      </c>
      <c r="C8" s="125" t="s">
        <v>1363</v>
      </c>
      <c r="D8" s="125" t="s">
        <v>1354</v>
      </c>
      <c r="E8" s="125"/>
      <c r="F8" s="124"/>
      <c r="G8" s="143">
        <v>3.10909090909091</v>
      </c>
      <c r="H8" s="139"/>
    </row>
    <row r="9" s="148" customFormat="1" ht="48" customHeight="1" spans="1:8">
      <c r="A9" s="151">
        <v>6</v>
      </c>
      <c r="B9" s="145" t="s">
        <v>1364</v>
      </c>
      <c r="C9" s="27" t="s">
        <v>1365</v>
      </c>
      <c r="D9" s="27" t="s">
        <v>1366</v>
      </c>
      <c r="E9" s="27"/>
      <c r="F9" s="145"/>
      <c r="G9" s="161">
        <v>8</v>
      </c>
      <c r="H9" s="160"/>
    </row>
    <row r="10" s="148" customFormat="1" ht="59.25" customHeight="1" spans="1:8">
      <c r="A10" s="151">
        <v>7</v>
      </c>
      <c r="B10" s="145" t="s">
        <v>1367</v>
      </c>
      <c r="C10" s="27" t="s">
        <v>1365</v>
      </c>
      <c r="D10" s="27" t="s">
        <v>1368</v>
      </c>
      <c r="E10" s="27"/>
      <c r="F10" s="145"/>
      <c r="G10" s="161">
        <v>16</v>
      </c>
      <c r="H10" s="160"/>
    </row>
    <row r="11" s="148" customFormat="1" ht="63" customHeight="1" spans="1:8">
      <c r="A11" s="151">
        <v>8</v>
      </c>
      <c r="B11" s="145" t="s">
        <v>1369</v>
      </c>
      <c r="C11" s="27" t="s">
        <v>1365</v>
      </c>
      <c r="D11" s="27" t="s">
        <v>1370</v>
      </c>
      <c r="E11" s="27"/>
      <c r="F11" s="145"/>
      <c r="G11" s="161">
        <v>80</v>
      </c>
      <c r="H11" s="160"/>
    </row>
    <row r="12" s="148" customFormat="1" ht="40.5" customHeight="1" spans="1:8">
      <c r="A12" s="151">
        <v>9</v>
      </c>
      <c r="B12" s="145" t="s">
        <v>1371</v>
      </c>
      <c r="C12" s="27" t="s">
        <v>1372</v>
      </c>
      <c r="D12" s="27" t="s">
        <v>1366</v>
      </c>
      <c r="E12" s="27"/>
      <c r="F12" s="145"/>
      <c r="G12" s="161">
        <v>4</v>
      </c>
      <c r="H12" s="160"/>
    </row>
    <row r="13" s="148" customFormat="1" ht="45" spans="1:8">
      <c r="A13" s="151">
        <v>10</v>
      </c>
      <c r="B13" s="145" t="s">
        <v>1373</v>
      </c>
      <c r="C13" s="27" t="s">
        <v>1372</v>
      </c>
      <c r="D13" s="27" t="s">
        <v>1368</v>
      </c>
      <c r="E13" s="27"/>
      <c r="F13" s="145"/>
      <c r="G13" s="161">
        <v>8</v>
      </c>
      <c r="H13" s="160"/>
    </row>
    <row r="14" s="148" customFormat="1" ht="60" spans="1:8">
      <c r="A14" s="151">
        <v>11</v>
      </c>
      <c r="B14" s="145" t="s">
        <v>1374</v>
      </c>
      <c r="C14" s="27" t="s">
        <v>1372</v>
      </c>
      <c r="D14" s="27" t="s">
        <v>1375</v>
      </c>
      <c r="E14" s="27"/>
      <c r="F14" s="145"/>
      <c r="G14" s="161">
        <v>12</v>
      </c>
      <c r="H14" s="160"/>
    </row>
    <row r="15" s="148" customFormat="1" ht="30" spans="1:8">
      <c r="A15" s="151">
        <v>12</v>
      </c>
      <c r="B15" s="145" t="s">
        <v>1376</v>
      </c>
      <c r="C15" s="27" t="s">
        <v>1377</v>
      </c>
      <c r="D15" s="27"/>
      <c r="E15" s="145"/>
      <c r="F15" s="145"/>
      <c r="G15" s="161">
        <v>2</v>
      </c>
      <c r="H15" s="160"/>
    </row>
    <row r="16" s="148" customFormat="1" ht="15" spans="1:8">
      <c r="A16" s="151">
        <v>13</v>
      </c>
      <c r="B16" s="145" t="s">
        <v>1378</v>
      </c>
      <c r="C16" s="27" t="s">
        <v>1379</v>
      </c>
      <c r="D16" s="134"/>
      <c r="E16" s="145"/>
      <c r="F16" s="145"/>
      <c r="G16" s="161">
        <v>2.14906832298137</v>
      </c>
      <c r="H16" s="160"/>
    </row>
    <row r="17" s="148" customFormat="1" ht="30" spans="1:8">
      <c r="A17" s="151">
        <v>14</v>
      </c>
      <c r="B17" s="145" t="s">
        <v>945</v>
      </c>
      <c r="C17" s="152" t="s">
        <v>1380</v>
      </c>
      <c r="D17" s="145"/>
      <c r="E17" s="152" t="s">
        <v>1381</v>
      </c>
      <c r="F17" s="145"/>
      <c r="G17" s="161">
        <v>3.67901234567902</v>
      </c>
      <c r="H17" s="160"/>
    </row>
    <row r="18" s="148" customFormat="1" ht="30" spans="1:8">
      <c r="A18" s="151">
        <v>15</v>
      </c>
      <c r="B18" s="145" t="s">
        <v>947</v>
      </c>
      <c r="C18" s="152" t="s">
        <v>1382</v>
      </c>
      <c r="D18" s="145"/>
      <c r="E18" s="152" t="s">
        <v>1383</v>
      </c>
      <c r="F18" s="145"/>
      <c r="G18" s="161">
        <v>10</v>
      </c>
      <c r="H18" s="160"/>
    </row>
    <row r="19" s="148" customFormat="1" ht="15" spans="1:8">
      <c r="A19" s="151">
        <v>16</v>
      </c>
      <c r="B19" s="145" t="s">
        <v>949</v>
      </c>
      <c r="C19" s="27" t="s">
        <v>950</v>
      </c>
      <c r="D19" s="134"/>
      <c r="E19" s="145"/>
      <c r="F19" s="145"/>
      <c r="G19" s="161">
        <v>3.38385093167702</v>
      </c>
      <c r="H19" s="160"/>
    </row>
    <row r="20" s="148" customFormat="1" ht="30" spans="1:8">
      <c r="A20" s="151">
        <v>17</v>
      </c>
      <c r="B20" s="145" t="s">
        <v>1384</v>
      </c>
      <c r="C20" s="27" t="s">
        <v>1385</v>
      </c>
      <c r="D20" s="134"/>
      <c r="E20" s="145"/>
      <c r="F20" s="145"/>
      <c r="G20" s="161">
        <v>2.8054054054054</v>
      </c>
      <c r="H20" s="160"/>
    </row>
    <row r="21" s="148" customFormat="1" ht="15" spans="1:8">
      <c r="A21" s="151">
        <v>18</v>
      </c>
      <c r="B21" s="145" t="s">
        <v>939</v>
      </c>
      <c r="C21" s="152" t="s">
        <v>1386</v>
      </c>
      <c r="D21" s="152"/>
      <c r="E21" s="145"/>
      <c r="F21" s="145"/>
      <c r="G21" s="161">
        <v>6.05</v>
      </c>
      <c r="H21" s="160"/>
    </row>
    <row r="22" s="148" customFormat="1" ht="15" spans="1:8">
      <c r="A22" s="151">
        <v>19</v>
      </c>
      <c r="B22" s="145" t="s">
        <v>1387</v>
      </c>
      <c r="C22" s="152" t="s">
        <v>1388</v>
      </c>
      <c r="D22" s="563" t="s">
        <v>1389</v>
      </c>
      <c r="E22" s="145"/>
      <c r="F22" s="145"/>
      <c r="G22" s="161">
        <v>6.13333333333333</v>
      </c>
      <c r="H22" s="160"/>
    </row>
    <row r="23" s="148" customFormat="1" ht="15" spans="1:8">
      <c r="A23" s="151">
        <v>20</v>
      </c>
      <c r="B23" s="145" t="s">
        <v>1390</v>
      </c>
      <c r="C23" s="152" t="s">
        <v>1388</v>
      </c>
      <c r="D23" s="563" t="s">
        <v>1391</v>
      </c>
      <c r="E23" s="145"/>
      <c r="F23" s="145"/>
      <c r="G23" s="161">
        <v>9.13103448275862</v>
      </c>
      <c r="H23" s="160"/>
    </row>
    <row r="24" s="148" customFormat="1" ht="15" spans="1:8">
      <c r="A24" s="151">
        <v>21</v>
      </c>
      <c r="B24" s="145" t="s">
        <v>919</v>
      </c>
      <c r="C24" s="152" t="s">
        <v>1392</v>
      </c>
      <c r="D24" s="563" t="s">
        <v>1389</v>
      </c>
      <c r="E24" s="145"/>
      <c r="F24" s="145"/>
      <c r="G24" s="161">
        <v>6.4</v>
      </c>
      <c r="H24" s="160"/>
    </row>
    <row r="25" s="148" customFormat="1" ht="15" spans="1:8">
      <c r="A25" s="151">
        <v>22</v>
      </c>
      <c r="B25" s="145" t="s">
        <v>1393</v>
      </c>
      <c r="C25" s="152" t="s">
        <v>1392</v>
      </c>
      <c r="D25" s="563" t="s">
        <v>1391</v>
      </c>
      <c r="E25" s="145"/>
      <c r="F25" s="145"/>
      <c r="G25" s="161">
        <v>7.2</v>
      </c>
      <c r="H25" s="160"/>
    </row>
    <row r="26" s="148" customFormat="1" ht="15" spans="1:8">
      <c r="A26" s="151">
        <v>23</v>
      </c>
      <c r="B26" s="145" t="s">
        <v>1394</v>
      </c>
      <c r="C26" s="152" t="s">
        <v>1392</v>
      </c>
      <c r="D26" s="563" t="s">
        <v>1395</v>
      </c>
      <c r="E26" s="145"/>
      <c r="F26" s="145"/>
      <c r="G26" s="161">
        <v>83.84</v>
      </c>
      <c r="H26" s="160"/>
    </row>
    <row r="27" s="148" customFormat="1" ht="15" spans="1:8">
      <c r="A27" s="151">
        <v>24</v>
      </c>
      <c r="B27" s="145" t="s">
        <v>1396</v>
      </c>
      <c r="C27" s="152" t="s">
        <v>1397</v>
      </c>
      <c r="D27" s="152"/>
      <c r="E27" s="145"/>
      <c r="F27" s="145"/>
      <c r="G27" s="161">
        <v>72</v>
      </c>
      <c r="H27" s="160"/>
    </row>
    <row r="28" s="148" customFormat="1" ht="15" spans="1:8">
      <c r="A28" s="151">
        <v>25</v>
      </c>
      <c r="B28" s="145" t="s">
        <v>1398</v>
      </c>
      <c r="C28" s="152" t="s">
        <v>1399</v>
      </c>
      <c r="D28" s="152"/>
      <c r="E28" s="145"/>
      <c r="F28" s="145"/>
      <c r="G28" s="161">
        <v>7.2</v>
      </c>
      <c r="H28" s="160"/>
    </row>
    <row r="29" s="148" customFormat="1" ht="15" spans="1:8">
      <c r="A29" s="151">
        <v>26</v>
      </c>
      <c r="B29" s="145" t="s">
        <v>1400</v>
      </c>
      <c r="C29" s="27" t="s">
        <v>1401</v>
      </c>
      <c r="D29" s="134"/>
      <c r="E29" s="145"/>
      <c r="F29" s="145"/>
      <c r="G29" s="161">
        <v>5.6</v>
      </c>
      <c r="H29" s="160"/>
    </row>
    <row r="30" s="148" customFormat="1" ht="15" spans="1:8">
      <c r="A30" s="151">
        <v>27</v>
      </c>
      <c r="B30" s="145" t="s">
        <v>957</v>
      </c>
      <c r="C30" s="27" t="s">
        <v>1402</v>
      </c>
      <c r="D30" s="134"/>
      <c r="E30" s="145"/>
      <c r="F30" s="145"/>
      <c r="G30" s="161">
        <v>12</v>
      </c>
      <c r="H30" s="160"/>
    </row>
    <row r="31" s="148" customFormat="1" ht="30" spans="1:8">
      <c r="A31" s="151">
        <v>28</v>
      </c>
      <c r="B31" s="145" t="s">
        <v>964</v>
      </c>
      <c r="C31" s="27" t="s">
        <v>1403</v>
      </c>
      <c r="D31" s="134"/>
      <c r="E31" s="145"/>
      <c r="F31" s="145"/>
      <c r="G31" s="161">
        <v>7.2</v>
      </c>
      <c r="H31" s="160"/>
    </row>
    <row r="32" s="148" customFormat="1" ht="15" spans="1:8">
      <c r="A32" s="151">
        <v>29</v>
      </c>
      <c r="B32" s="145" t="s">
        <v>921</v>
      </c>
      <c r="C32" s="152" t="s">
        <v>1404</v>
      </c>
      <c r="D32" s="152"/>
      <c r="E32" s="145"/>
      <c r="F32" s="145"/>
      <c r="G32" s="161">
        <v>2</v>
      </c>
      <c r="H32" s="160"/>
    </row>
    <row r="33" s="148" customFormat="1" ht="15" spans="1:8">
      <c r="A33" s="151">
        <v>30</v>
      </c>
      <c r="B33" s="145" t="s">
        <v>923</v>
      </c>
      <c r="C33" s="152" t="s">
        <v>1405</v>
      </c>
      <c r="D33" s="152"/>
      <c r="E33" s="145"/>
      <c r="F33" s="145"/>
      <c r="G33" s="161">
        <v>2</v>
      </c>
      <c r="H33" s="160"/>
    </row>
    <row r="34" s="148" customFormat="1" ht="15" spans="1:8">
      <c r="A34" s="151">
        <v>31</v>
      </c>
      <c r="B34" s="145" t="s">
        <v>925</v>
      </c>
      <c r="C34" s="152" t="s">
        <v>1406</v>
      </c>
      <c r="D34" s="152"/>
      <c r="E34" s="145"/>
      <c r="F34" s="145"/>
      <c r="G34" s="161">
        <v>2</v>
      </c>
      <c r="H34" s="160"/>
    </row>
    <row r="35" s="148" customFormat="1" ht="15" spans="1:8">
      <c r="A35" s="151">
        <v>32</v>
      </c>
      <c r="B35" s="145" t="s">
        <v>926</v>
      </c>
      <c r="C35" s="152" t="s">
        <v>1407</v>
      </c>
      <c r="D35" s="152"/>
      <c r="E35" s="145"/>
      <c r="F35" s="145"/>
      <c r="G35" s="161">
        <v>4</v>
      </c>
      <c r="H35" s="160"/>
    </row>
    <row r="36" s="148" customFormat="1" ht="15" spans="1:12">
      <c r="A36" s="151">
        <v>33</v>
      </c>
      <c r="B36" s="145" t="s">
        <v>927</v>
      </c>
      <c r="C36" s="152" t="s">
        <v>1408</v>
      </c>
      <c r="D36" s="152"/>
      <c r="E36" s="145"/>
      <c r="F36" s="145"/>
      <c r="G36" s="161">
        <v>2</v>
      </c>
      <c r="H36" s="160"/>
      <c r="L36" s="148">
        <f>68/8</f>
        <v>8.5</v>
      </c>
    </row>
    <row r="37" s="148" customFormat="1" ht="15" spans="1:8">
      <c r="A37" s="151">
        <v>34</v>
      </c>
      <c r="B37" s="145" t="s">
        <v>928</v>
      </c>
      <c r="C37" s="152" t="s">
        <v>1409</v>
      </c>
      <c r="D37" s="152"/>
      <c r="E37" s="145"/>
      <c r="F37" s="145"/>
      <c r="G37" s="161">
        <v>4</v>
      </c>
      <c r="H37" s="160"/>
    </row>
    <row r="38" s="148" customFormat="1" ht="15" spans="1:8">
      <c r="A38" s="151">
        <v>35</v>
      </c>
      <c r="B38" s="145" t="s">
        <v>929</v>
      </c>
      <c r="C38" s="152" t="s">
        <v>930</v>
      </c>
      <c r="D38" s="152"/>
      <c r="E38" s="145"/>
      <c r="F38" s="145"/>
      <c r="G38" s="161">
        <v>4</v>
      </c>
      <c r="H38" s="160"/>
    </row>
    <row r="39" s="148" customFormat="1" ht="15" spans="1:8">
      <c r="A39" s="151">
        <v>36</v>
      </c>
      <c r="B39" s="145" t="s">
        <v>931</v>
      </c>
      <c r="C39" s="152" t="s">
        <v>932</v>
      </c>
      <c r="D39" s="152"/>
      <c r="E39" s="145"/>
      <c r="F39" s="145"/>
      <c r="G39" s="161">
        <v>4</v>
      </c>
      <c r="H39" s="160"/>
    </row>
    <row r="40" s="148" customFormat="1" ht="15" spans="1:8">
      <c r="A40" s="151">
        <v>37</v>
      </c>
      <c r="B40" s="145" t="s">
        <v>1410</v>
      </c>
      <c r="C40" s="152" t="s">
        <v>1411</v>
      </c>
      <c r="D40" s="152"/>
      <c r="E40" s="145"/>
      <c r="F40" s="145"/>
      <c r="G40" s="161">
        <v>2</v>
      </c>
      <c r="H40" s="160"/>
    </row>
    <row r="41" s="148" customFormat="1" ht="15" spans="1:8">
      <c r="A41" s="151">
        <v>38</v>
      </c>
      <c r="B41" s="145" t="s">
        <v>1412</v>
      </c>
      <c r="C41" s="152" t="s">
        <v>1413</v>
      </c>
      <c r="D41" s="152"/>
      <c r="E41" s="145"/>
      <c r="F41" s="145"/>
      <c r="G41" s="161">
        <v>28</v>
      </c>
      <c r="H41" s="160"/>
    </row>
    <row r="42" s="148" customFormat="1" ht="15" spans="1:8">
      <c r="A42" s="151">
        <v>39</v>
      </c>
      <c r="B42" s="145" t="s">
        <v>1414</v>
      </c>
      <c r="C42" s="27" t="s">
        <v>1415</v>
      </c>
      <c r="D42" s="564" t="s">
        <v>1416</v>
      </c>
      <c r="E42" s="145"/>
      <c r="F42" s="145"/>
      <c r="G42" s="161">
        <v>1.88235294117647</v>
      </c>
      <c r="H42" s="160"/>
    </row>
    <row r="43" s="148" customFormat="1" ht="15" spans="1:8">
      <c r="A43" s="151">
        <v>40</v>
      </c>
      <c r="B43" s="145" t="s">
        <v>1417</v>
      </c>
      <c r="C43" s="27" t="s">
        <v>1415</v>
      </c>
      <c r="D43" s="564" t="s">
        <v>1418</v>
      </c>
      <c r="E43" s="145"/>
      <c r="F43" s="145"/>
      <c r="G43" s="161">
        <v>24</v>
      </c>
      <c r="H43" s="160"/>
    </row>
    <row r="44" s="148" customFormat="1" ht="15" spans="1:8">
      <c r="A44" s="151">
        <v>41</v>
      </c>
      <c r="B44" s="145" t="s">
        <v>933</v>
      </c>
      <c r="C44" s="27" t="s">
        <v>934</v>
      </c>
      <c r="D44" s="134"/>
      <c r="E44" s="145"/>
      <c r="F44" s="145"/>
      <c r="G44" s="161">
        <v>4</v>
      </c>
      <c r="H44" s="160"/>
    </row>
    <row r="45" s="148" customFormat="1" ht="15" spans="1:8">
      <c r="A45" s="151">
        <v>42</v>
      </c>
      <c r="B45" s="145" t="s">
        <v>935</v>
      </c>
      <c r="C45" s="27" t="s">
        <v>936</v>
      </c>
      <c r="D45" s="134"/>
      <c r="E45" s="145"/>
      <c r="F45" s="145"/>
      <c r="G45" s="161">
        <v>68</v>
      </c>
      <c r="H45" s="160"/>
    </row>
    <row r="46" s="148" customFormat="1" ht="15" spans="1:8">
      <c r="A46" s="151">
        <v>43</v>
      </c>
      <c r="B46" s="145" t="s">
        <v>937</v>
      </c>
      <c r="C46" s="27" t="s">
        <v>938</v>
      </c>
      <c r="D46" s="134"/>
      <c r="E46" s="145"/>
      <c r="F46" s="145"/>
      <c r="G46" s="161">
        <v>24</v>
      </c>
      <c r="H46" s="160"/>
    </row>
    <row r="47" s="148" customFormat="1" ht="30" spans="1:8">
      <c r="A47" s="151">
        <v>44</v>
      </c>
      <c r="B47" s="145" t="s">
        <v>1419</v>
      </c>
      <c r="C47" s="27" t="s">
        <v>1420</v>
      </c>
      <c r="D47" s="134"/>
      <c r="E47" s="145"/>
      <c r="F47" s="145"/>
      <c r="G47" s="161">
        <v>8</v>
      </c>
      <c r="H47" s="160"/>
    </row>
    <row r="48" s="148" customFormat="1" ht="30" spans="1:8">
      <c r="A48" s="151">
        <v>45</v>
      </c>
      <c r="B48" s="145" t="s">
        <v>941</v>
      </c>
      <c r="C48" s="563" t="s">
        <v>942</v>
      </c>
      <c r="D48" s="152"/>
      <c r="E48" s="145"/>
      <c r="F48" s="145"/>
      <c r="G48" s="161">
        <v>40</v>
      </c>
      <c r="H48" s="160"/>
    </row>
    <row r="49" s="148" customFormat="1" ht="30" spans="1:8">
      <c r="A49" s="151">
        <v>46</v>
      </c>
      <c r="B49" s="145" t="s">
        <v>943</v>
      </c>
      <c r="C49" s="563" t="s">
        <v>944</v>
      </c>
      <c r="D49" s="152"/>
      <c r="E49" s="145"/>
      <c r="F49" s="145"/>
      <c r="G49" s="161">
        <v>1.43818181818182</v>
      </c>
      <c r="H49" s="160"/>
    </row>
    <row r="50" s="148" customFormat="1" ht="15" spans="1:8">
      <c r="A50" s="151">
        <v>47</v>
      </c>
      <c r="B50" s="145" t="s">
        <v>1421</v>
      </c>
      <c r="C50" s="152" t="s">
        <v>1422</v>
      </c>
      <c r="D50" s="152"/>
      <c r="E50" s="145"/>
      <c r="F50" s="145"/>
      <c r="G50" s="161">
        <v>1.76666666666667</v>
      </c>
      <c r="H50" s="160"/>
    </row>
    <row r="51" s="148" customFormat="1" ht="15" spans="1:8">
      <c r="A51" s="151">
        <v>48</v>
      </c>
      <c r="B51" s="145" t="s">
        <v>1423</v>
      </c>
      <c r="C51" s="152" t="s">
        <v>1424</v>
      </c>
      <c r="D51" s="152"/>
      <c r="E51" s="145"/>
      <c r="F51" s="145"/>
      <c r="G51" s="161">
        <v>2.9</v>
      </c>
      <c r="H51" s="160"/>
    </row>
    <row r="52" s="149" customFormat="1" ht="90" spans="1:8">
      <c r="A52" s="151">
        <v>49</v>
      </c>
      <c r="B52" s="153" t="s">
        <v>1425</v>
      </c>
      <c r="C52" s="154" t="s">
        <v>1426</v>
      </c>
      <c r="D52" s="154"/>
      <c r="E52" s="154" t="s">
        <v>1427</v>
      </c>
      <c r="F52" s="153"/>
      <c r="G52" s="161">
        <v>8</v>
      </c>
      <c r="H52" s="160"/>
    </row>
    <row r="53" s="149" customFormat="1" ht="30" spans="1:8">
      <c r="A53" s="151">
        <v>50</v>
      </c>
      <c r="B53" s="153" t="s">
        <v>1428</v>
      </c>
      <c r="C53" s="154" t="s">
        <v>1429</v>
      </c>
      <c r="D53" s="154"/>
      <c r="E53" s="154"/>
      <c r="F53" s="153"/>
      <c r="G53" s="161">
        <v>4</v>
      </c>
      <c r="H53" s="160"/>
    </row>
    <row r="54" s="150" customFormat="1" ht="15" spans="1:8">
      <c r="A54" s="151">
        <v>51</v>
      </c>
      <c r="B54" s="155" t="s">
        <v>1430</v>
      </c>
      <c r="C54" s="156" t="s">
        <v>1431</v>
      </c>
      <c r="D54" s="156"/>
      <c r="E54" s="156"/>
      <c r="F54" s="155"/>
      <c r="G54" s="161">
        <v>4</v>
      </c>
      <c r="H54" s="160"/>
    </row>
    <row r="55" s="149" customFormat="1" ht="30" spans="1:8">
      <c r="A55" s="151">
        <v>52</v>
      </c>
      <c r="B55" s="153" t="s">
        <v>951</v>
      </c>
      <c r="C55" s="154" t="s">
        <v>1432</v>
      </c>
      <c r="D55" s="154"/>
      <c r="E55" s="154"/>
      <c r="F55" s="153"/>
      <c r="G55" s="161">
        <v>4</v>
      </c>
      <c r="H55" s="160"/>
    </row>
    <row r="56" ht="30" spans="1:7">
      <c r="A56" s="151">
        <v>50</v>
      </c>
      <c r="B56" s="153" t="s">
        <v>1428</v>
      </c>
      <c r="C56" s="154" t="s">
        <v>1429</v>
      </c>
      <c r="D56" s="154"/>
      <c r="E56" s="154"/>
      <c r="F56" s="153"/>
      <c r="G56" s="161">
        <v>4</v>
      </c>
    </row>
    <row r="57" ht="15" spans="1:7">
      <c r="A57" s="151">
        <v>51</v>
      </c>
      <c r="B57" s="155" t="s">
        <v>1430</v>
      </c>
      <c r="C57" s="156" t="s">
        <v>1431</v>
      </c>
      <c r="D57" s="156"/>
      <c r="E57" s="156"/>
      <c r="F57" s="155"/>
      <c r="G57" s="161">
        <v>4</v>
      </c>
    </row>
    <row r="58" ht="30" spans="1:7">
      <c r="A58" s="151">
        <v>52</v>
      </c>
      <c r="B58" s="153" t="s">
        <v>951</v>
      </c>
      <c r="C58" s="154" t="s">
        <v>1432</v>
      </c>
      <c r="D58" s="154"/>
      <c r="E58" s="154"/>
      <c r="F58" s="153"/>
      <c r="G58" s="161">
        <v>4</v>
      </c>
    </row>
    <row r="59" ht="15" spans="1:7">
      <c r="A59" s="151">
        <v>53</v>
      </c>
      <c r="B59" s="124" t="s">
        <v>1433</v>
      </c>
      <c r="C59" s="157" t="s">
        <v>1434</v>
      </c>
      <c r="D59" s="158"/>
      <c r="E59" s="158"/>
      <c r="F59" s="158"/>
      <c r="G59" s="161">
        <v>530</v>
      </c>
    </row>
    <row r="60" ht="15" spans="1:7">
      <c r="A60" s="151">
        <v>54</v>
      </c>
      <c r="B60" s="124" t="s">
        <v>1435</v>
      </c>
      <c r="C60" s="157" t="s">
        <v>1436</v>
      </c>
      <c r="D60" s="158"/>
      <c r="E60" s="158"/>
      <c r="F60" s="158"/>
      <c r="G60" s="116">
        <v>200</v>
      </c>
    </row>
    <row r="61" ht="15" spans="1:7">
      <c r="A61" s="151">
        <v>55</v>
      </c>
      <c r="B61" s="124" t="s">
        <v>1437</v>
      </c>
      <c r="C61" s="157" t="s">
        <v>1438</v>
      </c>
      <c r="D61" s="158"/>
      <c r="E61" s="158"/>
      <c r="F61" s="158"/>
      <c r="G61" s="161">
        <v>88</v>
      </c>
    </row>
    <row r="62" ht="30" spans="1:7">
      <c r="A62" s="151">
        <v>56</v>
      </c>
      <c r="B62" s="124" t="s">
        <v>1439</v>
      </c>
      <c r="C62" s="157" t="s">
        <v>1440</v>
      </c>
      <c r="D62" s="158"/>
      <c r="E62" s="158"/>
      <c r="F62" s="158"/>
      <c r="G62" s="161">
        <v>88</v>
      </c>
    </row>
    <row r="63" ht="15" spans="1:7">
      <c r="A63" s="151">
        <v>57</v>
      </c>
      <c r="B63" s="124" t="s">
        <v>1441</v>
      </c>
      <c r="C63" s="157" t="s">
        <v>1442</v>
      </c>
      <c r="D63" s="158"/>
      <c r="E63" s="158"/>
      <c r="F63" s="158"/>
      <c r="G63" s="161">
        <v>768</v>
      </c>
    </row>
    <row r="64" ht="15" spans="1:7">
      <c r="A64" s="151">
        <v>58</v>
      </c>
      <c r="B64" s="124" t="s">
        <v>1443</v>
      </c>
      <c r="C64" s="157" t="s">
        <v>1444</v>
      </c>
      <c r="D64" s="158"/>
      <c r="E64" s="158"/>
      <c r="F64" s="158"/>
      <c r="G64" s="161">
        <v>576</v>
      </c>
    </row>
    <row r="65" ht="15" spans="1:7">
      <c r="A65" s="151">
        <v>59</v>
      </c>
      <c r="B65" s="124" t="s">
        <v>1445</v>
      </c>
      <c r="C65" s="157" t="s">
        <v>1446</v>
      </c>
      <c r="D65" s="158"/>
      <c r="E65" s="158"/>
      <c r="F65" s="158"/>
      <c r="G65" s="161">
        <v>192</v>
      </c>
    </row>
  </sheetData>
  <mergeCells count="1">
    <mergeCell ref="A1:G1"/>
  </mergeCells>
  <dataValidations count="1">
    <dataValidation type="list" allowBlank="1" showInputMessage="1" showErrorMessage="1" sqref="F38:F85 G39:G59 G61:G85 F4:G37">
      <formula1>"Có, Không"</formula1>
    </dataValidation>
  </dataValidations>
  <pageMargins left="0.7" right="0.7" top="0.75" bottom="0.75" header="0.3" footer="0.3"/>
  <pageSetup paperSize="9" scale="4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12"/>
  <sheetViews>
    <sheetView workbookViewId="0">
      <selection activeCell="I6" sqref="I6"/>
    </sheetView>
  </sheetViews>
  <sheetFormatPr defaultColWidth="9" defaultRowHeight="12.75" outlineLevelCol="7"/>
  <cols>
    <col min="1" max="1" width="5.28571428571429" style="116" customWidth="1"/>
    <col min="2" max="2" width="25.5714285714286" style="116" customWidth="1"/>
    <col min="3" max="3" width="41.2857142857143" style="117" customWidth="1"/>
    <col min="4" max="4" width="34.2857142857143" style="117" customWidth="1"/>
    <col min="5" max="5" width="24.4285714285714" style="116" customWidth="1"/>
    <col min="6" max="6" width="13.2857142857143" style="116" customWidth="1"/>
    <col min="7" max="7" width="12.8571428571429" style="118" customWidth="1"/>
    <col min="8" max="16384" width="9.14285714285714" style="116"/>
  </cols>
  <sheetData>
    <row r="1" s="113" customFormat="1" ht="42.75" customHeight="1" spans="1:7">
      <c r="A1" s="21" t="s">
        <v>1447</v>
      </c>
      <c r="B1" s="21"/>
      <c r="C1" s="21"/>
      <c r="D1" s="21"/>
      <c r="E1" s="21"/>
      <c r="F1" s="21"/>
      <c r="G1" s="21"/>
    </row>
    <row r="2" spans="2:6">
      <c r="B2" s="119"/>
      <c r="C2" s="120"/>
      <c r="D2" s="120"/>
      <c r="E2" s="119"/>
      <c r="F2" s="119"/>
    </row>
    <row r="3" s="114" customFormat="1" ht="27" customHeight="1" spans="1:7">
      <c r="A3" s="121" t="s">
        <v>34</v>
      </c>
      <c r="B3" s="121" t="s">
        <v>913</v>
      </c>
      <c r="C3" s="122" t="s">
        <v>1349</v>
      </c>
      <c r="D3" s="122" t="s">
        <v>1350</v>
      </c>
      <c r="E3" s="121" t="s">
        <v>77</v>
      </c>
      <c r="F3" s="122" t="s">
        <v>1351</v>
      </c>
      <c r="G3" s="137" t="s">
        <v>1352</v>
      </c>
    </row>
    <row r="4" s="115" customFormat="1" ht="30" spans="1:8">
      <c r="A4" s="123">
        <v>1</v>
      </c>
      <c r="B4" s="124" t="s">
        <v>1448</v>
      </c>
      <c r="C4" s="125" t="s">
        <v>1449</v>
      </c>
      <c r="D4" s="125" t="s">
        <v>1354</v>
      </c>
      <c r="E4" s="124"/>
      <c r="F4" s="124"/>
      <c r="G4" s="138">
        <v>4</v>
      </c>
      <c r="H4" s="139"/>
    </row>
    <row r="5" s="115" customFormat="1" ht="45" spans="1:8">
      <c r="A5" s="126">
        <v>2</v>
      </c>
      <c r="B5" s="127" t="s">
        <v>1450</v>
      </c>
      <c r="C5" s="125" t="s">
        <v>1451</v>
      </c>
      <c r="D5" s="125" t="s">
        <v>1354</v>
      </c>
      <c r="E5" s="124"/>
      <c r="F5" s="124"/>
      <c r="G5" s="138">
        <v>0.2</v>
      </c>
      <c r="H5" s="139"/>
    </row>
    <row r="6" s="115" customFormat="1" ht="15" spans="1:8">
      <c r="A6" s="128"/>
      <c r="B6" s="129" t="s">
        <v>1452</v>
      </c>
      <c r="C6" s="130" t="s">
        <v>1453</v>
      </c>
      <c r="D6" s="131"/>
      <c r="E6" s="140"/>
      <c r="F6" s="140"/>
      <c r="G6" s="141">
        <f>G5*10</f>
        <v>2</v>
      </c>
      <c r="H6" s="139"/>
    </row>
    <row r="7" s="115" customFormat="1" ht="30" spans="1:8">
      <c r="A7" s="126">
        <v>3</v>
      </c>
      <c r="B7" s="132" t="s">
        <v>1454</v>
      </c>
      <c r="C7" s="125" t="s">
        <v>1455</v>
      </c>
      <c r="D7" s="125" t="s">
        <v>1354</v>
      </c>
      <c r="E7" s="125"/>
      <c r="F7" s="124"/>
      <c r="G7" s="125">
        <v>25</v>
      </c>
      <c r="H7" s="139"/>
    </row>
    <row r="8" s="115" customFormat="1" ht="15" spans="1:8">
      <c r="A8" s="128"/>
      <c r="B8" s="129" t="s">
        <v>1456</v>
      </c>
      <c r="C8" s="130" t="s">
        <v>1457</v>
      </c>
      <c r="D8" s="125"/>
      <c r="E8" s="142"/>
      <c r="F8" s="140"/>
      <c r="G8" s="130">
        <f>G7*180/100</f>
        <v>45</v>
      </c>
      <c r="H8" s="139"/>
    </row>
    <row r="9" s="115" customFormat="1" ht="30" spans="1:8">
      <c r="A9" s="126">
        <v>4</v>
      </c>
      <c r="B9" s="132" t="s">
        <v>1458</v>
      </c>
      <c r="C9" s="125" t="s">
        <v>1459</v>
      </c>
      <c r="D9" s="125" t="s">
        <v>1354</v>
      </c>
      <c r="E9" s="125"/>
      <c r="F9" s="124"/>
      <c r="G9" s="143">
        <v>50</v>
      </c>
      <c r="H9" s="139"/>
    </row>
    <row r="10" s="115" customFormat="1" ht="15" spans="1:8">
      <c r="A10" s="128"/>
      <c r="B10" s="133" t="s">
        <v>1460</v>
      </c>
      <c r="C10" s="130" t="s">
        <v>1457</v>
      </c>
      <c r="D10" s="125"/>
      <c r="E10" s="125"/>
      <c r="F10" s="124"/>
      <c r="G10" s="144">
        <f>G9*180/100</f>
        <v>90</v>
      </c>
      <c r="H10" s="139"/>
    </row>
    <row r="11" s="115" customFormat="1" ht="45" spans="1:8">
      <c r="A11" s="123">
        <v>5</v>
      </c>
      <c r="B11" s="134" t="s">
        <v>1461</v>
      </c>
      <c r="C11" s="27" t="s">
        <v>1462</v>
      </c>
      <c r="D11" s="135" t="s">
        <v>1354</v>
      </c>
      <c r="E11" s="27"/>
      <c r="F11" s="145"/>
      <c r="G11" s="138">
        <v>0.2</v>
      </c>
      <c r="H11" s="139"/>
    </row>
    <row r="12" ht="15" spans="1:7">
      <c r="A12" s="123"/>
      <c r="B12" s="136" t="s">
        <v>1463</v>
      </c>
      <c r="C12" s="130" t="s">
        <v>1453</v>
      </c>
      <c r="D12" s="135"/>
      <c r="E12" s="146"/>
      <c r="F12" s="146"/>
      <c r="G12" s="147">
        <f>G11*10</f>
        <v>2</v>
      </c>
    </row>
  </sheetData>
  <mergeCells count="6">
    <mergeCell ref="A1:G1"/>
    <mergeCell ref="A5:A6"/>
    <mergeCell ref="A7:A8"/>
    <mergeCell ref="A9:A10"/>
    <mergeCell ref="A11:A12"/>
    <mergeCell ref="D11:D12"/>
  </mergeCells>
  <pageMargins left="0.7" right="0.7" top="0.75" bottom="0.75" header="0.3" footer="0.3"/>
  <pageSetup paperSize="1" scale="70"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L12"/>
  <sheetViews>
    <sheetView topLeftCell="A4" workbookViewId="0">
      <selection activeCell="G12" sqref="G12"/>
    </sheetView>
  </sheetViews>
  <sheetFormatPr defaultColWidth="9" defaultRowHeight="12.75"/>
  <cols>
    <col min="2" max="2" width="20" customWidth="1"/>
    <col min="4" max="4" width="22" customWidth="1"/>
    <col min="5" max="5" width="10" hidden="1" customWidth="1"/>
    <col min="9" max="9" width="12.5714285714286" customWidth="1"/>
  </cols>
  <sheetData>
    <row r="4" ht="15.75" customHeight="1" spans="1:12">
      <c r="A4" s="83" t="s">
        <v>1464</v>
      </c>
      <c r="B4" s="84"/>
      <c r="C4" s="84"/>
      <c r="D4" s="84"/>
      <c r="E4" s="84"/>
      <c r="F4" s="84"/>
      <c r="G4" s="100"/>
      <c r="H4" s="101"/>
      <c r="I4" s="101"/>
      <c r="J4" s="22"/>
      <c r="K4" s="22"/>
      <c r="L4" s="22"/>
    </row>
    <row r="5" ht="15" spans="1:12">
      <c r="A5" s="85" t="s">
        <v>33</v>
      </c>
      <c r="B5" s="86"/>
      <c r="C5" s="86"/>
      <c r="D5" s="86"/>
      <c r="E5" s="86"/>
      <c r="F5" s="86"/>
      <c r="G5" s="102"/>
      <c r="H5" s="22"/>
      <c r="I5" s="22"/>
      <c r="J5" s="22"/>
      <c r="K5" s="22"/>
      <c r="L5" s="22"/>
    </row>
    <row r="6" ht="30" spans="1:7">
      <c r="A6" s="87" t="s">
        <v>34</v>
      </c>
      <c r="B6" s="88" t="s">
        <v>35</v>
      </c>
      <c r="C6" s="89" t="s">
        <v>36</v>
      </c>
      <c r="D6" s="90"/>
      <c r="E6" s="96" t="s">
        <v>903</v>
      </c>
      <c r="F6" s="103" t="s">
        <v>1465</v>
      </c>
      <c r="G6" s="104" t="s">
        <v>1466</v>
      </c>
    </row>
    <row r="7" ht="48" customHeight="1" spans="1:7">
      <c r="A7" s="91">
        <v>1</v>
      </c>
      <c r="B7" s="92" t="s">
        <v>1467</v>
      </c>
      <c r="C7" s="93" t="s">
        <v>1468</v>
      </c>
      <c r="D7" s="94"/>
      <c r="E7" s="105">
        <v>20.5</v>
      </c>
      <c r="F7" s="106">
        <f t="shared" ref="F7:F12" si="0">E7/E$12</f>
        <v>0.0915178571428571</v>
      </c>
      <c r="G7" s="107" t="s">
        <v>287</v>
      </c>
    </row>
    <row r="8" ht="105" customHeight="1" spans="1:7">
      <c r="A8" s="91">
        <v>2</v>
      </c>
      <c r="B8" s="92" t="s">
        <v>1469</v>
      </c>
      <c r="C8" s="93" t="s">
        <v>1470</v>
      </c>
      <c r="D8" s="94"/>
      <c r="E8" s="105">
        <v>10</v>
      </c>
      <c r="F8" s="106">
        <f t="shared" si="0"/>
        <v>0.0446428571428571</v>
      </c>
      <c r="G8" s="108" t="s">
        <v>287</v>
      </c>
    </row>
    <row r="9" ht="44.25" customHeight="1" spans="1:7">
      <c r="A9" s="91">
        <v>3</v>
      </c>
      <c r="B9" s="92" t="s">
        <v>1471</v>
      </c>
      <c r="C9" s="93" t="s">
        <v>1472</v>
      </c>
      <c r="D9" s="94"/>
      <c r="E9" s="105">
        <v>15</v>
      </c>
      <c r="F9" s="106">
        <f t="shared" si="0"/>
        <v>0.0669642857142857</v>
      </c>
      <c r="G9" s="108" t="s">
        <v>287</v>
      </c>
    </row>
    <row r="10" ht="30" spans="1:7">
      <c r="A10" s="91">
        <v>4</v>
      </c>
      <c r="B10" s="92" t="s">
        <v>1473</v>
      </c>
      <c r="C10" s="93" t="s">
        <v>1474</v>
      </c>
      <c r="D10" s="94"/>
      <c r="E10" s="105">
        <v>98</v>
      </c>
      <c r="F10" s="106">
        <f t="shared" si="0"/>
        <v>0.4375</v>
      </c>
      <c r="G10" s="109" t="s">
        <v>287</v>
      </c>
    </row>
    <row r="11" ht="65.25" customHeight="1" spans="1:7">
      <c r="A11" s="91">
        <v>5</v>
      </c>
      <c r="B11" s="95" t="s">
        <v>1475</v>
      </c>
      <c r="C11" s="93" t="s">
        <v>1476</v>
      </c>
      <c r="D11" s="94"/>
      <c r="E11" s="105">
        <v>80.5</v>
      </c>
      <c r="F11" s="106">
        <f t="shared" si="0"/>
        <v>0.359375</v>
      </c>
      <c r="G11" s="110" t="s">
        <v>287</v>
      </c>
    </row>
    <row r="12" ht="56.25" spans="1:7">
      <c r="A12" s="96">
        <v>7</v>
      </c>
      <c r="B12" s="97" t="s">
        <v>68</v>
      </c>
      <c r="C12" s="98" t="s">
        <v>1477</v>
      </c>
      <c r="D12" s="99"/>
      <c r="E12" s="111">
        <f>SUM(E7:E11)</f>
        <v>224</v>
      </c>
      <c r="F12" s="106">
        <f t="shared" si="0"/>
        <v>1</v>
      </c>
      <c r="G12" s="112"/>
    </row>
  </sheetData>
  <mergeCells count="9">
    <mergeCell ref="A4:G4"/>
    <mergeCell ref="A5:G5"/>
    <mergeCell ref="C6:D6"/>
    <mergeCell ref="C7:D7"/>
    <mergeCell ref="C8:D8"/>
    <mergeCell ref="C9:D9"/>
    <mergeCell ref="C10:D10"/>
    <mergeCell ref="C11:D11"/>
    <mergeCell ref="C12:D12"/>
  </mergeCells>
  <dataValidations count="1">
    <dataValidation type="list" allowBlank="1" showInputMessage="1" showErrorMessage="1" sqref="G11 G8:G9">
      <formula1>"Có,Không"</formula1>
    </dataValidation>
  </dataValidations>
  <pageMargins left="0.7" right="0.7" top="0.75" bottom="0.75" header="0.3" footer="0.3"/>
  <pageSetup paperSize="1" orientation="portrait"/>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18"/>
  <sheetViews>
    <sheetView topLeftCell="A8" workbookViewId="0">
      <selection activeCell="D16" sqref="D16:H16"/>
    </sheetView>
  </sheetViews>
  <sheetFormatPr defaultColWidth="9" defaultRowHeight="12.75" outlineLevelCol="7"/>
  <cols>
    <col min="1" max="1" width="6.85714285714286" style="52" customWidth="1"/>
    <col min="2" max="2" width="16.4285714285714" style="52" customWidth="1"/>
    <col min="3" max="3" width="38.2857142857143" style="52" customWidth="1"/>
    <col min="4" max="4" width="10.1428571428571" style="52" customWidth="1"/>
    <col min="5" max="5" width="15.5714285714286" style="52" customWidth="1"/>
    <col min="6" max="6" width="37.4285714285714" style="52" customWidth="1"/>
    <col min="7" max="7" width="12.2857142857143" style="52" customWidth="1"/>
    <col min="8" max="8" width="14.1428571428571" style="52" customWidth="1"/>
    <col min="9" max="16384" width="9.14285714285714" style="52"/>
  </cols>
  <sheetData>
    <row r="1" ht="35.25" customHeight="1" spans="1:8">
      <c r="A1" s="53" t="s">
        <v>1478</v>
      </c>
      <c r="B1" s="53"/>
      <c r="C1" s="53"/>
      <c r="D1" s="53"/>
      <c r="E1" s="53"/>
      <c r="F1" s="53"/>
      <c r="G1" s="53"/>
      <c r="H1" s="53"/>
    </row>
    <row r="2" ht="18" spans="1:8">
      <c r="A2" s="54" t="s">
        <v>1479</v>
      </c>
      <c r="B2" s="54"/>
      <c r="C2" s="54"/>
      <c r="D2" s="54"/>
      <c r="E2" s="54"/>
      <c r="F2" s="54"/>
      <c r="G2" s="54"/>
      <c r="H2" s="54"/>
    </row>
    <row r="3" ht="18" spans="1:8">
      <c r="A3" s="54"/>
      <c r="B3" s="71" t="s">
        <v>1480</v>
      </c>
      <c r="C3" s="71"/>
      <c r="D3" s="71"/>
      <c r="E3" s="71"/>
      <c r="F3" s="71"/>
      <c r="G3" s="71"/>
      <c r="H3" s="71"/>
    </row>
    <row r="4" ht="18" spans="1:8">
      <c r="A4" s="54" t="s">
        <v>1481</v>
      </c>
      <c r="B4" s="54"/>
      <c r="C4" s="54"/>
      <c r="D4" s="54"/>
      <c r="E4" s="54"/>
      <c r="F4" s="54"/>
      <c r="G4" s="54"/>
      <c r="H4" s="54"/>
    </row>
    <row r="5" ht="18" spans="1:8">
      <c r="A5" s="54"/>
      <c r="B5" s="54"/>
      <c r="C5" s="54"/>
      <c r="D5" s="54"/>
      <c r="E5" s="54"/>
      <c r="F5" s="54"/>
      <c r="G5" s="54"/>
      <c r="H5" s="54"/>
    </row>
    <row r="6" s="69" customFormat="1" ht="15.75" customHeight="1" spans="1:8">
      <c r="A6" s="72" t="s">
        <v>267</v>
      </c>
      <c r="B6" s="73" t="s">
        <v>1482</v>
      </c>
      <c r="C6" s="56" t="s">
        <v>1483</v>
      </c>
      <c r="D6" s="56"/>
      <c r="E6" s="56"/>
      <c r="F6" s="56" t="s">
        <v>1484</v>
      </c>
      <c r="G6" s="56"/>
      <c r="H6" s="56"/>
    </row>
    <row r="7" s="50" customFormat="1" ht="30" spans="1:8">
      <c r="A7" s="55"/>
      <c r="B7" s="74"/>
      <c r="C7" s="56" t="s">
        <v>1485</v>
      </c>
      <c r="D7" s="56" t="s">
        <v>1486</v>
      </c>
      <c r="E7" s="56" t="s">
        <v>1487</v>
      </c>
      <c r="F7" s="56" t="s">
        <v>1485</v>
      </c>
      <c r="G7" s="56" t="s">
        <v>1486</v>
      </c>
      <c r="H7" s="56" t="s">
        <v>1487</v>
      </c>
    </row>
    <row r="8" s="50" customFormat="1" ht="213" customHeight="1" spans="1:8">
      <c r="A8" s="57">
        <v>1</v>
      </c>
      <c r="B8" s="75"/>
      <c r="C8" s="565" t="s">
        <v>1488</v>
      </c>
      <c r="D8" s="58" t="s">
        <v>1489</v>
      </c>
      <c r="E8" s="59" t="s">
        <v>1490</v>
      </c>
      <c r="F8" s="565" t="s">
        <v>1491</v>
      </c>
      <c r="G8" s="58" t="s">
        <v>1492</v>
      </c>
      <c r="H8" s="59" t="s">
        <v>1493</v>
      </c>
    </row>
    <row r="9" ht="16.5" spans="1:8">
      <c r="A9" s="60"/>
      <c r="B9" s="61" t="s">
        <v>1494</v>
      </c>
      <c r="C9" s="61"/>
      <c r="D9" s="61"/>
      <c r="E9" s="61"/>
      <c r="F9" s="60"/>
      <c r="G9" s="60"/>
      <c r="H9" s="60"/>
    </row>
    <row r="10" ht="18" spans="1:8">
      <c r="A10" s="54" t="s">
        <v>1495</v>
      </c>
      <c r="B10" s="54"/>
      <c r="C10" s="54"/>
      <c r="D10" s="54"/>
      <c r="E10" s="54"/>
      <c r="F10" s="54"/>
      <c r="G10" s="54"/>
      <c r="H10" s="54"/>
    </row>
    <row r="11" s="51" customFormat="1" ht="82.5" customHeight="1" spans="1:8">
      <c r="A11" s="62" t="s">
        <v>1496</v>
      </c>
      <c r="B11" s="76"/>
      <c r="C11" s="63"/>
      <c r="D11" s="64" t="s">
        <v>1497</v>
      </c>
      <c r="E11" s="64"/>
      <c r="F11" s="64"/>
      <c r="G11" s="64"/>
      <c r="H11" s="64"/>
    </row>
    <row r="12" s="51" customFormat="1" ht="87.75" customHeight="1" spans="1:8">
      <c r="A12" s="62" t="s">
        <v>1498</v>
      </c>
      <c r="B12" s="76"/>
      <c r="C12" s="63"/>
      <c r="D12" s="566" t="s">
        <v>1499</v>
      </c>
      <c r="E12" s="64"/>
      <c r="F12" s="64"/>
      <c r="G12" s="64"/>
      <c r="H12" s="64"/>
    </row>
    <row r="13" s="51" customFormat="1" ht="87.75" customHeight="1" spans="1:8">
      <c r="A13" s="62" t="s">
        <v>1500</v>
      </c>
      <c r="B13" s="76"/>
      <c r="C13" s="63"/>
      <c r="D13" s="567" t="s">
        <v>1501</v>
      </c>
      <c r="E13" s="66"/>
      <c r="F13" s="66"/>
      <c r="G13" s="66"/>
      <c r="H13" s="68"/>
    </row>
    <row r="14" s="51" customFormat="1" ht="82.5" customHeight="1" spans="1:8">
      <c r="A14" s="62" t="s">
        <v>1502</v>
      </c>
      <c r="B14" s="76"/>
      <c r="C14" s="63"/>
      <c r="D14" s="64" t="s">
        <v>1503</v>
      </c>
      <c r="E14" s="64"/>
      <c r="F14" s="64"/>
      <c r="G14" s="64"/>
      <c r="H14" s="64"/>
    </row>
    <row r="15" s="70" customFormat="1" ht="82.5" customHeight="1" spans="1:8">
      <c r="A15" s="78" t="s">
        <v>1504</v>
      </c>
      <c r="B15" s="79"/>
      <c r="C15" s="80"/>
      <c r="D15" s="81" t="s">
        <v>1505</v>
      </c>
      <c r="E15" s="82"/>
      <c r="F15" s="82"/>
      <c r="G15" s="82"/>
      <c r="H15" s="82"/>
    </row>
    <row r="16" s="51" customFormat="1" ht="82.5" customHeight="1" spans="1:8">
      <c r="A16" s="62" t="s">
        <v>1506</v>
      </c>
      <c r="B16" s="76"/>
      <c r="C16" s="63"/>
      <c r="D16" s="64" t="s">
        <v>1507</v>
      </c>
      <c r="E16" s="64"/>
      <c r="F16" s="64"/>
      <c r="G16" s="64"/>
      <c r="H16" s="64"/>
    </row>
    <row r="18" spans="2:8">
      <c r="B18" s="67"/>
      <c r="C18" s="67"/>
      <c r="D18" s="67"/>
      <c r="E18" s="67"/>
      <c r="F18" s="67"/>
      <c r="G18" s="67"/>
      <c r="H18" s="67"/>
    </row>
  </sheetData>
  <mergeCells count="18">
    <mergeCell ref="A1:H1"/>
    <mergeCell ref="A2:H2"/>
    <mergeCell ref="B3:H3"/>
    <mergeCell ref="A4:H4"/>
    <mergeCell ref="A10:H10"/>
    <mergeCell ref="B11:C11"/>
    <mergeCell ref="D11:H11"/>
    <mergeCell ref="B12:C12"/>
    <mergeCell ref="D12:H12"/>
    <mergeCell ref="B13:C13"/>
    <mergeCell ref="D13:H13"/>
    <mergeCell ref="B14:C14"/>
    <mergeCell ref="D14:H14"/>
    <mergeCell ref="B15:C15"/>
    <mergeCell ref="D15:H15"/>
    <mergeCell ref="B16:C16"/>
    <mergeCell ref="D16:H16"/>
    <mergeCell ref="B18:H18"/>
  </mergeCells>
  <pageMargins left="0.7" right="0.7" top="0.75" bottom="0.75" header="0.3" footer="0.3"/>
  <pageSetup paperSize="1" scale="80" orientation="landscape"/>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15"/>
  <sheetViews>
    <sheetView zoomScale="80" zoomScaleNormal="80" topLeftCell="A13" workbookViewId="0">
      <selection activeCell="H13" sqref="H13"/>
    </sheetView>
  </sheetViews>
  <sheetFormatPr defaultColWidth="9" defaultRowHeight="12.75" outlineLevelCol="5"/>
  <cols>
    <col min="1" max="1" width="9.85714285714286" style="52" customWidth="1"/>
    <col min="2" max="2" width="38.2857142857143" style="52" customWidth="1"/>
    <col min="3" max="3" width="10.1428571428571" style="52" customWidth="1"/>
    <col min="4" max="4" width="15.5714285714286" style="52" customWidth="1"/>
    <col min="5" max="5" width="12.2857142857143" style="52" customWidth="1"/>
    <col min="6" max="6" width="65.1428571428571" style="52" customWidth="1"/>
    <col min="7" max="16384" width="9.14285714285714" style="52"/>
  </cols>
  <sheetData>
    <row r="1" ht="35.25" customHeight="1" spans="1:6">
      <c r="A1" s="53" t="s">
        <v>1508</v>
      </c>
      <c r="B1" s="53"/>
      <c r="C1" s="53"/>
      <c r="D1" s="53"/>
      <c r="E1" s="53"/>
      <c r="F1" s="53"/>
    </row>
    <row r="2" ht="45.75" customHeight="1" spans="1:6">
      <c r="A2" s="54" t="s">
        <v>1509</v>
      </c>
      <c r="B2" s="54"/>
      <c r="C2" s="54"/>
      <c r="D2" s="54"/>
      <c r="E2" s="54"/>
      <c r="F2" s="54"/>
    </row>
    <row r="3" ht="18" spans="1:6">
      <c r="A3" s="54" t="s">
        <v>1510</v>
      </c>
      <c r="B3" s="54"/>
      <c r="C3" s="54"/>
      <c r="D3" s="54"/>
      <c r="E3" s="54"/>
      <c r="F3" s="54"/>
    </row>
    <row r="4" ht="18" spans="1:6">
      <c r="A4" s="54"/>
      <c r="B4" s="54"/>
      <c r="C4" s="54"/>
      <c r="D4" s="54"/>
      <c r="E4" s="54"/>
      <c r="F4" s="54"/>
    </row>
    <row r="5" s="50" customFormat="1" ht="30" spans="1:6">
      <c r="A5" s="55" t="s">
        <v>34</v>
      </c>
      <c r="B5" s="56" t="s">
        <v>1485</v>
      </c>
      <c r="C5" s="56" t="s">
        <v>1486</v>
      </c>
      <c r="D5" s="56" t="s">
        <v>1487</v>
      </c>
      <c r="E5" s="56" t="s">
        <v>1486</v>
      </c>
      <c r="F5" s="56" t="s">
        <v>1487</v>
      </c>
    </row>
    <row r="6" s="50" customFormat="1" ht="213" customHeight="1" spans="1:6">
      <c r="A6" s="57">
        <v>1</v>
      </c>
      <c r="B6" s="565" t="s">
        <v>1511</v>
      </c>
      <c r="C6" s="58" t="s">
        <v>1489</v>
      </c>
      <c r="D6" s="59" t="s">
        <v>1490</v>
      </c>
      <c r="E6" s="58" t="s">
        <v>1512</v>
      </c>
      <c r="F6" s="59" t="s">
        <v>1493</v>
      </c>
    </row>
    <row r="7" ht="16.5" spans="1:6">
      <c r="A7" s="60"/>
      <c r="B7" s="61"/>
      <c r="C7" s="61"/>
      <c r="D7" s="61"/>
      <c r="E7" s="60"/>
      <c r="F7" s="60"/>
    </row>
    <row r="8" ht="18" spans="1:6">
      <c r="A8" s="54" t="s">
        <v>1513</v>
      </c>
      <c r="B8" s="54"/>
      <c r="C8" s="54"/>
      <c r="D8" s="54"/>
      <c r="E8" s="54"/>
      <c r="F8" s="54"/>
    </row>
    <row r="9" s="51" customFormat="1" ht="82.5" customHeight="1" spans="1:6">
      <c r="A9" s="62" t="s">
        <v>1496</v>
      </c>
      <c r="B9" s="63"/>
      <c r="C9" s="64" t="s">
        <v>1514</v>
      </c>
      <c r="D9" s="64"/>
      <c r="E9" s="64"/>
      <c r="F9" s="64"/>
    </row>
    <row r="10" s="51" customFormat="1" ht="87.75" customHeight="1" spans="1:6">
      <c r="A10" s="62" t="s">
        <v>1498</v>
      </c>
      <c r="B10" s="63"/>
      <c r="C10" s="566" t="s">
        <v>1515</v>
      </c>
      <c r="D10" s="64"/>
      <c r="E10" s="64"/>
      <c r="F10" s="64"/>
    </row>
    <row r="11" s="51" customFormat="1" ht="188.25" customHeight="1" spans="1:6">
      <c r="A11" s="62" t="s">
        <v>1500</v>
      </c>
      <c r="B11" s="63"/>
      <c r="C11" s="568" t="s">
        <v>1516</v>
      </c>
      <c r="D11" s="66"/>
      <c r="E11" s="66"/>
      <c r="F11" s="68"/>
    </row>
    <row r="12" s="51" customFormat="1" ht="82.5" customHeight="1" spans="1:6">
      <c r="A12" s="62" t="s">
        <v>1502</v>
      </c>
      <c r="B12" s="63"/>
      <c r="C12" s="64" t="s">
        <v>1517</v>
      </c>
      <c r="D12" s="64"/>
      <c r="E12" s="64"/>
      <c r="F12" s="64"/>
    </row>
    <row r="13" s="51" customFormat="1" ht="82.5" customHeight="1" spans="1:6">
      <c r="A13" s="62" t="s">
        <v>1504</v>
      </c>
      <c r="B13" s="63"/>
      <c r="C13" s="64" t="s">
        <v>1518</v>
      </c>
      <c r="D13" s="64"/>
      <c r="E13" s="64"/>
      <c r="F13" s="64"/>
    </row>
    <row r="15" spans="2:6">
      <c r="B15" s="67"/>
      <c r="C15" s="67"/>
      <c r="D15" s="67"/>
      <c r="E15" s="67"/>
      <c r="F15" s="67"/>
    </row>
  </sheetData>
  <mergeCells count="10">
    <mergeCell ref="A1:F1"/>
    <mergeCell ref="A2:F2"/>
    <mergeCell ref="A3:F3"/>
    <mergeCell ref="A8:F8"/>
    <mergeCell ref="C9:F9"/>
    <mergeCell ref="C10:F10"/>
    <mergeCell ref="C11:F11"/>
    <mergeCell ref="C12:F12"/>
    <mergeCell ref="C13:F13"/>
    <mergeCell ref="B15:F15"/>
  </mergeCells>
  <pageMargins left="0.7" right="0.7" top="0.75" bottom="0.75" header="0.3" footer="0.3"/>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9"/>
  <sheetViews>
    <sheetView topLeftCell="A247" workbookViewId="0">
      <selection activeCell="H259" sqref="H259"/>
    </sheetView>
  </sheetViews>
  <sheetFormatPr defaultColWidth="9" defaultRowHeight="12.75" outlineLevelCol="4"/>
  <cols>
    <col min="1" max="1" width="6.71428571428571" customWidth="1"/>
    <col min="2" max="2" width="14.2857142857143" customWidth="1"/>
    <col min="3" max="3" width="15.4285714285714" customWidth="1"/>
    <col min="4" max="4" width="37.5714285714286" customWidth="1"/>
    <col min="5" max="5" width="18" customWidth="1"/>
  </cols>
  <sheetData>
    <row r="1" ht="48.75" customHeight="1" spans="1:5">
      <c r="A1" s="21" t="s">
        <v>1519</v>
      </c>
      <c r="B1" s="21"/>
      <c r="C1" s="21"/>
      <c r="D1" s="21"/>
      <c r="E1" s="21"/>
    </row>
    <row r="2" spans="1:5">
      <c r="A2" s="22"/>
      <c r="B2" s="22"/>
      <c r="C2" s="22"/>
      <c r="D2" s="22"/>
      <c r="E2" s="22"/>
    </row>
    <row r="3" spans="1:5">
      <c r="A3" s="23" t="s">
        <v>267</v>
      </c>
      <c r="B3" s="23" t="s">
        <v>975</v>
      </c>
      <c r="C3" s="23" t="s">
        <v>1279</v>
      </c>
      <c r="D3" s="23" t="s">
        <v>35</v>
      </c>
      <c r="E3" s="23" t="s">
        <v>902</v>
      </c>
    </row>
    <row r="4" spans="1:5">
      <c r="A4" s="23"/>
      <c r="B4" s="23" t="s">
        <v>1339</v>
      </c>
      <c r="C4" s="23"/>
      <c r="D4" s="23"/>
      <c r="E4" s="23" t="s">
        <v>1340</v>
      </c>
    </row>
    <row r="5" ht="15" spans="1:5">
      <c r="A5" s="24">
        <v>1</v>
      </c>
      <c r="B5" s="25" t="s">
        <v>78</v>
      </c>
      <c r="C5" s="25" t="s">
        <v>917</v>
      </c>
      <c r="D5" s="25" t="str">
        <f>"Thực hiện "&amp;C5&amp;" cho "&amp;B5</f>
        <v>Thực hiện QTDA cho NVJ1-PTM</v>
      </c>
      <c r="E5" s="30">
        <v>3</v>
      </c>
    </row>
    <row r="6" ht="15" spans="1:5">
      <c r="A6" s="24">
        <v>2</v>
      </c>
      <c r="B6" s="25" t="s">
        <v>78</v>
      </c>
      <c r="C6" s="25" t="s">
        <v>1520</v>
      </c>
      <c r="D6" s="25" t="str">
        <f t="shared" ref="D6:D32" si="0">"Thực hiện "&amp;C6&amp;" cho "&amp;B6</f>
        <v>Thực hiện tạo PTYC cho NVJ1-PTM</v>
      </c>
      <c r="E6" s="30">
        <v>2</v>
      </c>
    </row>
    <row r="7" ht="15" spans="1:5">
      <c r="A7" s="24">
        <v>3</v>
      </c>
      <c r="B7" s="25" t="s">
        <v>78</v>
      </c>
      <c r="C7" s="25" t="s">
        <v>1300</v>
      </c>
      <c r="D7" s="25" t="str">
        <f t="shared" si="0"/>
        <v>Thực hiện TKCSDL cho NVJ1-PTM</v>
      </c>
      <c r="E7" s="30">
        <v>1</v>
      </c>
    </row>
    <row r="8" ht="15" spans="1:5">
      <c r="A8" s="24">
        <v>4</v>
      </c>
      <c r="B8" s="25" t="s">
        <v>78</v>
      </c>
      <c r="C8" s="25" t="s">
        <v>1303</v>
      </c>
      <c r="D8" s="25" t="str">
        <f t="shared" si="0"/>
        <v>Thực hiện TKCT cho NVJ1-PTM</v>
      </c>
      <c r="E8" s="30">
        <v>1</v>
      </c>
    </row>
    <row r="9" ht="15" spans="1:5">
      <c r="A9" s="24">
        <v>5</v>
      </c>
      <c r="B9" s="25" t="s">
        <v>78</v>
      </c>
      <c r="C9" s="25" t="s">
        <v>1306</v>
      </c>
      <c r="D9" s="25" t="str">
        <f t="shared" si="0"/>
        <v>Thực hiện Lập trình cho NVJ1-PTM</v>
      </c>
      <c r="E9" s="30">
        <v>10</v>
      </c>
    </row>
    <row r="10" ht="15" spans="1:5">
      <c r="A10" s="24">
        <v>6</v>
      </c>
      <c r="B10" s="25" t="s">
        <v>78</v>
      </c>
      <c r="C10" s="25" t="s">
        <v>1521</v>
      </c>
      <c r="D10" s="25" t="str">
        <f t="shared" si="0"/>
        <v>Thực hiện viết Unit test cho NVJ1-PTM</v>
      </c>
      <c r="E10" s="30">
        <v>6</v>
      </c>
    </row>
    <row r="11" ht="30" spans="1:5">
      <c r="A11" s="24">
        <v>7</v>
      </c>
      <c r="B11" s="25" t="s">
        <v>78</v>
      </c>
      <c r="C11" s="25" t="s">
        <v>1522</v>
      </c>
      <c r="D11" s="25" t="str">
        <f t="shared" si="0"/>
        <v>Thực hiện viết kịch bản kiểm thử cho NVJ1-PTM</v>
      </c>
      <c r="E11" s="30">
        <v>4</v>
      </c>
    </row>
    <row r="12" ht="15" spans="1:5">
      <c r="A12" s="24">
        <v>8</v>
      </c>
      <c r="B12" s="25" t="s">
        <v>78</v>
      </c>
      <c r="C12" s="25" t="s">
        <v>1341</v>
      </c>
      <c r="D12" s="25" t="str">
        <f t="shared" si="0"/>
        <v>Thực hiện kiểm thử cho NVJ1-PTM</v>
      </c>
      <c r="E12" s="30">
        <v>4</v>
      </c>
    </row>
    <row r="13" ht="15" spans="1:5">
      <c r="A13" s="24">
        <v>9</v>
      </c>
      <c r="B13" s="25" t="s">
        <v>78</v>
      </c>
      <c r="C13" s="25" t="s">
        <v>1523</v>
      </c>
      <c r="D13" s="25" t="str">
        <f t="shared" si="0"/>
        <v>Thực hiện viết HDSD cho NVJ1-PTM</v>
      </c>
      <c r="E13" s="30">
        <v>1</v>
      </c>
    </row>
    <row r="14" ht="15" spans="1:5">
      <c r="A14" s="24">
        <v>10</v>
      </c>
      <c r="B14" s="26" t="s">
        <v>83</v>
      </c>
      <c r="C14" s="26" t="s">
        <v>917</v>
      </c>
      <c r="D14" s="26" t="str">
        <f t="shared" si="0"/>
        <v>Thực hiện QTDA cho NVJ2-PTM</v>
      </c>
      <c r="E14" s="31">
        <v>5</v>
      </c>
    </row>
    <row r="15" ht="15" spans="1:5">
      <c r="A15" s="24">
        <v>11</v>
      </c>
      <c r="B15" s="26" t="s">
        <v>83</v>
      </c>
      <c r="C15" s="26" t="s">
        <v>1520</v>
      </c>
      <c r="D15" s="26" t="str">
        <f t="shared" si="0"/>
        <v>Thực hiện tạo PTYC cho NVJ2-PTM</v>
      </c>
      <c r="E15" s="31">
        <v>4</v>
      </c>
    </row>
    <row r="16" ht="15" spans="1:5">
      <c r="A16" s="24">
        <v>12</v>
      </c>
      <c r="B16" s="26" t="s">
        <v>83</v>
      </c>
      <c r="C16" s="26" t="s">
        <v>1300</v>
      </c>
      <c r="D16" s="26" t="str">
        <f t="shared" si="0"/>
        <v>Thực hiện TKCSDL cho NVJ2-PTM</v>
      </c>
      <c r="E16" s="31">
        <v>1</v>
      </c>
    </row>
    <row r="17" ht="15" spans="1:5">
      <c r="A17" s="24">
        <v>13</v>
      </c>
      <c r="B17" s="26" t="s">
        <v>83</v>
      </c>
      <c r="C17" s="26" t="s">
        <v>1303</v>
      </c>
      <c r="D17" s="26" t="str">
        <f t="shared" si="0"/>
        <v>Thực hiện TKCT cho NVJ2-PTM</v>
      </c>
      <c r="E17" s="31">
        <v>2</v>
      </c>
    </row>
    <row r="18" ht="15" spans="1:5">
      <c r="A18" s="24">
        <v>14</v>
      </c>
      <c r="B18" s="26" t="s">
        <v>83</v>
      </c>
      <c r="C18" s="26" t="s">
        <v>1306</v>
      </c>
      <c r="D18" s="26" t="str">
        <f t="shared" si="0"/>
        <v>Thực hiện Lập trình cho NVJ2-PTM</v>
      </c>
      <c r="E18" s="31">
        <v>14</v>
      </c>
    </row>
    <row r="19" ht="15" spans="1:5">
      <c r="A19" s="24">
        <v>15</v>
      </c>
      <c r="B19" s="26" t="s">
        <v>83</v>
      </c>
      <c r="C19" s="26" t="s">
        <v>1521</v>
      </c>
      <c r="D19" s="26" t="str">
        <f t="shared" si="0"/>
        <v>Thực hiện viết Unit test cho NVJ2-PTM</v>
      </c>
      <c r="E19" s="31">
        <v>9</v>
      </c>
    </row>
    <row r="20" ht="30" spans="1:5">
      <c r="A20" s="24">
        <v>16</v>
      </c>
      <c r="B20" s="26" t="s">
        <v>83</v>
      </c>
      <c r="C20" s="26" t="s">
        <v>1522</v>
      </c>
      <c r="D20" s="26" t="str">
        <f t="shared" si="0"/>
        <v>Thực hiện viết kịch bản kiểm thử cho NVJ2-PTM</v>
      </c>
      <c r="E20" s="31">
        <v>6</v>
      </c>
    </row>
    <row r="21" ht="15" spans="1:5">
      <c r="A21" s="24">
        <v>17</v>
      </c>
      <c r="B21" s="26" t="s">
        <v>83</v>
      </c>
      <c r="C21" s="26" t="s">
        <v>1341</v>
      </c>
      <c r="D21" s="26" t="str">
        <f t="shared" si="0"/>
        <v>Thực hiện kiểm thử cho NVJ2-PTM</v>
      </c>
      <c r="E21" s="31">
        <v>6</v>
      </c>
    </row>
    <row r="22" ht="15" spans="1:5">
      <c r="A22" s="24">
        <v>18</v>
      </c>
      <c r="B22" s="26" t="s">
        <v>83</v>
      </c>
      <c r="C22" s="26" t="s">
        <v>1523</v>
      </c>
      <c r="D22" s="26" t="str">
        <f t="shared" si="0"/>
        <v>Thực hiện viết HDSD cho NVJ2-PTM</v>
      </c>
      <c r="E22" s="31">
        <v>2</v>
      </c>
    </row>
    <row r="23" ht="15" spans="1:5">
      <c r="A23" s="24">
        <v>19</v>
      </c>
      <c r="B23" s="25" t="s">
        <v>87</v>
      </c>
      <c r="C23" s="25" t="s">
        <v>917</v>
      </c>
      <c r="D23" s="25" t="str">
        <f t="shared" si="0"/>
        <v>Thực hiện QTDA cho NVJ3-PTM</v>
      </c>
      <c r="E23" s="30">
        <v>8</v>
      </c>
    </row>
    <row r="24" ht="15" spans="1:5">
      <c r="A24" s="24">
        <v>20</v>
      </c>
      <c r="B24" s="25" t="s">
        <v>87</v>
      </c>
      <c r="C24" s="25" t="s">
        <v>1520</v>
      </c>
      <c r="D24" s="25" t="str">
        <f t="shared" si="0"/>
        <v>Thực hiện tạo PTYC cho NVJ3-PTM</v>
      </c>
      <c r="E24" s="30">
        <v>8</v>
      </c>
    </row>
    <row r="25" ht="15" spans="1:5">
      <c r="A25" s="24">
        <v>21</v>
      </c>
      <c r="B25" s="25" t="s">
        <v>87</v>
      </c>
      <c r="C25" s="25" t="s">
        <v>1300</v>
      </c>
      <c r="D25" s="25" t="str">
        <f t="shared" si="0"/>
        <v>Thực hiện TKCSDL cho NVJ3-PTM</v>
      </c>
      <c r="E25" s="30">
        <v>2</v>
      </c>
    </row>
    <row r="26" ht="15" spans="1:5">
      <c r="A26" s="24">
        <v>22</v>
      </c>
      <c r="B26" s="25" t="s">
        <v>87</v>
      </c>
      <c r="C26" s="25" t="s">
        <v>1303</v>
      </c>
      <c r="D26" s="25" t="str">
        <f t="shared" si="0"/>
        <v>Thực hiện TKCT cho NVJ3-PTM</v>
      </c>
      <c r="E26" s="30">
        <v>2</v>
      </c>
    </row>
    <row r="27" ht="15" spans="1:5">
      <c r="A27" s="24">
        <v>23</v>
      </c>
      <c r="B27" s="25" t="s">
        <v>87</v>
      </c>
      <c r="C27" s="25" t="s">
        <v>1306</v>
      </c>
      <c r="D27" s="25" t="str">
        <f t="shared" si="0"/>
        <v>Thực hiện Lập trình cho NVJ3-PTM</v>
      </c>
      <c r="E27" s="30">
        <v>18</v>
      </c>
    </row>
    <row r="28" ht="15" spans="1:5">
      <c r="A28" s="24">
        <v>24</v>
      </c>
      <c r="B28" s="25" t="s">
        <v>87</v>
      </c>
      <c r="C28" s="25" t="s">
        <v>1521</v>
      </c>
      <c r="D28" s="25" t="str">
        <f t="shared" si="0"/>
        <v>Thực hiện viết Unit test cho NVJ3-PTM</v>
      </c>
      <c r="E28" s="30">
        <v>12</v>
      </c>
    </row>
    <row r="29" ht="30" spans="1:5">
      <c r="A29" s="24">
        <v>25</v>
      </c>
      <c r="B29" s="25" t="s">
        <v>87</v>
      </c>
      <c r="C29" s="25" t="s">
        <v>1522</v>
      </c>
      <c r="D29" s="25" t="str">
        <f t="shared" si="0"/>
        <v>Thực hiện viết kịch bản kiểm thử cho NVJ3-PTM</v>
      </c>
      <c r="E29" s="30">
        <v>10</v>
      </c>
    </row>
    <row r="30" ht="15" spans="1:5">
      <c r="A30" s="24">
        <v>26</v>
      </c>
      <c r="B30" s="25" t="s">
        <v>87</v>
      </c>
      <c r="C30" s="25" t="s">
        <v>1341</v>
      </c>
      <c r="D30" s="25" t="str">
        <f t="shared" si="0"/>
        <v>Thực hiện kiểm thử cho NVJ3-PTM</v>
      </c>
      <c r="E30" s="30">
        <v>10</v>
      </c>
    </row>
    <row r="31" ht="15" spans="1:5">
      <c r="A31" s="24">
        <v>27</v>
      </c>
      <c r="B31" s="25" t="s">
        <v>87</v>
      </c>
      <c r="C31" s="25" t="s">
        <v>1523</v>
      </c>
      <c r="D31" s="25" t="str">
        <f t="shared" si="0"/>
        <v>Thực hiện viết HDSD cho NVJ3-PTM</v>
      </c>
      <c r="E31" s="30">
        <v>3</v>
      </c>
    </row>
    <row r="32" ht="15" spans="1:5">
      <c r="A32" s="24">
        <v>28</v>
      </c>
      <c r="B32" s="26" t="s">
        <v>95</v>
      </c>
      <c r="C32" s="26" t="s">
        <v>917</v>
      </c>
      <c r="D32" s="26" t="str">
        <f t="shared" si="0"/>
        <v>Thực hiện QTDA cho GD_WEB1</v>
      </c>
      <c r="E32" s="31">
        <v>3</v>
      </c>
    </row>
    <row r="33" ht="15" spans="1:5">
      <c r="A33" s="24">
        <v>29</v>
      </c>
      <c r="B33" s="26" t="s">
        <v>95</v>
      </c>
      <c r="C33" s="26" t="s">
        <v>1520</v>
      </c>
      <c r="D33" s="26" t="str">
        <f t="shared" ref="D33:D96" si="1">"Thực hiện "&amp;C33&amp;" cho "&amp;B33</f>
        <v>Thực hiện tạo PTYC cho GD_WEB1</v>
      </c>
      <c r="E33" s="31">
        <v>2</v>
      </c>
    </row>
    <row r="34" ht="15" spans="1:5">
      <c r="A34" s="24">
        <v>30</v>
      </c>
      <c r="B34" s="26" t="s">
        <v>95</v>
      </c>
      <c r="C34" s="26" t="s">
        <v>1303</v>
      </c>
      <c r="D34" s="26" t="str">
        <f t="shared" si="1"/>
        <v>Thực hiện TKCT cho GD_WEB1</v>
      </c>
      <c r="E34" s="31">
        <v>1</v>
      </c>
    </row>
    <row r="35" ht="15" spans="1:5">
      <c r="A35" s="24">
        <v>31</v>
      </c>
      <c r="B35" s="26" t="s">
        <v>95</v>
      </c>
      <c r="C35" s="26" t="s">
        <v>1306</v>
      </c>
      <c r="D35" s="26" t="str">
        <f t="shared" si="1"/>
        <v>Thực hiện Lập trình cho GD_WEB1</v>
      </c>
      <c r="E35" s="31">
        <v>8</v>
      </c>
    </row>
    <row r="36" ht="30" spans="1:5">
      <c r="A36" s="24">
        <v>32</v>
      </c>
      <c r="B36" s="26" t="s">
        <v>95</v>
      </c>
      <c r="C36" s="26" t="s">
        <v>1522</v>
      </c>
      <c r="D36" s="26" t="str">
        <f t="shared" si="1"/>
        <v>Thực hiện viết kịch bản kiểm thử cho GD_WEB1</v>
      </c>
      <c r="E36" s="31">
        <v>4</v>
      </c>
    </row>
    <row r="37" ht="15" spans="1:5">
      <c r="A37" s="24">
        <v>33</v>
      </c>
      <c r="B37" s="26" t="s">
        <v>95</v>
      </c>
      <c r="C37" s="26" t="s">
        <v>1341</v>
      </c>
      <c r="D37" s="26" t="str">
        <f t="shared" si="1"/>
        <v>Thực hiện kiểm thử cho GD_WEB1</v>
      </c>
      <c r="E37" s="31">
        <v>4</v>
      </c>
    </row>
    <row r="38" ht="45" spans="1:5">
      <c r="A38" s="24">
        <v>34</v>
      </c>
      <c r="B38" s="26" t="s">
        <v>95</v>
      </c>
      <c r="C38" s="26" t="s">
        <v>1524</v>
      </c>
      <c r="D38" s="26" t="str">
        <f t="shared" si="1"/>
        <v>Thực hiện viết kịch bản kiểm thử tự động cho GD_WEB1</v>
      </c>
      <c r="E38" s="31">
        <v>6</v>
      </c>
    </row>
    <row r="39" ht="15" spans="1:5">
      <c r="A39" s="24">
        <v>35</v>
      </c>
      <c r="B39" s="26" t="s">
        <v>95</v>
      </c>
      <c r="C39" s="26" t="s">
        <v>1523</v>
      </c>
      <c r="D39" s="26" t="str">
        <f t="shared" si="1"/>
        <v>Thực hiện viết HDSD cho GD_WEB1</v>
      </c>
      <c r="E39" s="31">
        <v>1</v>
      </c>
    </row>
    <row r="40" ht="15" spans="1:5">
      <c r="A40" s="24">
        <v>36</v>
      </c>
      <c r="B40" s="27" t="s">
        <v>98</v>
      </c>
      <c r="C40" s="25" t="s">
        <v>917</v>
      </c>
      <c r="D40" s="25" t="str">
        <f t="shared" si="1"/>
        <v>Thực hiện QTDA cho GD_WEB2</v>
      </c>
      <c r="E40" s="30">
        <v>5</v>
      </c>
    </row>
    <row r="41" ht="15" spans="1:5">
      <c r="A41" s="24">
        <v>37</v>
      </c>
      <c r="B41" s="27" t="s">
        <v>98</v>
      </c>
      <c r="C41" s="25" t="s">
        <v>1520</v>
      </c>
      <c r="D41" s="25" t="str">
        <f t="shared" si="1"/>
        <v>Thực hiện tạo PTYC cho GD_WEB2</v>
      </c>
      <c r="E41" s="30">
        <v>2</v>
      </c>
    </row>
    <row r="42" ht="15" spans="1:5">
      <c r="A42" s="24">
        <v>38</v>
      </c>
      <c r="B42" s="27" t="s">
        <v>98</v>
      </c>
      <c r="C42" s="25" t="s">
        <v>1303</v>
      </c>
      <c r="D42" s="25" t="str">
        <f t="shared" si="1"/>
        <v>Thực hiện TKCT cho GD_WEB2</v>
      </c>
      <c r="E42" s="30">
        <v>2</v>
      </c>
    </row>
    <row r="43" ht="15" spans="1:5">
      <c r="A43" s="24">
        <v>39</v>
      </c>
      <c r="B43" s="27" t="s">
        <v>98</v>
      </c>
      <c r="C43" s="25" t="s">
        <v>1306</v>
      </c>
      <c r="D43" s="25" t="str">
        <f t="shared" si="1"/>
        <v>Thực hiện Lập trình cho GD_WEB2</v>
      </c>
      <c r="E43" s="30">
        <v>12</v>
      </c>
    </row>
    <row r="44" ht="30" spans="1:5">
      <c r="A44" s="24">
        <v>40</v>
      </c>
      <c r="B44" s="27" t="s">
        <v>98</v>
      </c>
      <c r="C44" s="25" t="s">
        <v>1522</v>
      </c>
      <c r="D44" s="25" t="str">
        <f t="shared" si="1"/>
        <v>Thực hiện viết kịch bản kiểm thử cho GD_WEB2</v>
      </c>
      <c r="E44" s="30">
        <v>6</v>
      </c>
    </row>
    <row r="45" ht="15" spans="1:5">
      <c r="A45" s="24">
        <v>41</v>
      </c>
      <c r="B45" s="27" t="s">
        <v>98</v>
      </c>
      <c r="C45" s="25" t="s">
        <v>1341</v>
      </c>
      <c r="D45" s="25" t="str">
        <f t="shared" si="1"/>
        <v>Thực hiện kiểm thử cho GD_WEB2</v>
      </c>
      <c r="E45" s="30">
        <v>6</v>
      </c>
    </row>
    <row r="46" ht="45" spans="1:5">
      <c r="A46" s="24">
        <v>42</v>
      </c>
      <c r="B46" s="27" t="s">
        <v>98</v>
      </c>
      <c r="C46" s="25" t="s">
        <v>1524</v>
      </c>
      <c r="D46" s="25" t="str">
        <f t="shared" si="1"/>
        <v>Thực hiện viết kịch bản kiểm thử tự động cho GD_WEB2</v>
      </c>
      <c r="E46" s="30">
        <v>9</v>
      </c>
    </row>
    <row r="47" ht="15" spans="1:5">
      <c r="A47" s="24">
        <v>43</v>
      </c>
      <c r="B47" s="27" t="s">
        <v>98</v>
      </c>
      <c r="C47" s="25" t="s">
        <v>1523</v>
      </c>
      <c r="D47" s="25" t="str">
        <f t="shared" si="1"/>
        <v>Thực hiện viết HDSD cho GD_WEB2</v>
      </c>
      <c r="E47" s="30">
        <v>2</v>
      </c>
    </row>
    <row r="48" ht="15" spans="1:5">
      <c r="A48" s="24">
        <v>44</v>
      </c>
      <c r="B48" s="28" t="s">
        <v>102</v>
      </c>
      <c r="C48" s="26" t="s">
        <v>917</v>
      </c>
      <c r="D48" s="26" t="str">
        <f t="shared" si="1"/>
        <v>Thực hiện QTDA cho GD_WEB3</v>
      </c>
      <c r="E48" s="31">
        <v>8</v>
      </c>
    </row>
    <row r="49" ht="15" spans="1:5">
      <c r="A49" s="24">
        <v>45</v>
      </c>
      <c r="B49" s="28" t="s">
        <v>102</v>
      </c>
      <c r="C49" s="26" t="s">
        <v>1520</v>
      </c>
      <c r="D49" s="26" t="str">
        <f t="shared" si="1"/>
        <v>Thực hiện tạo PTYC cho GD_WEB3</v>
      </c>
      <c r="E49" s="31">
        <v>2</v>
      </c>
    </row>
    <row r="50" ht="15" spans="1:5">
      <c r="A50" s="24">
        <v>46</v>
      </c>
      <c r="B50" s="28" t="s">
        <v>102</v>
      </c>
      <c r="C50" s="26" t="s">
        <v>1303</v>
      </c>
      <c r="D50" s="26" t="str">
        <f t="shared" si="1"/>
        <v>Thực hiện TKCT cho GD_WEB3</v>
      </c>
      <c r="E50" s="31">
        <v>4</v>
      </c>
    </row>
    <row r="51" ht="15" spans="1:5">
      <c r="A51" s="24">
        <v>47</v>
      </c>
      <c r="B51" s="28" t="s">
        <v>102</v>
      </c>
      <c r="C51" s="26" t="s">
        <v>1306</v>
      </c>
      <c r="D51" s="26" t="str">
        <f t="shared" si="1"/>
        <v>Thực hiện Lập trình cho GD_WEB3</v>
      </c>
      <c r="E51" s="31">
        <v>16</v>
      </c>
    </row>
    <row r="52" ht="30" spans="1:5">
      <c r="A52" s="24">
        <v>48</v>
      </c>
      <c r="B52" s="28" t="s">
        <v>102</v>
      </c>
      <c r="C52" s="26" t="s">
        <v>1522</v>
      </c>
      <c r="D52" s="26" t="str">
        <f t="shared" si="1"/>
        <v>Thực hiện viết kịch bản kiểm thử cho GD_WEB3</v>
      </c>
      <c r="E52" s="31">
        <v>8</v>
      </c>
    </row>
    <row r="53" ht="15" spans="1:5">
      <c r="A53" s="24">
        <v>49</v>
      </c>
      <c r="B53" s="28" t="s">
        <v>102</v>
      </c>
      <c r="C53" s="26" t="s">
        <v>1341</v>
      </c>
      <c r="D53" s="26" t="str">
        <f t="shared" si="1"/>
        <v>Thực hiện kiểm thử cho GD_WEB3</v>
      </c>
      <c r="E53" s="31">
        <v>8</v>
      </c>
    </row>
    <row r="54" ht="45" spans="1:5">
      <c r="A54" s="24">
        <v>50</v>
      </c>
      <c r="B54" s="28" t="s">
        <v>102</v>
      </c>
      <c r="C54" s="26" t="s">
        <v>1524</v>
      </c>
      <c r="D54" s="26" t="str">
        <f t="shared" si="1"/>
        <v>Thực hiện viết kịch bản kiểm thử tự động cho GD_WEB3</v>
      </c>
      <c r="E54" s="31">
        <v>12</v>
      </c>
    </row>
    <row r="55" ht="15" spans="1:5">
      <c r="A55" s="24">
        <v>51</v>
      </c>
      <c r="B55" s="28" t="s">
        <v>102</v>
      </c>
      <c r="C55" s="26" t="s">
        <v>1523</v>
      </c>
      <c r="D55" s="26" t="str">
        <f t="shared" si="1"/>
        <v>Thực hiện viết HDSD cho GD_WEB3</v>
      </c>
      <c r="E55" s="31">
        <v>3</v>
      </c>
    </row>
    <row r="56" ht="15" spans="1:5">
      <c r="A56" s="24">
        <v>52</v>
      </c>
      <c r="B56" s="25" t="s">
        <v>106</v>
      </c>
      <c r="C56" s="25" t="s">
        <v>917</v>
      </c>
      <c r="D56" s="25" t="str">
        <f t="shared" si="1"/>
        <v>Thực hiện QTDA cho BC1</v>
      </c>
      <c r="E56" s="30">
        <v>2</v>
      </c>
    </row>
    <row r="57" ht="15" spans="1:5">
      <c r="A57" s="24">
        <v>53</v>
      </c>
      <c r="B57" s="25" t="s">
        <v>106</v>
      </c>
      <c r="C57" s="25" t="s">
        <v>1520</v>
      </c>
      <c r="D57" s="25" t="str">
        <f t="shared" si="1"/>
        <v>Thực hiện tạo PTYC cho BC1</v>
      </c>
      <c r="E57" s="30">
        <v>2</v>
      </c>
    </row>
    <row r="58" ht="15" spans="1:5">
      <c r="A58" s="24">
        <v>54</v>
      </c>
      <c r="B58" s="25" t="s">
        <v>106</v>
      </c>
      <c r="C58" s="25" t="s">
        <v>1300</v>
      </c>
      <c r="D58" s="25" t="str">
        <f t="shared" si="1"/>
        <v>Thực hiện TKCSDL cho BC1</v>
      </c>
      <c r="E58" s="30">
        <v>2</v>
      </c>
    </row>
    <row r="59" ht="15" spans="1:5">
      <c r="A59" s="24">
        <v>55</v>
      </c>
      <c r="B59" s="25" t="s">
        <v>106</v>
      </c>
      <c r="C59" s="25" t="s">
        <v>1303</v>
      </c>
      <c r="D59" s="25" t="str">
        <f t="shared" si="1"/>
        <v>Thực hiện TKCT cho BC1</v>
      </c>
      <c r="E59" s="30">
        <v>2</v>
      </c>
    </row>
    <row r="60" ht="30" spans="1:5">
      <c r="A60" s="24">
        <v>56</v>
      </c>
      <c r="B60" s="25" t="s">
        <v>106</v>
      </c>
      <c r="C60" s="29" t="s">
        <v>1324</v>
      </c>
      <c r="D60" s="25" t="str">
        <f t="shared" si="1"/>
        <v>Thực hiện Cấu hình tổng hợp ETL cho BC1</v>
      </c>
      <c r="E60" s="30">
        <v>4</v>
      </c>
    </row>
    <row r="61" ht="15" spans="1:5">
      <c r="A61" s="24">
        <v>57</v>
      </c>
      <c r="B61" s="25" t="s">
        <v>106</v>
      </c>
      <c r="C61" s="29" t="s">
        <v>1327</v>
      </c>
      <c r="D61" s="25" t="str">
        <f t="shared" si="1"/>
        <v>Thực hiện Design file birt cho BC1</v>
      </c>
      <c r="E61" s="30">
        <v>3</v>
      </c>
    </row>
    <row r="62" ht="30" spans="1:5">
      <c r="A62" s="24">
        <v>58</v>
      </c>
      <c r="B62" s="25" t="s">
        <v>106</v>
      </c>
      <c r="C62" s="25" t="s">
        <v>1522</v>
      </c>
      <c r="D62" s="25" t="str">
        <f t="shared" si="1"/>
        <v>Thực hiện viết kịch bản kiểm thử cho BC1</v>
      </c>
      <c r="E62" s="30">
        <v>2</v>
      </c>
    </row>
    <row r="63" ht="15" spans="1:5">
      <c r="A63" s="24">
        <v>59</v>
      </c>
      <c r="B63" s="25" t="s">
        <v>106</v>
      </c>
      <c r="C63" s="25" t="s">
        <v>1341</v>
      </c>
      <c r="D63" s="25" t="str">
        <f t="shared" si="1"/>
        <v>Thực hiện kiểm thử cho BC1</v>
      </c>
      <c r="E63" s="30">
        <v>2</v>
      </c>
    </row>
    <row r="64" ht="15" spans="1:5">
      <c r="A64" s="24">
        <v>60</v>
      </c>
      <c r="B64" s="25" t="s">
        <v>106</v>
      </c>
      <c r="C64" s="25" t="s">
        <v>1523</v>
      </c>
      <c r="D64" s="25" t="str">
        <f t="shared" si="1"/>
        <v>Thực hiện viết HDSD cho BC1</v>
      </c>
      <c r="E64" s="30">
        <v>2</v>
      </c>
    </row>
    <row r="65" ht="15" spans="1:5">
      <c r="A65" s="24">
        <v>61</v>
      </c>
      <c r="B65" s="26" t="s">
        <v>111</v>
      </c>
      <c r="C65" s="26" t="s">
        <v>917</v>
      </c>
      <c r="D65" s="26" t="str">
        <f t="shared" si="1"/>
        <v>Thực hiện QTDA cho BC2</v>
      </c>
      <c r="E65" s="31">
        <v>2</v>
      </c>
    </row>
    <row r="66" ht="15" spans="1:5">
      <c r="A66" s="24">
        <v>62</v>
      </c>
      <c r="B66" s="26" t="s">
        <v>111</v>
      </c>
      <c r="C66" s="26" t="s">
        <v>1520</v>
      </c>
      <c r="D66" s="26" t="str">
        <f t="shared" si="1"/>
        <v>Thực hiện tạo PTYC cho BC2</v>
      </c>
      <c r="E66" s="31">
        <v>2</v>
      </c>
    </row>
    <row r="67" ht="15" spans="1:5">
      <c r="A67" s="24">
        <v>63</v>
      </c>
      <c r="B67" s="26" t="s">
        <v>111</v>
      </c>
      <c r="C67" s="26" t="s">
        <v>1300</v>
      </c>
      <c r="D67" s="26" t="str">
        <f t="shared" si="1"/>
        <v>Thực hiện TKCSDL cho BC2</v>
      </c>
      <c r="E67" s="31">
        <v>4</v>
      </c>
    </row>
    <row r="68" ht="15" spans="1:5">
      <c r="A68" s="24">
        <v>64</v>
      </c>
      <c r="B68" s="26" t="s">
        <v>111</v>
      </c>
      <c r="C68" s="26" t="s">
        <v>1303</v>
      </c>
      <c r="D68" s="26" t="str">
        <f t="shared" si="1"/>
        <v>Thực hiện TKCT cho BC2</v>
      </c>
      <c r="E68" s="31">
        <v>4</v>
      </c>
    </row>
    <row r="69" ht="30" spans="1:5">
      <c r="A69" s="24">
        <v>65</v>
      </c>
      <c r="B69" s="26" t="s">
        <v>111</v>
      </c>
      <c r="C69" s="32" t="s">
        <v>1324</v>
      </c>
      <c r="D69" s="26" t="str">
        <f t="shared" si="1"/>
        <v>Thực hiện Cấu hình tổng hợp ETL cho BC2</v>
      </c>
      <c r="E69" s="31">
        <v>6</v>
      </c>
    </row>
    <row r="70" ht="15" spans="1:5">
      <c r="A70" s="24">
        <v>66</v>
      </c>
      <c r="B70" s="26" t="s">
        <v>111</v>
      </c>
      <c r="C70" s="32" t="s">
        <v>1327</v>
      </c>
      <c r="D70" s="26" t="str">
        <f t="shared" si="1"/>
        <v>Thực hiện Design file birt cho BC2</v>
      </c>
      <c r="E70" s="31">
        <v>4</v>
      </c>
    </row>
    <row r="71" ht="30" spans="1:5">
      <c r="A71" s="24">
        <v>67</v>
      </c>
      <c r="B71" s="26" t="s">
        <v>111</v>
      </c>
      <c r="C71" s="26" t="s">
        <v>1522</v>
      </c>
      <c r="D71" s="26" t="str">
        <f t="shared" si="1"/>
        <v>Thực hiện viết kịch bản kiểm thử cho BC2</v>
      </c>
      <c r="E71" s="31">
        <v>4</v>
      </c>
    </row>
    <row r="72" ht="15" spans="1:5">
      <c r="A72" s="24">
        <v>68</v>
      </c>
      <c r="B72" s="26" t="s">
        <v>111</v>
      </c>
      <c r="C72" s="26" t="s">
        <v>1341</v>
      </c>
      <c r="D72" s="26" t="str">
        <f t="shared" si="1"/>
        <v>Thực hiện kiểm thử cho BC2</v>
      </c>
      <c r="E72" s="31">
        <v>6</v>
      </c>
    </row>
    <row r="73" ht="15" spans="1:5">
      <c r="A73" s="24">
        <v>69</v>
      </c>
      <c r="B73" s="26" t="s">
        <v>111</v>
      </c>
      <c r="C73" s="26" t="s">
        <v>1523</v>
      </c>
      <c r="D73" s="26" t="str">
        <f t="shared" si="1"/>
        <v>Thực hiện viết HDSD cho BC2</v>
      </c>
      <c r="E73" s="31">
        <v>4</v>
      </c>
    </row>
    <row r="74" ht="15" spans="1:5">
      <c r="A74" s="24">
        <v>70</v>
      </c>
      <c r="B74" s="25" t="s">
        <v>123</v>
      </c>
      <c r="C74" s="25" t="s">
        <v>917</v>
      </c>
      <c r="D74" s="25" t="str">
        <f t="shared" si="1"/>
        <v>Thực hiện QTDA cho NVJ3-NC</v>
      </c>
      <c r="E74" s="30">
        <v>1.5</v>
      </c>
    </row>
    <row r="75" ht="15" spans="1:5">
      <c r="A75" s="24">
        <v>71</v>
      </c>
      <c r="B75" s="25" t="s">
        <v>123</v>
      </c>
      <c r="C75" s="25" t="s">
        <v>1520</v>
      </c>
      <c r="D75" s="25" t="str">
        <f t="shared" si="1"/>
        <v>Thực hiện tạo PTYC cho NVJ3-NC</v>
      </c>
      <c r="E75" s="30">
        <v>2</v>
      </c>
    </row>
    <row r="76" ht="15" spans="1:5">
      <c r="A76" s="24">
        <v>72</v>
      </c>
      <c r="B76" s="25" t="s">
        <v>123</v>
      </c>
      <c r="C76" s="25" t="s">
        <v>1303</v>
      </c>
      <c r="D76" s="25" t="str">
        <f t="shared" si="1"/>
        <v>Thực hiện TKCT cho NVJ3-NC</v>
      </c>
      <c r="E76" s="30">
        <v>1.5</v>
      </c>
    </row>
    <row r="77" ht="15" spans="1:5">
      <c r="A77" s="24">
        <v>73</v>
      </c>
      <c r="B77" s="25" t="s">
        <v>123</v>
      </c>
      <c r="C77" s="25" t="s">
        <v>1306</v>
      </c>
      <c r="D77" s="25" t="str">
        <f t="shared" si="1"/>
        <v>Thực hiện Lập trình cho NVJ3-NC</v>
      </c>
      <c r="E77" s="30">
        <v>7</v>
      </c>
    </row>
    <row r="78" ht="30" spans="1:5">
      <c r="A78" s="24">
        <v>74</v>
      </c>
      <c r="B78" s="25" t="s">
        <v>123</v>
      </c>
      <c r="C78" s="25" t="s">
        <v>1522</v>
      </c>
      <c r="D78" s="25" t="str">
        <f t="shared" si="1"/>
        <v>Thực hiện viết kịch bản kiểm thử cho NVJ3-NC</v>
      </c>
      <c r="E78" s="30">
        <v>1</v>
      </c>
    </row>
    <row r="79" ht="15" spans="1:5">
      <c r="A79" s="24">
        <v>75</v>
      </c>
      <c r="B79" s="25" t="s">
        <v>123</v>
      </c>
      <c r="C79" s="25" t="s">
        <v>1341</v>
      </c>
      <c r="D79" s="25" t="str">
        <f t="shared" si="1"/>
        <v>Thực hiện kiểm thử cho NVJ3-NC</v>
      </c>
      <c r="E79" s="30">
        <v>4</v>
      </c>
    </row>
    <row r="80" ht="15" spans="1:5">
      <c r="A80" s="24">
        <v>76</v>
      </c>
      <c r="B80" s="25" t="s">
        <v>123</v>
      </c>
      <c r="C80" s="25" t="s">
        <v>1523</v>
      </c>
      <c r="D80" s="25" t="str">
        <f t="shared" si="1"/>
        <v>Thực hiện viết HDSD cho NVJ3-NC</v>
      </c>
      <c r="E80" s="30">
        <v>1</v>
      </c>
    </row>
    <row r="81" ht="15" spans="1:5">
      <c r="A81" s="24">
        <v>77</v>
      </c>
      <c r="B81" s="26" t="s">
        <v>120</v>
      </c>
      <c r="C81" s="26" t="s">
        <v>917</v>
      </c>
      <c r="D81" s="26" t="str">
        <f t="shared" si="1"/>
        <v>Thực hiện QTDA cho NVJ2-NC</v>
      </c>
      <c r="E81" s="31">
        <v>0.75</v>
      </c>
    </row>
    <row r="82" ht="15" spans="1:5">
      <c r="A82" s="24">
        <v>78</v>
      </c>
      <c r="B82" s="26" t="s">
        <v>120</v>
      </c>
      <c r="C82" s="26" t="s">
        <v>1520</v>
      </c>
      <c r="D82" s="26" t="str">
        <f t="shared" si="1"/>
        <v>Thực hiện tạo PTYC cho NVJ2-NC</v>
      </c>
      <c r="E82" s="31">
        <v>1</v>
      </c>
    </row>
    <row r="83" ht="15" spans="1:5">
      <c r="A83" s="24">
        <v>79</v>
      </c>
      <c r="B83" s="26" t="s">
        <v>120</v>
      </c>
      <c r="C83" s="26" t="s">
        <v>1303</v>
      </c>
      <c r="D83" s="26" t="str">
        <f t="shared" si="1"/>
        <v>Thực hiện TKCT cho NVJ2-NC</v>
      </c>
      <c r="E83" s="31">
        <v>0.75</v>
      </c>
    </row>
    <row r="84" ht="15" spans="1:5">
      <c r="A84" s="24">
        <v>80</v>
      </c>
      <c r="B84" s="26" t="s">
        <v>120</v>
      </c>
      <c r="C84" s="26" t="s">
        <v>1306</v>
      </c>
      <c r="D84" s="26" t="str">
        <f t="shared" si="1"/>
        <v>Thực hiện Lập trình cho NVJ2-NC</v>
      </c>
      <c r="E84" s="31">
        <v>3</v>
      </c>
    </row>
    <row r="85" ht="30" spans="1:5">
      <c r="A85" s="24">
        <v>81</v>
      </c>
      <c r="B85" s="26" t="s">
        <v>120</v>
      </c>
      <c r="C85" s="26" t="s">
        <v>1522</v>
      </c>
      <c r="D85" s="26" t="str">
        <f t="shared" si="1"/>
        <v>Thực hiện viết kịch bản kiểm thử cho NVJ2-NC</v>
      </c>
      <c r="E85" s="31">
        <v>0.5</v>
      </c>
    </row>
    <row r="86" ht="15" spans="1:5">
      <c r="A86" s="24">
        <v>82</v>
      </c>
      <c r="B86" s="26" t="s">
        <v>120</v>
      </c>
      <c r="C86" s="26" t="s">
        <v>1341</v>
      </c>
      <c r="D86" s="26" t="str">
        <f t="shared" si="1"/>
        <v>Thực hiện kiểm thử cho NVJ2-NC</v>
      </c>
      <c r="E86" s="31">
        <v>1.5</v>
      </c>
    </row>
    <row r="87" ht="15" spans="1:5">
      <c r="A87" s="24">
        <v>83</v>
      </c>
      <c r="B87" s="26" t="s">
        <v>120</v>
      </c>
      <c r="C87" s="26" t="s">
        <v>1523</v>
      </c>
      <c r="D87" s="26" t="str">
        <f t="shared" si="1"/>
        <v>Thực hiện viết HDSD cho NVJ2-NC</v>
      </c>
      <c r="E87" s="31">
        <v>0.5</v>
      </c>
    </row>
    <row r="88" ht="15" spans="1:5">
      <c r="A88" s="24">
        <v>84</v>
      </c>
      <c r="B88" s="25" t="s">
        <v>117</v>
      </c>
      <c r="C88" s="25" t="s">
        <v>917</v>
      </c>
      <c r="D88" s="25" t="str">
        <f t="shared" si="1"/>
        <v>Thực hiện QTDA cho NVJ1-NC</v>
      </c>
      <c r="E88" s="30">
        <v>0.5</v>
      </c>
    </row>
    <row r="89" ht="15" spans="1:5">
      <c r="A89" s="24">
        <v>85</v>
      </c>
      <c r="B89" s="25" t="s">
        <v>117</v>
      </c>
      <c r="C89" s="25" t="s">
        <v>1520</v>
      </c>
      <c r="D89" s="25" t="str">
        <f t="shared" si="1"/>
        <v>Thực hiện tạo PTYC cho NVJ1-NC</v>
      </c>
      <c r="E89" s="30">
        <v>0.5</v>
      </c>
    </row>
    <row r="90" ht="15" spans="1:5">
      <c r="A90" s="24">
        <v>86</v>
      </c>
      <c r="B90" s="25" t="s">
        <v>117</v>
      </c>
      <c r="C90" s="25" t="s">
        <v>1303</v>
      </c>
      <c r="D90" s="25" t="str">
        <f t="shared" si="1"/>
        <v>Thực hiện TKCT cho NVJ1-NC</v>
      </c>
      <c r="E90" s="30">
        <v>0.25</v>
      </c>
    </row>
    <row r="91" ht="15" spans="1:5">
      <c r="A91" s="24">
        <v>87</v>
      </c>
      <c r="B91" s="25" t="s">
        <v>117</v>
      </c>
      <c r="C91" s="25" t="s">
        <v>1306</v>
      </c>
      <c r="D91" s="25" t="str">
        <f t="shared" si="1"/>
        <v>Thực hiện Lập trình cho NVJ1-NC</v>
      </c>
      <c r="E91" s="30">
        <v>1.5</v>
      </c>
    </row>
    <row r="92" ht="30" spans="1:5">
      <c r="A92" s="24">
        <v>88</v>
      </c>
      <c r="B92" s="25" t="s">
        <v>117</v>
      </c>
      <c r="C92" s="25" t="s">
        <v>1522</v>
      </c>
      <c r="D92" s="25" t="str">
        <f t="shared" si="1"/>
        <v>Thực hiện viết kịch bản kiểm thử cho NVJ1-NC</v>
      </c>
      <c r="E92" s="30">
        <v>0.25</v>
      </c>
    </row>
    <row r="93" ht="15" spans="1:5">
      <c r="A93" s="24">
        <v>89</v>
      </c>
      <c r="B93" s="25" t="s">
        <v>117</v>
      </c>
      <c r="C93" s="25" t="s">
        <v>1341</v>
      </c>
      <c r="D93" s="25" t="str">
        <f t="shared" si="1"/>
        <v>Thực hiện kiểm thử cho NVJ1-NC</v>
      </c>
      <c r="E93" s="30">
        <v>1</v>
      </c>
    </row>
    <row r="94" ht="15" spans="1:5">
      <c r="A94" s="24">
        <v>90</v>
      </c>
      <c r="B94" s="25" t="s">
        <v>117</v>
      </c>
      <c r="C94" s="25" t="s">
        <v>1523</v>
      </c>
      <c r="D94" s="25" t="str">
        <f t="shared" si="1"/>
        <v>Thực hiện viết HDSD cho NVJ1-NC</v>
      </c>
      <c r="E94" s="30">
        <v>0.75</v>
      </c>
    </row>
    <row r="95" ht="15" spans="1:5">
      <c r="A95" s="24">
        <v>91</v>
      </c>
      <c r="B95" s="33" t="s">
        <v>128</v>
      </c>
      <c r="C95" s="26" t="s">
        <v>917</v>
      </c>
      <c r="D95" s="26" t="str">
        <f t="shared" si="1"/>
        <v>Thực hiện QTDA cho DM2</v>
      </c>
      <c r="E95" s="31">
        <v>1.5</v>
      </c>
    </row>
    <row r="96" ht="15" spans="1:5">
      <c r="A96" s="24">
        <v>92</v>
      </c>
      <c r="B96" s="33" t="s">
        <v>128</v>
      </c>
      <c r="C96" s="26" t="s">
        <v>1520</v>
      </c>
      <c r="D96" s="26" t="str">
        <f t="shared" si="1"/>
        <v>Thực hiện tạo PTYC cho DM2</v>
      </c>
      <c r="E96" s="31">
        <v>2.5</v>
      </c>
    </row>
    <row r="97" ht="15" spans="1:5">
      <c r="A97" s="24">
        <v>93</v>
      </c>
      <c r="B97" s="33" t="s">
        <v>128</v>
      </c>
      <c r="C97" s="26" t="s">
        <v>1303</v>
      </c>
      <c r="D97" s="26" t="str">
        <f t="shared" ref="D97:D129" si="2">"Thực hiện "&amp;C97&amp;" cho "&amp;B97</f>
        <v>Thực hiện TKCT cho DM2</v>
      </c>
      <c r="E97" s="31">
        <v>2</v>
      </c>
    </row>
    <row r="98" ht="15" spans="1:5">
      <c r="A98" s="24">
        <v>94</v>
      </c>
      <c r="B98" s="33" t="s">
        <v>128</v>
      </c>
      <c r="C98" s="26" t="s">
        <v>1306</v>
      </c>
      <c r="D98" s="26" t="str">
        <f t="shared" si="2"/>
        <v>Thực hiện Lập trình cho DM2</v>
      </c>
      <c r="E98" s="31">
        <v>9</v>
      </c>
    </row>
    <row r="99" ht="30" spans="1:5">
      <c r="A99" s="24">
        <v>95</v>
      </c>
      <c r="B99" s="33" t="s">
        <v>128</v>
      </c>
      <c r="C99" s="26" t="s">
        <v>1522</v>
      </c>
      <c r="D99" s="26" t="str">
        <f t="shared" si="2"/>
        <v>Thực hiện viết kịch bản kiểm thử cho DM2</v>
      </c>
      <c r="E99" s="31">
        <v>2</v>
      </c>
    </row>
    <row r="100" ht="15" spans="1:5">
      <c r="A100" s="24">
        <v>96</v>
      </c>
      <c r="B100" s="33" t="s">
        <v>128</v>
      </c>
      <c r="C100" s="26" t="s">
        <v>1341</v>
      </c>
      <c r="D100" s="26" t="str">
        <f t="shared" si="2"/>
        <v>Thực hiện kiểm thử cho DM2</v>
      </c>
      <c r="E100" s="31">
        <v>4.5</v>
      </c>
    </row>
    <row r="101" ht="15" spans="1:5">
      <c r="A101" s="24">
        <v>97</v>
      </c>
      <c r="B101" s="33" t="s">
        <v>128</v>
      </c>
      <c r="C101" s="26" t="s">
        <v>1523</v>
      </c>
      <c r="D101" s="26" t="str">
        <f t="shared" si="2"/>
        <v>Thực hiện viết HDSD cho DM2</v>
      </c>
      <c r="E101" s="31">
        <v>1</v>
      </c>
    </row>
    <row r="102" ht="30" spans="1:5">
      <c r="A102" s="24">
        <v>98</v>
      </c>
      <c r="B102" s="34" t="s">
        <v>133</v>
      </c>
      <c r="C102" s="25" t="s">
        <v>917</v>
      </c>
      <c r="D102" s="25" t="str">
        <f t="shared" si="2"/>
        <v>Thực hiện QTDA cho GD_MOBILE1</v>
      </c>
      <c r="E102" s="30">
        <v>0.75</v>
      </c>
    </row>
    <row r="103" ht="30" spans="1:5">
      <c r="A103" s="24">
        <v>99</v>
      </c>
      <c r="B103" s="34" t="s">
        <v>133</v>
      </c>
      <c r="C103" s="25" t="s">
        <v>1520</v>
      </c>
      <c r="D103" s="25" t="str">
        <f t="shared" si="2"/>
        <v>Thực hiện tạo PTYC cho GD_MOBILE1</v>
      </c>
      <c r="E103" s="30">
        <v>1.25</v>
      </c>
    </row>
    <row r="104" ht="30" spans="1:5">
      <c r="A104" s="24">
        <v>100</v>
      </c>
      <c r="B104" s="34" t="s">
        <v>133</v>
      </c>
      <c r="C104" s="25" t="s">
        <v>1303</v>
      </c>
      <c r="D104" s="25" t="str">
        <f t="shared" si="2"/>
        <v>Thực hiện TKCT cho GD_MOBILE1</v>
      </c>
      <c r="E104" s="30">
        <v>1</v>
      </c>
    </row>
    <row r="105" ht="30" spans="1:5">
      <c r="A105" s="24">
        <v>101</v>
      </c>
      <c r="B105" s="34" t="s">
        <v>133</v>
      </c>
      <c r="C105" s="25" t="s">
        <v>1306</v>
      </c>
      <c r="D105" s="25" t="str">
        <f t="shared" si="2"/>
        <v>Thực hiện Lập trình cho GD_MOBILE1</v>
      </c>
      <c r="E105" s="30">
        <v>4</v>
      </c>
    </row>
    <row r="106" ht="30" spans="1:5">
      <c r="A106" s="24">
        <v>102</v>
      </c>
      <c r="B106" s="34" t="s">
        <v>133</v>
      </c>
      <c r="C106" s="25" t="s">
        <v>1522</v>
      </c>
      <c r="D106" s="25" t="str">
        <f t="shared" si="2"/>
        <v>Thực hiện viết kịch bản kiểm thử cho GD_MOBILE1</v>
      </c>
      <c r="E106" s="30">
        <v>1</v>
      </c>
    </row>
    <row r="107" ht="30" spans="1:5">
      <c r="A107" s="24">
        <v>103</v>
      </c>
      <c r="B107" s="34" t="s">
        <v>133</v>
      </c>
      <c r="C107" s="25" t="s">
        <v>1341</v>
      </c>
      <c r="D107" s="25" t="str">
        <f t="shared" si="2"/>
        <v>Thực hiện kiểm thử cho GD_MOBILE1</v>
      </c>
      <c r="E107" s="30">
        <v>2</v>
      </c>
    </row>
    <row r="108" ht="30" spans="1:5">
      <c r="A108" s="24">
        <v>104</v>
      </c>
      <c r="B108" s="34" t="s">
        <v>133</v>
      </c>
      <c r="C108" s="25" t="s">
        <v>1523</v>
      </c>
      <c r="D108" s="25" t="str">
        <f t="shared" si="2"/>
        <v>Thực hiện viết HDSD cho GD_MOBILE1</v>
      </c>
      <c r="E108" s="30">
        <v>0.5</v>
      </c>
    </row>
    <row r="109" ht="30" spans="1:5">
      <c r="A109" s="24">
        <v>105</v>
      </c>
      <c r="B109" s="33" t="s">
        <v>137</v>
      </c>
      <c r="C109" s="26" t="s">
        <v>917</v>
      </c>
      <c r="D109" s="26" t="str">
        <f t="shared" si="2"/>
        <v>Thực hiện QTDA cho GD_MOBILE2</v>
      </c>
      <c r="E109" s="31">
        <v>1.5</v>
      </c>
    </row>
    <row r="110" ht="30" spans="1:5">
      <c r="A110" s="24">
        <v>106</v>
      </c>
      <c r="B110" s="33" t="s">
        <v>137</v>
      </c>
      <c r="C110" s="26" t="s">
        <v>1520</v>
      </c>
      <c r="D110" s="26" t="str">
        <f t="shared" si="2"/>
        <v>Thực hiện tạo PTYC cho GD_MOBILE2</v>
      </c>
      <c r="E110" s="31">
        <v>2.5</v>
      </c>
    </row>
    <row r="111" ht="30" spans="1:5">
      <c r="A111" s="24">
        <v>107</v>
      </c>
      <c r="B111" s="33" t="s">
        <v>137</v>
      </c>
      <c r="C111" s="26" t="s">
        <v>1303</v>
      </c>
      <c r="D111" s="26" t="str">
        <f t="shared" si="2"/>
        <v>Thực hiện TKCT cho GD_MOBILE2</v>
      </c>
      <c r="E111" s="31">
        <v>4</v>
      </c>
    </row>
    <row r="112" ht="30" spans="1:5">
      <c r="A112" s="24">
        <v>108</v>
      </c>
      <c r="B112" s="33" t="s">
        <v>137</v>
      </c>
      <c r="C112" s="26" t="s">
        <v>1306</v>
      </c>
      <c r="D112" s="26" t="str">
        <f t="shared" si="2"/>
        <v>Thực hiện Lập trình cho GD_MOBILE2</v>
      </c>
      <c r="E112" s="31">
        <v>8</v>
      </c>
    </row>
    <row r="113" ht="30" spans="1:5">
      <c r="A113" s="24">
        <v>109</v>
      </c>
      <c r="B113" s="33" t="s">
        <v>137</v>
      </c>
      <c r="C113" s="26" t="s">
        <v>1522</v>
      </c>
      <c r="D113" s="26" t="str">
        <f t="shared" si="2"/>
        <v>Thực hiện viết kịch bản kiểm thử cho GD_MOBILE2</v>
      </c>
      <c r="E113" s="31">
        <v>3</v>
      </c>
    </row>
    <row r="114" ht="30" spans="1:5">
      <c r="A114" s="24">
        <v>110</v>
      </c>
      <c r="B114" s="33" t="s">
        <v>137</v>
      </c>
      <c r="C114" s="26" t="s">
        <v>1341</v>
      </c>
      <c r="D114" s="26" t="str">
        <f t="shared" si="2"/>
        <v>Thực hiện kiểm thử cho GD_MOBILE2</v>
      </c>
      <c r="E114" s="31">
        <v>4</v>
      </c>
    </row>
    <row r="115" ht="30" spans="1:5">
      <c r="A115" s="24">
        <v>111</v>
      </c>
      <c r="B115" s="33" t="s">
        <v>137</v>
      </c>
      <c r="C115" s="26" t="s">
        <v>1523</v>
      </c>
      <c r="D115" s="26" t="str">
        <f t="shared" si="2"/>
        <v>Thực hiện viết HDSD cho GD_MOBILE2</v>
      </c>
      <c r="E115" s="31">
        <v>2</v>
      </c>
    </row>
    <row r="116" ht="30" spans="1:5">
      <c r="A116" s="24">
        <v>112</v>
      </c>
      <c r="B116" s="34" t="s">
        <v>140</v>
      </c>
      <c r="C116" s="25" t="s">
        <v>917</v>
      </c>
      <c r="D116" s="25" t="str">
        <f t="shared" si="2"/>
        <v>Thực hiện QTDA cho GD_MOBILE3</v>
      </c>
      <c r="E116" s="30">
        <v>3</v>
      </c>
    </row>
    <row r="117" ht="30" spans="1:5">
      <c r="A117" s="24">
        <v>113</v>
      </c>
      <c r="B117" s="34" t="s">
        <v>140</v>
      </c>
      <c r="C117" s="25" t="s">
        <v>1520</v>
      </c>
      <c r="D117" s="25" t="str">
        <f t="shared" si="2"/>
        <v>Thực hiện tạo PTYC cho GD_MOBILE3</v>
      </c>
      <c r="E117" s="30">
        <v>5</v>
      </c>
    </row>
    <row r="118" ht="30" spans="1:5">
      <c r="A118" s="24">
        <v>114</v>
      </c>
      <c r="B118" s="34" t="s">
        <v>140</v>
      </c>
      <c r="C118" s="25" t="s">
        <v>1303</v>
      </c>
      <c r="D118" s="25" t="str">
        <f t="shared" si="2"/>
        <v>Thực hiện TKCT cho GD_MOBILE3</v>
      </c>
      <c r="E118" s="30">
        <v>7</v>
      </c>
    </row>
    <row r="119" ht="30" spans="1:5">
      <c r="A119" s="24">
        <v>115</v>
      </c>
      <c r="B119" s="34" t="s">
        <v>140</v>
      </c>
      <c r="C119" s="25" t="s">
        <v>1306</v>
      </c>
      <c r="D119" s="25" t="str">
        <f t="shared" si="2"/>
        <v>Thực hiện Lập trình cho GD_MOBILE3</v>
      </c>
      <c r="E119" s="30">
        <v>17</v>
      </c>
    </row>
    <row r="120" ht="30" spans="1:5">
      <c r="A120" s="24">
        <v>116</v>
      </c>
      <c r="B120" s="34" t="s">
        <v>140</v>
      </c>
      <c r="C120" s="25" t="s">
        <v>1522</v>
      </c>
      <c r="D120" s="25" t="str">
        <f t="shared" si="2"/>
        <v>Thực hiện viết kịch bản kiểm thử cho GD_MOBILE3</v>
      </c>
      <c r="E120" s="30">
        <v>5</v>
      </c>
    </row>
    <row r="121" ht="30" spans="1:5">
      <c r="A121" s="24">
        <v>117</v>
      </c>
      <c r="B121" s="34" t="s">
        <v>140</v>
      </c>
      <c r="C121" s="25" t="s">
        <v>1341</v>
      </c>
      <c r="D121" s="25" t="str">
        <f t="shared" si="2"/>
        <v>Thực hiện kiểm thử cho GD_MOBILE3</v>
      </c>
      <c r="E121" s="30">
        <v>9</v>
      </c>
    </row>
    <row r="122" ht="30" spans="1:5">
      <c r="A122" s="24">
        <v>118</v>
      </c>
      <c r="B122" s="34" t="s">
        <v>140</v>
      </c>
      <c r="C122" s="25" t="s">
        <v>1523</v>
      </c>
      <c r="D122" s="25" t="str">
        <f t="shared" si="2"/>
        <v>Thực hiện viết HDSD cho GD_MOBILE3</v>
      </c>
      <c r="E122" s="30">
        <v>2.5</v>
      </c>
    </row>
    <row r="123" ht="15" spans="1:5">
      <c r="A123" s="24">
        <v>119</v>
      </c>
      <c r="B123" s="33" t="s">
        <v>125</v>
      </c>
      <c r="C123" s="26" t="s">
        <v>917</v>
      </c>
      <c r="D123" s="26" t="str">
        <f t="shared" si="2"/>
        <v>Thực hiện QTDA cho DM1</v>
      </c>
      <c r="E123" s="31">
        <v>1</v>
      </c>
    </row>
    <row r="124" ht="15" spans="1:5">
      <c r="A124" s="24">
        <v>120</v>
      </c>
      <c r="B124" s="33" t="s">
        <v>125</v>
      </c>
      <c r="C124" s="26" t="s">
        <v>1520</v>
      </c>
      <c r="D124" s="26" t="str">
        <f t="shared" si="2"/>
        <v>Thực hiện tạo PTYC cho DM1</v>
      </c>
      <c r="E124" s="31">
        <v>1</v>
      </c>
    </row>
    <row r="125" ht="15" spans="1:5">
      <c r="A125" s="24">
        <v>121</v>
      </c>
      <c r="B125" s="33" t="s">
        <v>125</v>
      </c>
      <c r="C125" s="26" t="s">
        <v>1303</v>
      </c>
      <c r="D125" s="26" t="str">
        <f t="shared" si="2"/>
        <v>Thực hiện TKCT cho DM1</v>
      </c>
      <c r="E125" s="31">
        <v>0.5</v>
      </c>
    </row>
    <row r="126" ht="15" spans="1:5">
      <c r="A126" s="24">
        <v>122</v>
      </c>
      <c r="B126" s="33" t="s">
        <v>125</v>
      </c>
      <c r="C126" s="26" t="s">
        <v>1306</v>
      </c>
      <c r="D126" s="26" t="str">
        <f t="shared" si="2"/>
        <v>Thực hiện Lập trình cho DM1</v>
      </c>
      <c r="E126" s="31">
        <v>3</v>
      </c>
    </row>
    <row r="127" ht="30" spans="1:5">
      <c r="A127" s="24">
        <v>123</v>
      </c>
      <c r="B127" s="33" t="s">
        <v>125</v>
      </c>
      <c r="C127" s="26" t="s">
        <v>1522</v>
      </c>
      <c r="D127" s="26" t="str">
        <f t="shared" si="2"/>
        <v>Thực hiện viết kịch bản kiểm thử cho DM1</v>
      </c>
      <c r="E127" s="31">
        <v>0.5</v>
      </c>
    </row>
    <row r="128" ht="15" spans="1:5">
      <c r="A128" s="24">
        <v>124</v>
      </c>
      <c r="B128" s="33" t="s">
        <v>125</v>
      </c>
      <c r="C128" s="26" t="s">
        <v>1341</v>
      </c>
      <c r="D128" s="26" t="str">
        <f t="shared" si="2"/>
        <v>Thực hiện kiểm thử cho DM1</v>
      </c>
      <c r="E128" s="31">
        <v>2</v>
      </c>
    </row>
    <row r="129" ht="15" spans="1:5">
      <c r="A129" s="24">
        <v>125</v>
      </c>
      <c r="B129" s="33" t="s">
        <v>125</v>
      </c>
      <c r="C129" s="26" t="s">
        <v>1523</v>
      </c>
      <c r="D129" s="26" t="str">
        <f t="shared" si="2"/>
        <v>Thực hiện viết HDSD cho DM1</v>
      </c>
      <c r="E129" s="31">
        <v>1</v>
      </c>
    </row>
    <row r="130" ht="30" spans="1:5">
      <c r="A130" s="24">
        <v>126</v>
      </c>
      <c r="B130" s="35" t="s">
        <v>91</v>
      </c>
      <c r="C130" s="25" t="s">
        <v>917</v>
      </c>
      <c r="D130" s="25" t="str">
        <f t="shared" ref="D130:D135" si="3">"Thực hiện "&amp;C130&amp;" cho "&amp;B130</f>
        <v>Thực hiện QTDA cho CN_WEB_KT</v>
      </c>
      <c r="E130" s="30">
        <v>8</v>
      </c>
    </row>
    <row r="131" ht="30" spans="1:5">
      <c r="A131" s="24">
        <v>127</v>
      </c>
      <c r="B131" s="35" t="s">
        <v>91</v>
      </c>
      <c r="C131" s="25" t="s">
        <v>1303</v>
      </c>
      <c r="D131" s="25" t="str">
        <f t="shared" si="3"/>
        <v>Thực hiện TKCT cho CN_WEB_KT</v>
      </c>
      <c r="E131" s="30">
        <v>8</v>
      </c>
    </row>
    <row r="132" ht="30" spans="1:5">
      <c r="A132" s="24">
        <v>128</v>
      </c>
      <c r="B132" s="35" t="s">
        <v>91</v>
      </c>
      <c r="C132" s="25" t="s">
        <v>1306</v>
      </c>
      <c r="D132" s="25" t="str">
        <f t="shared" si="3"/>
        <v>Thực hiện Lập trình cho CN_WEB_KT</v>
      </c>
      <c r="E132" s="30">
        <v>32</v>
      </c>
    </row>
    <row r="133" ht="30" spans="1:5">
      <c r="A133" s="24">
        <v>129</v>
      </c>
      <c r="B133" s="35" t="s">
        <v>91</v>
      </c>
      <c r="C133" s="29" t="s">
        <v>1521</v>
      </c>
      <c r="D133" s="25" t="str">
        <f t="shared" si="3"/>
        <v>Thực hiện viết Unit test cho CN_WEB_KT</v>
      </c>
      <c r="E133" s="30">
        <v>16</v>
      </c>
    </row>
    <row r="134" ht="30" spans="1:5">
      <c r="A134" s="24">
        <v>130</v>
      </c>
      <c r="B134" s="35" t="s">
        <v>91</v>
      </c>
      <c r="C134" s="29" t="s">
        <v>1522</v>
      </c>
      <c r="D134" s="25" t="str">
        <f t="shared" si="3"/>
        <v>Thực hiện viết kịch bản kiểm thử cho CN_WEB_KT</v>
      </c>
      <c r="E134" s="30">
        <v>8</v>
      </c>
    </row>
    <row r="135" ht="30" spans="1:5">
      <c r="A135" s="24">
        <v>131</v>
      </c>
      <c r="B135" s="35" t="s">
        <v>91</v>
      </c>
      <c r="C135" s="29" t="s">
        <v>1341</v>
      </c>
      <c r="D135" s="25" t="str">
        <f t="shared" si="3"/>
        <v>Thực hiện kiểm thử cho CN_WEB_KT</v>
      </c>
      <c r="E135" s="30">
        <v>8</v>
      </c>
    </row>
    <row r="136" ht="30" spans="1:5">
      <c r="A136" s="24">
        <v>132</v>
      </c>
      <c r="B136" s="36" t="s">
        <v>156</v>
      </c>
      <c r="C136" s="26" t="s">
        <v>1525</v>
      </c>
      <c r="D136" s="26" t="s">
        <v>1526</v>
      </c>
      <c r="E136" s="31">
        <v>1.2</v>
      </c>
    </row>
    <row r="137" ht="30" spans="1:5">
      <c r="A137" s="24">
        <v>133</v>
      </c>
      <c r="B137" s="36" t="s">
        <v>156</v>
      </c>
      <c r="C137" s="26" t="s">
        <v>1341</v>
      </c>
      <c r="D137" s="26" t="s">
        <v>1527</v>
      </c>
      <c r="E137" s="31">
        <v>0.8</v>
      </c>
    </row>
    <row r="138" ht="30" spans="1:5">
      <c r="A138" s="24">
        <v>134</v>
      </c>
      <c r="B138" s="37" t="s">
        <v>161</v>
      </c>
      <c r="C138" s="25" t="s">
        <v>1525</v>
      </c>
      <c r="D138" s="25" t="s">
        <v>1526</v>
      </c>
      <c r="E138" s="30">
        <v>4</v>
      </c>
    </row>
    <row r="139" ht="30" spans="1:5">
      <c r="A139" s="24">
        <v>135</v>
      </c>
      <c r="B139" s="37" t="s">
        <v>161</v>
      </c>
      <c r="C139" s="25" t="s">
        <v>1341</v>
      </c>
      <c r="D139" s="25" t="s">
        <v>1527</v>
      </c>
      <c r="E139" s="30">
        <v>2</v>
      </c>
    </row>
    <row r="140" ht="15" spans="1:5">
      <c r="A140" s="24">
        <v>136</v>
      </c>
      <c r="B140" s="38" t="s">
        <v>165</v>
      </c>
      <c r="C140" s="39" t="s">
        <v>917</v>
      </c>
      <c r="D140" s="39" t="s">
        <v>1528</v>
      </c>
      <c r="E140" s="46">
        <v>1.5</v>
      </c>
    </row>
    <row r="141" ht="15" spans="1:5">
      <c r="A141" s="24">
        <v>137</v>
      </c>
      <c r="B141" s="38" t="s">
        <v>165</v>
      </c>
      <c r="C141" s="39" t="s">
        <v>1520</v>
      </c>
      <c r="D141" s="39" t="s">
        <v>1529</v>
      </c>
      <c r="E141" s="46">
        <v>1</v>
      </c>
    </row>
    <row r="142" ht="15" spans="1:5">
      <c r="A142" s="24">
        <v>138</v>
      </c>
      <c r="B142" s="38" t="s">
        <v>165</v>
      </c>
      <c r="C142" s="39" t="s">
        <v>1300</v>
      </c>
      <c r="D142" s="39" t="s">
        <v>1530</v>
      </c>
      <c r="E142" s="46">
        <v>0.5</v>
      </c>
    </row>
    <row r="143" ht="15" spans="1:5">
      <c r="A143" s="24">
        <v>139</v>
      </c>
      <c r="B143" s="38" t="s">
        <v>165</v>
      </c>
      <c r="C143" s="39" t="s">
        <v>1303</v>
      </c>
      <c r="D143" s="39" t="s">
        <v>1531</v>
      </c>
      <c r="E143" s="46">
        <v>2</v>
      </c>
    </row>
    <row r="144" ht="15" spans="1:5">
      <c r="A144" s="24">
        <v>140</v>
      </c>
      <c r="B144" s="38" t="s">
        <v>165</v>
      </c>
      <c r="C144" s="39" t="s">
        <v>1306</v>
      </c>
      <c r="D144" s="39" t="s">
        <v>1532</v>
      </c>
      <c r="E144" s="46">
        <v>8</v>
      </c>
    </row>
    <row r="145" ht="15" spans="1:5">
      <c r="A145" s="24">
        <v>141</v>
      </c>
      <c r="B145" s="38" t="s">
        <v>165</v>
      </c>
      <c r="C145" s="39" t="s">
        <v>1521</v>
      </c>
      <c r="D145" s="39" t="s">
        <v>1533</v>
      </c>
      <c r="E145" s="46">
        <v>6</v>
      </c>
    </row>
    <row r="146" ht="30" spans="1:5">
      <c r="A146" s="24">
        <v>142</v>
      </c>
      <c r="B146" s="38" t="s">
        <v>165</v>
      </c>
      <c r="C146" s="39" t="s">
        <v>1522</v>
      </c>
      <c r="D146" s="39" t="s">
        <v>1534</v>
      </c>
      <c r="E146" s="46">
        <v>2</v>
      </c>
    </row>
    <row r="147" ht="15" spans="1:5">
      <c r="A147" s="24">
        <v>143</v>
      </c>
      <c r="B147" s="38" t="s">
        <v>165</v>
      </c>
      <c r="C147" s="39" t="s">
        <v>1341</v>
      </c>
      <c r="D147" s="39" t="s">
        <v>1535</v>
      </c>
      <c r="E147" s="46">
        <v>6</v>
      </c>
    </row>
    <row r="148" ht="15" spans="1:5">
      <c r="A148" s="24">
        <v>144</v>
      </c>
      <c r="B148" s="38" t="s">
        <v>165</v>
      </c>
      <c r="C148" s="39" t="s">
        <v>1523</v>
      </c>
      <c r="D148" s="39" t="s">
        <v>1536</v>
      </c>
      <c r="E148" s="46">
        <v>1</v>
      </c>
    </row>
    <row r="149" ht="15" spans="1:5">
      <c r="A149" s="24">
        <v>145</v>
      </c>
      <c r="B149" s="40" t="s">
        <v>168</v>
      </c>
      <c r="C149" s="41" t="s">
        <v>917</v>
      </c>
      <c r="D149" s="41" t="s">
        <v>1537</v>
      </c>
      <c r="E149" s="47">
        <v>1.5</v>
      </c>
    </row>
    <row r="150" ht="15" spans="1:5">
      <c r="A150" s="24">
        <v>146</v>
      </c>
      <c r="B150" s="40" t="s">
        <v>168</v>
      </c>
      <c r="C150" s="41" t="s">
        <v>1520</v>
      </c>
      <c r="D150" s="41" t="s">
        <v>1538</v>
      </c>
      <c r="E150" s="47">
        <v>1</v>
      </c>
    </row>
    <row r="151" ht="15" spans="1:5">
      <c r="A151" s="24">
        <v>147</v>
      </c>
      <c r="B151" s="40" t="s">
        <v>168</v>
      </c>
      <c r="C151" s="41" t="s">
        <v>1300</v>
      </c>
      <c r="D151" s="41" t="s">
        <v>1539</v>
      </c>
      <c r="E151" s="47">
        <v>0.5</v>
      </c>
    </row>
    <row r="152" ht="15" spans="1:5">
      <c r="A152" s="24">
        <v>148</v>
      </c>
      <c r="B152" s="40" t="s">
        <v>168</v>
      </c>
      <c r="C152" s="41" t="s">
        <v>1303</v>
      </c>
      <c r="D152" s="41" t="s">
        <v>1540</v>
      </c>
      <c r="E152" s="47">
        <v>2</v>
      </c>
    </row>
    <row r="153" ht="15" spans="1:5">
      <c r="A153" s="24">
        <v>149</v>
      </c>
      <c r="B153" s="40" t="s">
        <v>168</v>
      </c>
      <c r="C153" s="41" t="s">
        <v>1306</v>
      </c>
      <c r="D153" s="41" t="s">
        <v>1541</v>
      </c>
      <c r="E153" s="47">
        <v>12</v>
      </c>
    </row>
    <row r="154" ht="15" spans="1:5">
      <c r="A154" s="24">
        <v>150</v>
      </c>
      <c r="B154" s="40" t="s">
        <v>168</v>
      </c>
      <c r="C154" s="41" t="s">
        <v>1521</v>
      </c>
      <c r="D154" s="41" t="s">
        <v>1542</v>
      </c>
      <c r="E154" s="47">
        <v>8</v>
      </c>
    </row>
    <row r="155" ht="30" spans="1:5">
      <c r="A155" s="24">
        <v>151</v>
      </c>
      <c r="B155" s="40" t="s">
        <v>168</v>
      </c>
      <c r="C155" s="41" t="s">
        <v>1522</v>
      </c>
      <c r="D155" s="41" t="s">
        <v>1543</v>
      </c>
      <c r="E155" s="47">
        <v>2</v>
      </c>
    </row>
    <row r="156" ht="15" spans="1:5">
      <c r="A156" s="24">
        <v>152</v>
      </c>
      <c r="B156" s="40" t="s">
        <v>168</v>
      </c>
      <c r="C156" s="41" t="s">
        <v>1341</v>
      </c>
      <c r="D156" s="41" t="s">
        <v>1544</v>
      </c>
      <c r="E156" s="47">
        <v>8</v>
      </c>
    </row>
    <row r="157" ht="15" spans="1:5">
      <c r="A157" s="24">
        <v>153</v>
      </c>
      <c r="B157" s="40" t="s">
        <v>168</v>
      </c>
      <c r="C157" s="41" t="s">
        <v>1523</v>
      </c>
      <c r="D157" s="41" t="s">
        <v>1545</v>
      </c>
      <c r="E157" s="47">
        <v>1.5</v>
      </c>
    </row>
    <row r="158" ht="15" spans="1:5">
      <c r="A158" s="24">
        <v>154</v>
      </c>
      <c r="B158" s="38" t="s">
        <v>170</v>
      </c>
      <c r="C158" s="39" t="s">
        <v>917</v>
      </c>
      <c r="D158" s="39" t="s">
        <v>1546</v>
      </c>
      <c r="E158" s="46">
        <v>1.5</v>
      </c>
    </row>
    <row r="159" ht="15" spans="1:5">
      <c r="A159" s="24">
        <v>155</v>
      </c>
      <c r="B159" s="38" t="s">
        <v>170</v>
      </c>
      <c r="C159" s="39" t="s">
        <v>1520</v>
      </c>
      <c r="D159" s="39" t="s">
        <v>1547</v>
      </c>
      <c r="E159" s="46">
        <v>2</v>
      </c>
    </row>
    <row r="160" ht="15" spans="1:5">
      <c r="A160" s="24">
        <v>156</v>
      </c>
      <c r="B160" s="38" t="s">
        <v>170</v>
      </c>
      <c r="C160" s="39" t="s">
        <v>1300</v>
      </c>
      <c r="D160" s="39" t="s">
        <v>1548</v>
      </c>
      <c r="E160" s="46">
        <v>1</v>
      </c>
    </row>
    <row r="161" ht="15" spans="1:5">
      <c r="A161" s="24">
        <v>157</v>
      </c>
      <c r="B161" s="38" t="s">
        <v>170</v>
      </c>
      <c r="C161" s="39" t="s">
        <v>1303</v>
      </c>
      <c r="D161" s="39" t="s">
        <v>1549</v>
      </c>
      <c r="E161" s="46">
        <v>2</v>
      </c>
    </row>
    <row r="162" ht="15" spans="1:5">
      <c r="A162" s="24">
        <v>158</v>
      </c>
      <c r="B162" s="38" t="s">
        <v>170</v>
      </c>
      <c r="C162" s="39" t="s">
        <v>1306</v>
      </c>
      <c r="D162" s="39" t="s">
        <v>1550</v>
      </c>
      <c r="E162" s="46">
        <v>16</v>
      </c>
    </row>
    <row r="163" ht="15" spans="1:5">
      <c r="A163" s="24">
        <v>159</v>
      </c>
      <c r="B163" s="38" t="s">
        <v>170</v>
      </c>
      <c r="C163" s="39" t="s">
        <v>1521</v>
      </c>
      <c r="D163" s="39" t="s">
        <v>1551</v>
      </c>
      <c r="E163" s="46">
        <v>12</v>
      </c>
    </row>
    <row r="164" ht="30" spans="1:5">
      <c r="A164" s="24">
        <v>160</v>
      </c>
      <c r="B164" s="38" t="s">
        <v>170</v>
      </c>
      <c r="C164" s="39" t="s">
        <v>1522</v>
      </c>
      <c r="D164" s="39" t="s">
        <v>1552</v>
      </c>
      <c r="E164" s="46">
        <v>4</v>
      </c>
    </row>
    <row r="165" ht="15" spans="1:5">
      <c r="A165" s="24">
        <v>161</v>
      </c>
      <c r="B165" s="38" t="s">
        <v>170</v>
      </c>
      <c r="C165" s="39" t="s">
        <v>1341</v>
      </c>
      <c r="D165" s="39" t="s">
        <v>1553</v>
      </c>
      <c r="E165" s="46">
        <v>12</v>
      </c>
    </row>
    <row r="166" ht="15" spans="1:5">
      <c r="A166" s="24">
        <v>162</v>
      </c>
      <c r="B166" s="38" t="s">
        <v>170</v>
      </c>
      <c r="C166" s="39" t="s">
        <v>1523</v>
      </c>
      <c r="D166" s="39" t="s">
        <v>1554</v>
      </c>
      <c r="E166" s="46">
        <v>2</v>
      </c>
    </row>
    <row r="167" ht="25.5" spans="1:5">
      <c r="A167" s="24">
        <v>163</v>
      </c>
      <c r="B167" s="42" t="s">
        <v>143</v>
      </c>
      <c r="C167" s="43" t="s">
        <v>41</v>
      </c>
      <c r="D167" s="44" t="s">
        <v>1555</v>
      </c>
      <c r="E167" s="44">
        <f>0.44*8</f>
        <v>3.52</v>
      </c>
    </row>
    <row r="168" ht="25.5" spans="1:5">
      <c r="A168" s="24">
        <v>164</v>
      </c>
      <c r="B168" s="42" t="s">
        <v>143</v>
      </c>
      <c r="C168" s="43" t="s">
        <v>43</v>
      </c>
      <c r="D168" s="44" t="s">
        <v>1556</v>
      </c>
      <c r="E168" s="44">
        <f>0.5*8</f>
        <v>4</v>
      </c>
    </row>
    <row r="169" ht="25.5" spans="1:5">
      <c r="A169" s="24">
        <v>165</v>
      </c>
      <c r="B169" s="42" t="s">
        <v>143</v>
      </c>
      <c r="C169" s="43" t="s">
        <v>1341</v>
      </c>
      <c r="D169" s="44" t="s">
        <v>1557</v>
      </c>
      <c r="E169" s="44">
        <f>E167</f>
        <v>3.52</v>
      </c>
    </row>
    <row r="170" ht="25.5" spans="1:5">
      <c r="A170" s="24">
        <v>166</v>
      </c>
      <c r="B170" s="42" t="s">
        <v>146</v>
      </c>
      <c r="C170" s="43" t="s">
        <v>41</v>
      </c>
      <c r="D170" s="44" t="s">
        <v>1558</v>
      </c>
      <c r="E170" s="44">
        <f>0.88*8</f>
        <v>7.04</v>
      </c>
    </row>
    <row r="171" ht="25.5" spans="1:5">
      <c r="A171" s="24">
        <v>167</v>
      </c>
      <c r="B171" s="42" t="s">
        <v>146</v>
      </c>
      <c r="C171" s="43" t="s">
        <v>43</v>
      </c>
      <c r="D171" s="44" t="s">
        <v>1559</v>
      </c>
      <c r="E171" s="44">
        <f>1.5*8</f>
        <v>12</v>
      </c>
    </row>
    <row r="172" ht="25.5" spans="1:5">
      <c r="A172" s="24">
        <v>168</v>
      </c>
      <c r="B172" s="42" t="s">
        <v>146</v>
      </c>
      <c r="C172" s="43" t="s">
        <v>1341</v>
      </c>
      <c r="D172" s="44" t="s">
        <v>1560</v>
      </c>
      <c r="E172" s="44">
        <f>0.86*8</f>
        <v>6.88</v>
      </c>
    </row>
    <row r="173" ht="25.5" spans="1:5">
      <c r="A173" s="24">
        <v>169</v>
      </c>
      <c r="B173" s="42" t="s">
        <v>148</v>
      </c>
      <c r="C173" s="43" t="s">
        <v>41</v>
      </c>
      <c r="D173" s="44" t="s">
        <v>1561</v>
      </c>
      <c r="E173" s="44">
        <f>1.76*8</f>
        <v>14.08</v>
      </c>
    </row>
    <row r="174" ht="25.5" spans="1:5">
      <c r="A174" s="24">
        <v>170</v>
      </c>
      <c r="B174" s="42" t="s">
        <v>148</v>
      </c>
      <c r="C174" s="43" t="s">
        <v>43</v>
      </c>
      <c r="D174" s="44" t="s">
        <v>1562</v>
      </c>
      <c r="E174" s="44">
        <f>2.5*8</f>
        <v>20</v>
      </c>
    </row>
    <row r="175" ht="25.5" spans="1:5">
      <c r="A175" s="24">
        <v>171</v>
      </c>
      <c r="B175" s="42" t="s">
        <v>148</v>
      </c>
      <c r="C175" s="43" t="s">
        <v>1341</v>
      </c>
      <c r="D175" s="44" t="s">
        <v>1563</v>
      </c>
      <c r="E175" s="44">
        <f>1.73*8</f>
        <v>13.84</v>
      </c>
    </row>
    <row r="176" ht="25.5" spans="1:5">
      <c r="A176" s="24">
        <v>172</v>
      </c>
      <c r="B176" s="42" t="s">
        <v>150</v>
      </c>
      <c r="C176" s="43" t="s">
        <v>41</v>
      </c>
      <c r="D176" s="44" t="s">
        <v>1564</v>
      </c>
      <c r="E176" s="44">
        <f>0.44*8</f>
        <v>3.52</v>
      </c>
    </row>
    <row r="177" ht="25.5" spans="1:5">
      <c r="A177" s="24">
        <v>173</v>
      </c>
      <c r="B177" s="42" t="s">
        <v>150</v>
      </c>
      <c r="C177" s="43" t="s">
        <v>43</v>
      </c>
      <c r="D177" s="44" t="s">
        <v>1565</v>
      </c>
      <c r="E177" s="44">
        <f>0.25*8</f>
        <v>2</v>
      </c>
    </row>
    <row r="178" ht="25.5" spans="1:5">
      <c r="A178" s="24">
        <v>174</v>
      </c>
      <c r="B178" s="42" t="s">
        <v>150</v>
      </c>
      <c r="C178" s="43" t="s">
        <v>1341</v>
      </c>
      <c r="D178" s="44" t="s">
        <v>1566</v>
      </c>
      <c r="E178" s="44">
        <f>0.44*8</f>
        <v>3.52</v>
      </c>
    </row>
    <row r="179" ht="25.5" spans="1:5">
      <c r="A179" s="24">
        <v>175</v>
      </c>
      <c r="B179" s="42" t="s">
        <v>146</v>
      </c>
      <c r="C179" s="43" t="s">
        <v>41</v>
      </c>
      <c r="D179" s="44" t="s">
        <v>1567</v>
      </c>
      <c r="E179" s="44">
        <f>0.88*8</f>
        <v>7.04</v>
      </c>
    </row>
    <row r="180" ht="25.5" spans="1:5">
      <c r="A180" s="24">
        <v>176</v>
      </c>
      <c r="B180" s="42" t="s">
        <v>146</v>
      </c>
      <c r="C180" s="43" t="s">
        <v>43</v>
      </c>
      <c r="D180" s="44" t="s">
        <v>1568</v>
      </c>
      <c r="E180" s="44">
        <f>0.75*8</f>
        <v>6</v>
      </c>
    </row>
    <row r="181" ht="25.5" spans="1:5">
      <c r="A181" s="24">
        <v>177</v>
      </c>
      <c r="B181" s="42" t="s">
        <v>146</v>
      </c>
      <c r="C181" s="43" t="s">
        <v>1341</v>
      </c>
      <c r="D181" s="44" t="s">
        <v>1569</v>
      </c>
      <c r="E181" s="44">
        <f>0.86*8</f>
        <v>6.88</v>
      </c>
    </row>
    <row r="182" ht="25.5" spans="1:5">
      <c r="A182" s="24">
        <v>178</v>
      </c>
      <c r="B182" s="42" t="s">
        <v>148</v>
      </c>
      <c r="C182" s="43" t="s">
        <v>41</v>
      </c>
      <c r="D182" s="44" t="s">
        <v>1570</v>
      </c>
      <c r="E182" s="44">
        <f>1.76*8</f>
        <v>14.08</v>
      </c>
    </row>
    <row r="183" ht="25.5" spans="1:5">
      <c r="A183" s="24">
        <v>179</v>
      </c>
      <c r="B183" s="42" t="s">
        <v>148</v>
      </c>
      <c r="C183" s="43" t="s">
        <v>43</v>
      </c>
      <c r="D183" s="44" t="s">
        <v>1571</v>
      </c>
      <c r="E183" s="44">
        <f>0.75*8</f>
        <v>6</v>
      </c>
    </row>
    <row r="184" ht="25.5" spans="1:5">
      <c r="A184" s="24">
        <v>180</v>
      </c>
      <c r="B184" s="42" t="s">
        <v>148</v>
      </c>
      <c r="C184" s="43" t="s">
        <v>1341</v>
      </c>
      <c r="D184" s="44" t="s">
        <v>1572</v>
      </c>
      <c r="E184" s="44">
        <f>1.73*8</f>
        <v>13.84</v>
      </c>
    </row>
    <row r="185" ht="16.5" spans="1:5">
      <c r="A185" s="24">
        <v>181</v>
      </c>
      <c r="B185" s="45" t="s">
        <v>173</v>
      </c>
      <c r="C185" s="43" t="s">
        <v>41</v>
      </c>
      <c r="D185" s="44" t="s">
        <v>1573</v>
      </c>
      <c r="E185" s="44">
        <f>0.46*8</f>
        <v>3.68</v>
      </c>
    </row>
    <row r="186" ht="16.5" spans="1:5">
      <c r="A186" s="24">
        <v>182</v>
      </c>
      <c r="B186" s="45" t="s">
        <v>173</v>
      </c>
      <c r="C186" s="43" t="s">
        <v>43</v>
      </c>
      <c r="D186" s="44" t="s">
        <v>1574</v>
      </c>
      <c r="E186" s="44">
        <f>0.25*8</f>
        <v>2</v>
      </c>
    </row>
    <row r="187" ht="16.5" spans="1:5">
      <c r="A187" s="24">
        <v>183</v>
      </c>
      <c r="B187" s="45" t="s">
        <v>173</v>
      </c>
      <c r="C187" s="43" t="s">
        <v>1341</v>
      </c>
      <c r="D187" s="44" t="s">
        <v>1575</v>
      </c>
      <c r="E187" s="44">
        <f>0.44*8</f>
        <v>3.52</v>
      </c>
    </row>
    <row r="188" ht="16.5" spans="1:5">
      <c r="A188" s="24">
        <v>184</v>
      </c>
      <c r="B188" s="45" t="s">
        <v>176</v>
      </c>
      <c r="C188" s="43" t="s">
        <v>41</v>
      </c>
      <c r="D188" s="44" t="s">
        <v>1576</v>
      </c>
      <c r="E188" s="44">
        <f>0.7*8</f>
        <v>5.6</v>
      </c>
    </row>
    <row r="189" ht="16.5" spans="1:5">
      <c r="A189" s="24">
        <v>185</v>
      </c>
      <c r="B189" s="45" t="s">
        <v>176</v>
      </c>
      <c r="C189" s="43" t="s">
        <v>43</v>
      </c>
      <c r="D189" s="44" t="s">
        <v>1577</v>
      </c>
      <c r="E189" s="44">
        <f>0.25*8</f>
        <v>2</v>
      </c>
    </row>
    <row r="190" ht="16.5" spans="1:5">
      <c r="A190" s="24">
        <v>186</v>
      </c>
      <c r="B190" s="45" t="s">
        <v>176</v>
      </c>
      <c r="C190" s="43" t="s">
        <v>1341</v>
      </c>
      <c r="D190" s="44" t="s">
        <v>1578</v>
      </c>
      <c r="E190" s="44">
        <f>0.65*8</f>
        <v>5.2</v>
      </c>
    </row>
    <row r="191" ht="16.5" spans="1:5">
      <c r="A191" s="24">
        <v>187</v>
      </c>
      <c r="B191" s="45" t="s">
        <v>178</v>
      </c>
      <c r="C191" s="43" t="s">
        <v>41</v>
      </c>
      <c r="D191" s="44" t="s">
        <v>1579</v>
      </c>
      <c r="E191" s="44">
        <f>0.92*8</f>
        <v>7.36</v>
      </c>
    </row>
    <row r="192" ht="16.5" spans="1:5">
      <c r="A192" s="24">
        <v>188</v>
      </c>
      <c r="B192" s="45" t="s">
        <v>178</v>
      </c>
      <c r="C192" s="43" t="s">
        <v>43</v>
      </c>
      <c r="D192" s="44" t="s">
        <v>1580</v>
      </c>
      <c r="E192" s="44">
        <f>0.25*8</f>
        <v>2</v>
      </c>
    </row>
    <row r="193" ht="16.5" spans="1:5">
      <c r="A193" s="24">
        <v>189</v>
      </c>
      <c r="B193" s="45" t="s">
        <v>178</v>
      </c>
      <c r="C193" s="43" t="s">
        <v>1341</v>
      </c>
      <c r="D193" s="44" t="s">
        <v>1581</v>
      </c>
      <c r="E193" s="44">
        <f>0.86*8</f>
        <v>6.88</v>
      </c>
    </row>
    <row r="194" ht="16.5" spans="1:5">
      <c r="A194" s="24">
        <v>190</v>
      </c>
      <c r="B194" s="45" t="s">
        <v>180</v>
      </c>
      <c r="C194" s="43" t="s">
        <v>41</v>
      </c>
      <c r="D194" s="44" t="s">
        <v>1582</v>
      </c>
      <c r="E194" s="49">
        <f>0.7*8</f>
        <v>5.6</v>
      </c>
    </row>
    <row r="195" ht="16.5" spans="1:5">
      <c r="A195" s="24">
        <v>191</v>
      </c>
      <c r="B195" s="45" t="s">
        <v>180</v>
      </c>
      <c r="C195" s="43" t="s">
        <v>43</v>
      </c>
      <c r="D195" s="44" t="s">
        <v>1583</v>
      </c>
      <c r="E195" s="49">
        <f>0.5*8</f>
        <v>4</v>
      </c>
    </row>
    <row r="196" ht="16.5" spans="1:5">
      <c r="A196" s="24">
        <v>192</v>
      </c>
      <c r="B196" s="45" t="s">
        <v>180</v>
      </c>
      <c r="C196" s="43" t="s">
        <v>1341</v>
      </c>
      <c r="D196" s="44" t="s">
        <v>1584</v>
      </c>
      <c r="E196" s="44">
        <f>0.65*8</f>
        <v>5.2</v>
      </c>
    </row>
    <row r="197" ht="16.5" spans="1:5">
      <c r="A197" s="24">
        <v>193</v>
      </c>
      <c r="B197" s="45" t="s">
        <v>182</v>
      </c>
      <c r="C197" s="43" t="s">
        <v>41</v>
      </c>
      <c r="D197" s="44" t="s">
        <v>1585</v>
      </c>
      <c r="E197" s="44">
        <f>0.92*8</f>
        <v>7.36</v>
      </c>
    </row>
    <row r="198" ht="16.5" spans="1:5">
      <c r="A198" s="24">
        <v>194</v>
      </c>
      <c r="B198" s="45" t="s">
        <v>182</v>
      </c>
      <c r="C198" s="43" t="s">
        <v>43</v>
      </c>
      <c r="D198" s="44" t="s">
        <v>1586</v>
      </c>
      <c r="E198" s="44">
        <f>0.75*8</f>
        <v>6</v>
      </c>
    </row>
    <row r="199" ht="16.5" spans="1:5">
      <c r="A199" s="24">
        <v>195</v>
      </c>
      <c r="B199" s="45" t="s">
        <v>182</v>
      </c>
      <c r="C199" s="43" t="s">
        <v>1341</v>
      </c>
      <c r="D199" s="44" t="s">
        <v>1587</v>
      </c>
      <c r="E199" s="44">
        <f>0.86*8</f>
        <v>6.88</v>
      </c>
    </row>
    <row r="200" ht="16.5" spans="1:5">
      <c r="A200" s="24">
        <v>196</v>
      </c>
      <c r="B200" s="45" t="s">
        <v>184</v>
      </c>
      <c r="C200" s="43" t="s">
        <v>41</v>
      </c>
      <c r="D200" s="44" t="s">
        <v>1588</v>
      </c>
      <c r="E200" s="44">
        <f>1.38*8</f>
        <v>11.04</v>
      </c>
    </row>
    <row r="201" ht="16.5" spans="1:5">
      <c r="A201" s="24">
        <v>197</v>
      </c>
      <c r="B201" s="45" t="s">
        <v>184</v>
      </c>
      <c r="C201" s="43" t="s">
        <v>43</v>
      </c>
      <c r="D201" s="44" t="s">
        <v>1589</v>
      </c>
      <c r="E201" s="44">
        <f>1*8</f>
        <v>8</v>
      </c>
    </row>
    <row r="202" ht="16.5" spans="1:5">
      <c r="A202" s="24">
        <v>198</v>
      </c>
      <c r="B202" s="45" t="s">
        <v>184</v>
      </c>
      <c r="C202" s="43" t="s">
        <v>1341</v>
      </c>
      <c r="D202" s="44" t="s">
        <v>1590</v>
      </c>
      <c r="E202" s="44">
        <f>1.3*8</f>
        <v>10.4</v>
      </c>
    </row>
    <row r="203" ht="16.5" spans="1:5">
      <c r="A203" s="24">
        <v>199</v>
      </c>
      <c r="B203" s="45" t="s">
        <v>186</v>
      </c>
      <c r="C203" s="43" t="s">
        <v>41</v>
      </c>
      <c r="D203" s="44" t="s">
        <v>1591</v>
      </c>
      <c r="E203" s="44">
        <f>0.23*8</f>
        <v>1.84</v>
      </c>
    </row>
    <row r="204" ht="16.5" spans="1:5">
      <c r="A204" s="24">
        <v>200</v>
      </c>
      <c r="B204" s="45" t="s">
        <v>186</v>
      </c>
      <c r="C204" s="43" t="s">
        <v>43</v>
      </c>
      <c r="D204" s="44" t="s">
        <v>1592</v>
      </c>
      <c r="E204" s="44">
        <f>0.25*8</f>
        <v>2</v>
      </c>
    </row>
    <row r="205" ht="16.5" spans="1:5">
      <c r="A205" s="24">
        <v>201</v>
      </c>
      <c r="B205" s="45" t="s">
        <v>186</v>
      </c>
      <c r="C205" s="43" t="s">
        <v>1341</v>
      </c>
      <c r="D205" s="44" t="s">
        <v>1593</v>
      </c>
      <c r="E205" s="44">
        <f>0.21*8</f>
        <v>1.68</v>
      </c>
    </row>
    <row r="206" ht="16.5" spans="1:5">
      <c r="A206" s="24"/>
      <c r="B206" s="45" t="s">
        <v>186</v>
      </c>
      <c r="C206" s="43" t="s">
        <v>1594</v>
      </c>
      <c r="D206" s="44" t="s">
        <v>1595</v>
      </c>
      <c r="E206" s="44">
        <f>0.96*8</f>
        <v>7.68</v>
      </c>
    </row>
    <row r="207" ht="16.5" spans="1:5">
      <c r="A207" s="24">
        <v>202</v>
      </c>
      <c r="B207" s="45" t="s">
        <v>188</v>
      </c>
      <c r="C207" s="43" t="s">
        <v>41</v>
      </c>
      <c r="D207" s="44" t="s">
        <v>1596</v>
      </c>
      <c r="E207" s="44">
        <f>0.46*8</f>
        <v>3.68</v>
      </c>
    </row>
    <row r="208" ht="16.5" spans="1:5">
      <c r="A208" s="24">
        <v>203</v>
      </c>
      <c r="B208" s="45" t="s">
        <v>188</v>
      </c>
      <c r="C208" s="43" t="s">
        <v>43</v>
      </c>
      <c r="D208" s="44" t="s">
        <v>1597</v>
      </c>
      <c r="E208" s="44">
        <f>0.5*8</f>
        <v>4</v>
      </c>
    </row>
    <row r="209" ht="16.5" spans="1:5">
      <c r="A209" s="24">
        <v>204</v>
      </c>
      <c r="B209" s="45" t="s">
        <v>188</v>
      </c>
      <c r="C209" s="43" t="s">
        <v>1341</v>
      </c>
      <c r="D209" s="44" t="s">
        <v>1598</v>
      </c>
      <c r="E209" s="44">
        <f>0.44*8</f>
        <v>3.52</v>
      </c>
    </row>
    <row r="210" ht="16.5" spans="1:5">
      <c r="A210" s="24"/>
      <c r="B210" s="45" t="s">
        <v>188</v>
      </c>
      <c r="C210" s="43" t="s">
        <v>1594</v>
      </c>
      <c r="D210" s="44" t="s">
        <v>1599</v>
      </c>
      <c r="E210" s="44">
        <f>2.78*8</f>
        <v>22.24</v>
      </c>
    </row>
    <row r="211" ht="16.5" spans="1:5">
      <c r="A211" s="24">
        <v>205</v>
      </c>
      <c r="B211" s="45" t="s">
        <v>190</v>
      </c>
      <c r="C211" s="43" t="s">
        <v>41</v>
      </c>
      <c r="D211" s="44" t="s">
        <v>1600</v>
      </c>
      <c r="E211" s="44">
        <f>0.7*8</f>
        <v>5.6</v>
      </c>
    </row>
    <row r="212" ht="16.5" spans="1:5">
      <c r="A212" s="24">
        <v>206</v>
      </c>
      <c r="B212" s="45" t="s">
        <v>190</v>
      </c>
      <c r="C212" s="43" t="s">
        <v>43</v>
      </c>
      <c r="D212" s="44" t="s">
        <v>1601</v>
      </c>
      <c r="E212" s="44">
        <f>0.75*8</f>
        <v>6</v>
      </c>
    </row>
    <row r="213" ht="16.5" spans="1:5">
      <c r="A213" s="24">
        <v>207</v>
      </c>
      <c r="B213" s="45" t="s">
        <v>190</v>
      </c>
      <c r="C213" s="43" t="s">
        <v>1341</v>
      </c>
      <c r="D213" s="44" t="s">
        <v>1602</v>
      </c>
      <c r="E213" s="44">
        <f>0.65*8</f>
        <v>5.2</v>
      </c>
    </row>
    <row r="214" ht="16.5" spans="1:5">
      <c r="A214" s="24"/>
      <c r="B214" s="45" t="s">
        <v>190</v>
      </c>
      <c r="C214" s="43" t="s">
        <v>1594</v>
      </c>
      <c r="D214" s="44" t="s">
        <v>1603</v>
      </c>
      <c r="E214" s="44">
        <f>3.68*8</f>
        <v>29.44</v>
      </c>
    </row>
    <row r="215" ht="16.5" spans="1:5">
      <c r="A215" s="24">
        <v>208</v>
      </c>
      <c r="B215" s="45" t="s">
        <v>192</v>
      </c>
      <c r="C215" s="43" t="s">
        <v>41</v>
      </c>
      <c r="D215" s="44" t="s">
        <v>1604</v>
      </c>
      <c r="E215" s="44">
        <f>0.46*8</f>
        <v>3.68</v>
      </c>
    </row>
    <row r="216" ht="16.5" spans="1:5">
      <c r="A216" s="24">
        <v>209</v>
      </c>
      <c r="B216" s="45" t="s">
        <v>192</v>
      </c>
      <c r="C216" s="43" t="s">
        <v>43</v>
      </c>
      <c r="D216" s="44" t="s">
        <v>1605</v>
      </c>
      <c r="E216" s="44">
        <f>0.25*8</f>
        <v>2</v>
      </c>
    </row>
    <row r="217" ht="16.5" spans="1:5">
      <c r="A217" s="24">
        <v>210</v>
      </c>
      <c r="B217" s="45" t="s">
        <v>192</v>
      </c>
      <c r="C217" s="43" t="s">
        <v>1341</v>
      </c>
      <c r="D217" s="44" t="s">
        <v>1606</v>
      </c>
      <c r="E217" s="44">
        <f>0.44*8</f>
        <v>3.52</v>
      </c>
    </row>
    <row r="218" ht="16.5" spans="1:5">
      <c r="A218" s="24">
        <v>211</v>
      </c>
      <c r="B218" s="45" t="s">
        <v>193</v>
      </c>
      <c r="C218" s="43" t="s">
        <v>41</v>
      </c>
      <c r="D218" s="44" t="s">
        <v>1607</v>
      </c>
      <c r="E218" s="44">
        <f>0.92*8</f>
        <v>7.36</v>
      </c>
    </row>
    <row r="219" ht="16.5" spans="1:5">
      <c r="A219" s="24">
        <v>212</v>
      </c>
      <c r="B219" s="45" t="s">
        <v>193</v>
      </c>
      <c r="C219" s="43" t="s">
        <v>43</v>
      </c>
      <c r="D219" s="44" t="s">
        <v>1608</v>
      </c>
      <c r="E219" s="44">
        <f>0.5*8</f>
        <v>4</v>
      </c>
    </row>
    <row r="220" ht="16.5" spans="1:5">
      <c r="A220" s="24">
        <v>213</v>
      </c>
      <c r="B220" s="45" t="s">
        <v>193</v>
      </c>
      <c r="C220" s="43" t="s">
        <v>1341</v>
      </c>
      <c r="D220" s="44" t="s">
        <v>1609</v>
      </c>
      <c r="E220" s="44">
        <f>0.86*8</f>
        <v>6.88</v>
      </c>
    </row>
    <row r="221" ht="16.5" spans="1:5">
      <c r="A221" s="24">
        <v>214</v>
      </c>
      <c r="B221" s="45" t="s">
        <v>194</v>
      </c>
      <c r="C221" s="43" t="s">
        <v>41</v>
      </c>
      <c r="D221" s="44" t="s">
        <v>1610</v>
      </c>
      <c r="E221" s="44">
        <f>1.38*8</f>
        <v>11.04</v>
      </c>
    </row>
    <row r="222" ht="16.5" spans="1:5">
      <c r="A222" s="24">
        <v>215</v>
      </c>
      <c r="B222" s="45" t="s">
        <v>194</v>
      </c>
      <c r="C222" s="43" t="s">
        <v>43</v>
      </c>
      <c r="D222" s="44" t="s">
        <v>1611</v>
      </c>
      <c r="E222" s="44">
        <f>0.75*8</f>
        <v>6</v>
      </c>
    </row>
    <row r="223" ht="16.5" spans="1:5">
      <c r="A223" s="24">
        <v>216</v>
      </c>
      <c r="B223" s="45" t="s">
        <v>194</v>
      </c>
      <c r="C223" s="43" t="s">
        <v>1341</v>
      </c>
      <c r="D223" s="44" t="s">
        <v>1612</v>
      </c>
      <c r="E223" s="44">
        <f>1.3*8</f>
        <v>10.4</v>
      </c>
    </row>
    <row r="224" ht="16.5" spans="1:5">
      <c r="A224" s="24">
        <v>217</v>
      </c>
      <c r="B224" s="45" t="s">
        <v>195</v>
      </c>
      <c r="C224" s="43" t="s">
        <v>41</v>
      </c>
      <c r="D224" s="44" t="s">
        <v>1613</v>
      </c>
      <c r="E224" s="44">
        <f>0.46*8</f>
        <v>3.68</v>
      </c>
    </row>
    <row r="225" ht="16.5" spans="1:5">
      <c r="A225" s="24">
        <v>218</v>
      </c>
      <c r="B225" s="45" t="s">
        <v>195</v>
      </c>
      <c r="C225" s="43" t="s">
        <v>43</v>
      </c>
      <c r="D225" s="44" t="s">
        <v>1614</v>
      </c>
      <c r="E225" s="44">
        <f>0.25*8</f>
        <v>2</v>
      </c>
    </row>
    <row r="226" ht="16.5" spans="1:5">
      <c r="A226" s="24">
        <v>219</v>
      </c>
      <c r="B226" s="45" t="s">
        <v>195</v>
      </c>
      <c r="C226" s="43" t="s">
        <v>1341</v>
      </c>
      <c r="D226" s="44" t="s">
        <v>1615</v>
      </c>
      <c r="E226" s="44">
        <f>0.44*8</f>
        <v>3.52</v>
      </c>
    </row>
    <row r="227" ht="16.5" spans="1:5">
      <c r="A227" s="24">
        <v>220</v>
      </c>
      <c r="B227" s="45" t="s">
        <v>197</v>
      </c>
      <c r="C227" s="43" t="s">
        <v>41</v>
      </c>
      <c r="D227" s="44" t="s">
        <v>1616</v>
      </c>
      <c r="E227" s="44">
        <f>0.92*8</f>
        <v>7.36</v>
      </c>
    </row>
    <row r="228" ht="16.5" spans="1:5">
      <c r="A228" s="24">
        <v>221</v>
      </c>
      <c r="B228" s="45" t="s">
        <v>197</v>
      </c>
      <c r="C228" s="43" t="s">
        <v>43</v>
      </c>
      <c r="D228" s="44" t="s">
        <v>1617</v>
      </c>
      <c r="E228" s="44">
        <f>0.5*8</f>
        <v>4</v>
      </c>
    </row>
    <row r="229" ht="16.5" spans="1:5">
      <c r="A229" s="24">
        <v>222</v>
      </c>
      <c r="B229" s="45" t="s">
        <v>197</v>
      </c>
      <c r="C229" s="43" t="s">
        <v>1341</v>
      </c>
      <c r="D229" s="44" t="s">
        <v>1618</v>
      </c>
      <c r="E229" s="44">
        <f>0.86*8</f>
        <v>6.88</v>
      </c>
    </row>
    <row r="230" ht="16.5" spans="1:5">
      <c r="A230" s="24">
        <v>223</v>
      </c>
      <c r="B230" s="45" t="s">
        <v>199</v>
      </c>
      <c r="C230" s="43" t="s">
        <v>41</v>
      </c>
      <c r="D230" s="44" t="s">
        <v>1619</v>
      </c>
      <c r="E230" s="44">
        <f>1.38*8</f>
        <v>11.04</v>
      </c>
    </row>
    <row r="231" ht="16.5" spans="1:5">
      <c r="A231" s="24">
        <v>224</v>
      </c>
      <c r="B231" s="45" t="s">
        <v>199</v>
      </c>
      <c r="C231" s="43" t="s">
        <v>43</v>
      </c>
      <c r="D231" s="44" t="s">
        <v>1620</v>
      </c>
      <c r="E231" s="44">
        <f>0.75*8</f>
        <v>6</v>
      </c>
    </row>
    <row r="232" ht="16.5" spans="1:5">
      <c r="A232" s="24">
        <v>225</v>
      </c>
      <c r="B232" s="45" t="s">
        <v>199</v>
      </c>
      <c r="C232" s="43" t="s">
        <v>1341</v>
      </c>
      <c r="D232" s="44" t="s">
        <v>1621</v>
      </c>
      <c r="E232" s="44">
        <f>1.3*8</f>
        <v>10.4</v>
      </c>
    </row>
    <row r="233" ht="25.5" spans="1:5">
      <c r="A233" s="24">
        <v>226</v>
      </c>
      <c r="B233" s="45" t="s">
        <v>201</v>
      </c>
      <c r="C233" s="43" t="s">
        <v>41</v>
      </c>
      <c r="D233" s="44" t="s">
        <v>1622</v>
      </c>
      <c r="E233" s="44">
        <f>0.92*8</f>
        <v>7.36</v>
      </c>
    </row>
    <row r="234" ht="25.5" spans="1:5">
      <c r="A234" s="24">
        <v>227</v>
      </c>
      <c r="B234" s="45" t="s">
        <v>201</v>
      </c>
      <c r="C234" s="43" t="s">
        <v>43</v>
      </c>
      <c r="D234" s="44" t="s">
        <v>1623</v>
      </c>
      <c r="E234" s="44">
        <f>1*8</f>
        <v>8</v>
      </c>
    </row>
    <row r="235" ht="16.5" spans="1:5">
      <c r="A235" s="24">
        <v>228</v>
      </c>
      <c r="B235" s="45" t="s">
        <v>201</v>
      </c>
      <c r="C235" s="43" t="s">
        <v>1341</v>
      </c>
      <c r="D235" s="44" t="s">
        <v>1624</v>
      </c>
      <c r="E235" s="44">
        <f>0.86*8</f>
        <v>6.88</v>
      </c>
    </row>
    <row r="236" ht="25.5" spans="1:5">
      <c r="A236" s="24">
        <v>229</v>
      </c>
      <c r="B236" s="45" t="s">
        <v>203</v>
      </c>
      <c r="C236" s="43" t="s">
        <v>41</v>
      </c>
      <c r="D236" s="44" t="s">
        <v>1625</v>
      </c>
      <c r="E236" s="44">
        <f>1.38*8</f>
        <v>11.04</v>
      </c>
    </row>
    <row r="237" ht="25.5" spans="1:5">
      <c r="A237" s="24">
        <v>230</v>
      </c>
      <c r="B237" s="45" t="s">
        <v>203</v>
      </c>
      <c r="C237" s="43" t="s">
        <v>43</v>
      </c>
      <c r="D237" s="44" t="s">
        <v>1626</v>
      </c>
      <c r="E237" s="44">
        <f>1.5*8</f>
        <v>12</v>
      </c>
    </row>
    <row r="238" ht="25.5" spans="1:5">
      <c r="A238" s="24">
        <v>231</v>
      </c>
      <c r="B238" s="45" t="s">
        <v>203</v>
      </c>
      <c r="C238" s="43" t="s">
        <v>1341</v>
      </c>
      <c r="D238" s="44" t="s">
        <v>1627</v>
      </c>
      <c r="E238" s="44">
        <f>1.3*8</f>
        <v>10.4</v>
      </c>
    </row>
    <row r="239" ht="25.5" spans="1:5">
      <c r="A239" s="24">
        <v>232</v>
      </c>
      <c r="B239" s="45" t="s">
        <v>205</v>
      </c>
      <c r="C239" s="43" t="s">
        <v>41</v>
      </c>
      <c r="D239" s="44" t="s">
        <v>1628</v>
      </c>
      <c r="E239" s="44">
        <f>1.84*8</f>
        <v>14.72</v>
      </c>
    </row>
    <row r="240" ht="25.5" spans="1:5">
      <c r="A240" s="24">
        <v>233</v>
      </c>
      <c r="B240" s="45" t="s">
        <v>205</v>
      </c>
      <c r="C240" s="43" t="s">
        <v>43</v>
      </c>
      <c r="D240" s="44" t="s">
        <v>1629</v>
      </c>
      <c r="E240" s="44">
        <f>2*8</f>
        <v>16</v>
      </c>
    </row>
    <row r="241" ht="25.5" spans="1:5">
      <c r="A241" s="24">
        <v>234</v>
      </c>
      <c r="B241" s="45" t="s">
        <v>205</v>
      </c>
      <c r="C241" s="43" t="s">
        <v>1341</v>
      </c>
      <c r="D241" s="44" t="s">
        <v>1630</v>
      </c>
      <c r="E241" s="44">
        <f>1.73*8</f>
        <v>13.84</v>
      </c>
    </row>
    <row r="242" ht="25.5" spans="1:5">
      <c r="A242" s="24">
        <v>235</v>
      </c>
      <c r="B242" s="45" t="s">
        <v>207</v>
      </c>
      <c r="C242" s="43" t="s">
        <v>41</v>
      </c>
      <c r="D242" s="44" t="s">
        <v>1631</v>
      </c>
      <c r="E242" s="44">
        <f>0.92*8</f>
        <v>7.36</v>
      </c>
    </row>
    <row r="243" ht="25.5" spans="1:5">
      <c r="A243" s="24">
        <v>236</v>
      </c>
      <c r="B243" s="45" t="s">
        <v>207</v>
      </c>
      <c r="C243" s="43" t="s">
        <v>43</v>
      </c>
      <c r="D243" s="44" t="s">
        <v>1632</v>
      </c>
      <c r="E243" s="44">
        <f>1*8</f>
        <v>8</v>
      </c>
    </row>
    <row r="244" ht="16.5" spans="1:5">
      <c r="A244" s="24">
        <v>237</v>
      </c>
      <c r="B244" s="45" t="s">
        <v>207</v>
      </c>
      <c r="C244" s="43" t="s">
        <v>1341</v>
      </c>
      <c r="D244" s="44" t="s">
        <v>1633</v>
      </c>
      <c r="E244" s="44">
        <f>0.86*8</f>
        <v>6.88</v>
      </c>
    </row>
    <row r="245" ht="25.5" spans="1:5">
      <c r="A245" s="24">
        <v>238</v>
      </c>
      <c r="B245" s="45" t="s">
        <v>209</v>
      </c>
      <c r="C245" s="43" t="s">
        <v>41</v>
      </c>
      <c r="D245" s="44" t="s">
        <v>1634</v>
      </c>
      <c r="E245" s="44">
        <f>1.38*8</f>
        <v>11.04</v>
      </c>
    </row>
    <row r="246" ht="25.5" spans="1:5">
      <c r="A246" s="24">
        <v>239</v>
      </c>
      <c r="B246" s="45" t="s">
        <v>209</v>
      </c>
      <c r="C246" s="43" t="s">
        <v>43</v>
      </c>
      <c r="D246" s="44" t="s">
        <v>1635</v>
      </c>
      <c r="E246" s="44">
        <f>1.5*8</f>
        <v>12</v>
      </c>
    </row>
    <row r="247" ht="25.5" spans="1:5">
      <c r="A247" s="24">
        <v>240</v>
      </c>
      <c r="B247" s="45" t="s">
        <v>209</v>
      </c>
      <c r="C247" s="43" t="s">
        <v>1341</v>
      </c>
      <c r="D247" s="44" t="s">
        <v>1636</v>
      </c>
      <c r="E247" s="44">
        <f>1.3*8</f>
        <v>10.4</v>
      </c>
    </row>
    <row r="248" ht="25.5" spans="1:5">
      <c r="A248" s="24">
        <v>241</v>
      </c>
      <c r="B248" s="45" t="s">
        <v>211</v>
      </c>
      <c r="C248" s="43" t="s">
        <v>41</v>
      </c>
      <c r="D248" s="44" t="s">
        <v>1637</v>
      </c>
      <c r="E248" s="44">
        <f>1.84*8</f>
        <v>14.72</v>
      </c>
    </row>
    <row r="249" ht="25.5" spans="1:5">
      <c r="A249" s="24">
        <v>242</v>
      </c>
      <c r="B249" s="45" t="s">
        <v>211</v>
      </c>
      <c r="C249" s="43" t="s">
        <v>43</v>
      </c>
      <c r="D249" s="44" t="s">
        <v>1638</v>
      </c>
      <c r="E249" s="44">
        <f>2*8</f>
        <v>16</v>
      </c>
    </row>
    <row r="250" ht="25.5" spans="1:5">
      <c r="A250" s="24">
        <v>243</v>
      </c>
      <c r="B250" s="45" t="s">
        <v>211</v>
      </c>
      <c r="C250" s="43" t="s">
        <v>1341</v>
      </c>
      <c r="D250" s="44" t="s">
        <v>1639</v>
      </c>
      <c r="E250" s="44">
        <f>1.73*8</f>
        <v>13.84</v>
      </c>
    </row>
    <row r="251" ht="25.5" spans="1:5">
      <c r="A251" s="24">
        <v>244</v>
      </c>
      <c r="B251" s="48" t="s">
        <v>213</v>
      </c>
      <c r="C251" s="43" t="s">
        <v>41</v>
      </c>
      <c r="D251" s="44" t="s">
        <v>1640</v>
      </c>
      <c r="E251" s="44">
        <f>0.92*8</f>
        <v>7.36</v>
      </c>
    </row>
    <row r="252" ht="25.5" spans="1:5">
      <c r="A252" s="24">
        <v>245</v>
      </c>
      <c r="B252" s="48" t="s">
        <v>213</v>
      </c>
      <c r="C252" s="43" t="s">
        <v>43</v>
      </c>
      <c r="D252" s="44" t="s">
        <v>1641</v>
      </c>
      <c r="E252" s="44">
        <f>1*8</f>
        <v>8</v>
      </c>
    </row>
    <row r="253" ht="25.5" spans="1:5">
      <c r="A253" s="24">
        <v>246</v>
      </c>
      <c r="B253" s="48" t="s">
        <v>213</v>
      </c>
      <c r="C253" s="43" t="s">
        <v>1341</v>
      </c>
      <c r="D253" s="44" t="s">
        <v>1642</v>
      </c>
      <c r="E253" s="44">
        <f>0.86*8</f>
        <v>6.88</v>
      </c>
    </row>
    <row r="254" ht="25.5" spans="1:5">
      <c r="A254" s="24">
        <v>247</v>
      </c>
      <c r="B254" s="48" t="s">
        <v>215</v>
      </c>
      <c r="C254" s="43" t="s">
        <v>41</v>
      </c>
      <c r="D254" s="44" t="s">
        <v>1643</v>
      </c>
      <c r="E254" s="44">
        <f>1.38*8</f>
        <v>11.04</v>
      </c>
    </row>
    <row r="255" ht="25.5" spans="1:5">
      <c r="A255" s="24">
        <v>248</v>
      </c>
      <c r="B255" s="48" t="s">
        <v>215</v>
      </c>
      <c r="C255" s="43" t="s">
        <v>43</v>
      </c>
      <c r="D255" s="44" t="s">
        <v>1644</v>
      </c>
      <c r="E255" s="44">
        <f>1.5*8</f>
        <v>12</v>
      </c>
    </row>
    <row r="256" ht="25.5" spans="1:5">
      <c r="A256" s="24">
        <v>249</v>
      </c>
      <c r="B256" s="48" t="s">
        <v>215</v>
      </c>
      <c r="C256" s="43" t="s">
        <v>1341</v>
      </c>
      <c r="D256" s="44" t="s">
        <v>1645</v>
      </c>
      <c r="E256" s="44">
        <f>1.3*8</f>
        <v>10.4</v>
      </c>
    </row>
    <row r="257" ht="25.5" spans="1:5">
      <c r="A257" s="24">
        <v>250</v>
      </c>
      <c r="B257" s="48" t="s">
        <v>217</v>
      </c>
      <c r="C257" s="43" t="s">
        <v>41</v>
      </c>
      <c r="D257" s="44" t="s">
        <v>1646</v>
      </c>
      <c r="E257" s="44">
        <f>1.84*8</f>
        <v>14.72</v>
      </c>
    </row>
    <row r="258" ht="25.5" spans="1:5">
      <c r="A258" s="24">
        <v>251</v>
      </c>
      <c r="B258" s="48" t="s">
        <v>217</v>
      </c>
      <c r="C258" s="43" t="s">
        <v>43</v>
      </c>
      <c r="D258" s="44" t="s">
        <v>1647</v>
      </c>
      <c r="E258" s="44">
        <f>2*8</f>
        <v>16</v>
      </c>
    </row>
    <row r="259" ht="25.5" spans="1:5">
      <c r="A259" s="24">
        <v>252</v>
      </c>
      <c r="B259" s="48" t="s">
        <v>217</v>
      </c>
      <c r="C259" s="43" t="s">
        <v>1341</v>
      </c>
      <c r="D259" s="44" t="s">
        <v>1648</v>
      </c>
      <c r="E259" s="44">
        <f>1.73*8</f>
        <v>13.84</v>
      </c>
    </row>
  </sheetData>
  <mergeCells count="6">
    <mergeCell ref="A1:E1"/>
    <mergeCell ref="A3:A4"/>
    <mergeCell ref="B3:B4"/>
    <mergeCell ref="C3:C4"/>
    <mergeCell ref="D3:D4"/>
    <mergeCell ref="E3:E4"/>
  </mergeCells>
  <pageMargins left="0.7" right="0.7" top="0.75" bottom="0.75" header="0.3" footer="0.3"/>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89"/>
  <sheetViews>
    <sheetView topLeftCell="A28" workbookViewId="0">
      <selection activeCell="B14" sqref="B14:C14"/>
    </sheetView>
  </sheetViews>
  <sheetFormatPr defaultColWidth="9" defaultRowHeight="12.75" outlineLevelCol="2"/>
  <cols>
    <col min="1" max="1" width="36" style="2" customWidth="1"/>
    <col min="2" max="2" width="36.7142857142857" style="3" customWidth="1"/>
    <col min="3" max="3" width="58.1428571428571" style="2" customWidth="1"/>
    <col min="4" max="4" width="25.5714285714286" style="2" customWidth="1"/>
    <col min="5" max="5" width="18.7142857142857" style="2" customWidth="1"/>
    <col min="6" max="6" width="14.7142857142857" style="2" customWidth="1"/>
    <col min="7" max="16384" width="9.14285714285714" style="2"/>
  </cols>
  <sheetData>
    <row r="1" spans="1:3">
      <c r="A1" s="4" t="s">
        <v>1077</v>
      </c>
      <c r="B1" s="5"/>
      <c r="C1" s="5"/>
    </row>
    <row r="2" spans="1:3">
      <c r="A2" s="6" t="s">
        <v>1649</v>
      </c>
      <c r="B2" s="7"/>
      <c r="C2" s="7"/>
    </row>
    <row r="3" spans="1:3">
      <c r="A3" s="8" t="s">
        <v>1650</v>
      </c>
      <c r="B3" s="7"/>
      <c r="C3" s="7"/>
    </row>
    <row r="4" spans="1:3">
      <c r="A4" s="6" t="s">
        <v>1651</v>
      </c>
      <c r="B4" s="7"/>
      <c r="C4" s="7"/>
    </row>
    <row r="5" spans="1:3">
      <c r="A5" s="6" t="s">
        <v>1053</v>
      </c>
      <c r="B5" s="9"/>
      <c r="C5" s="9"/>
    </row>
    <row r="6" spans="1:3">
      <c r="A6" s="6" t="s">
        <v>1024</v>
      </c>
      <c r="B6" s="7"/>
      <c r="C6" s="7"/>
    </row>
    <row r="7" spans="1:3">
      <c r="A7" s="6" t="s">
        <v>240</v>
      </c>
      <c r="B7" s="9"/>
      <c r="C7" s="9"/>
    </row>
    <row r="8" spans="1:3">
      <c r="A8" s="6" t="s">
        <v>1652</v>
      </c>
      <c r="B8" s="9"/>
      <c r="C8" s="9"/>
    </row>
    <row r="9" spans="1:3">
      <c r="A9" s="6" t="s">
        <v>1653</v>
      </c>
      <c r="B9" s="9"/>
      <c r="C9" s="9"/>
    </row>
    <row r="10" spans="1:3">
      <c r="A10" s="6" t="s">
        <v>1654</v>
      </c>
      <c r="B10" s="9"/>
      <c r="C10" s="9"/>
    </row>
    <row r="11" spans="1:3">
      <c r="A11" s="6" t="s">
        <v>1655</v>
      </c>
      <c r="B11" s="9"/>
      <c r="C11" s="9"/>
    </row>
    <row r="12" spans="1:3">
      <c r="A12" s="8" t="s">
        <v>1656</v>
      </c>
      <c r="B12" s="9"/>
      <c r="C12" s="9"/>
    </row>
    <row r="13" spans="1:3">
      <c r="A13" s="6" t="s">
        <v>1657</v>
      </c>
      <c r="B13" s="9"/>
      <c r="C13" s="9"/>
    </row>
    <row r="14" spans="1:3">
      <c r="A14" s="6" t="s">
        <v>1658</v>
      </c>
      <c r="B14" s="9"/>
      <c r="C14" s="9"/>
    </row>
    <row r="15" spans="1:3">
      <c r="A15" s="6" t="s">
        <v>1659</v>
      </c>
      <c r="B15" s="9"/>
      <c r="C15" s="9"/>
    </row>
    <row r="16" spans="1:3">
      <c r="A16" s="6" t="s">
        <v>1660</v>
      </c>
      <c r="B16" s="7"/>
      <c r="C16" s="7"/>
    </row>
    <row r="21" ht="25.5" spans="1:3">
      <c r="A21" s="10" t="s">
        <v>1077</v>
      </c>
      <c r="B21" s="11" t="s">
        <v>1661</v>
      </c>
      <c r="C21" s="12"/>
    </row>
    <row r="22" spans="1:3">
      <c r="A22" s="6" t="s">
        <v>1649</v>
      </c>
      <c r="B22" s="19">
        <v>0.29</v>
      </c>
      <c r="C22" s="15"/>
    </row>
    <row r="23" spans="1:3">
      <c r="A23" s="16" t="s">
        <v>1650</v>
      </c>
      <c r="B23" s="14">
        <v>0.1</v>
      </c>
      <c r="C23" s="15"/>
    </row>
    <row r="24" spans="1:3">
      <c r="A24" s="6" t="s">
        <v>1651</v>
      </c>
      <c r="B24" s="19">
        <v>0.29</v>
      </c>
      <c r="C24" s="15"/>
    </row>
    <row r="25" spans="1:3">
      <c r="A25" s="6" t="s">
        <v>1053</v>
      </c>
      <c r="B25" s="19">
        <v>0.203</v>
      </c>
      <c r="C25" s="15"/>
    </row>
    <row r="26" spans="1:3">
      <c r="A26" s="6" t="s">
        <v>1024</v>
      </c>
      <c r="B26" s="19">
        <v>0.1474</v>
      </c>
      <c r="C26" s="15"/>
    </row>
    <row r="27" spans="1:3">
      <c r="A27" s="6" t="s">
        <v>240</v>
      </c>
      <c r="B27" s="19">
        <v>0.19162</v>
      </c>
      <c r="C27" s="15"/>
    </row>
    <row r="28" spans="1:3">
      <c r="A28" s="6" t="s">
        <v>1652</v>
      </c>
      <c r="B28" s="19">
        <v>0.153296</v>
      </c>
      <c r="C28" s="15"/>
    </row>
    <row r="29" spans="1:3">
      <c r="A29" s="6" t="s">
        <v>1653</v>
      </c>
      <c r="B29" s="19">
        <v>0.246158</v>
      </c>
      <c r="C29" s="15"/>
    </row>
    <row r="30" spans="1:3">
      <c r="A30" s="6" t="s">
        <v>1654</v>
      </c>
      <c r="B30" s="19">
        <v>0.1086338</v>
      </c>
      <c r="C30" s="15"/>
    </row>
    <row r="31" spans="1:3">
      <c r="A31" s="6" t="s">
        <v>1655</v>
      </c>
      <c r="B31" s="19">
        <v>0.16214</v>
      </c>
      <c r="C31" s="15"/>
    </row>
    <row r="32" s="1" customFormat="1" ht="15" spans="1:3">
      <c r="A32" s="16" t="s">
        <v>1656</v>
      </c>
      <c r="B32" s="14">
        <v>0.15</v>
      </c>
      <c r="C32" s="18"/>
    </row>
    <row r="33" spans="1:3">
      <c r="A33" s="6" t="s">
        <v>1657</v>
      </c>
      <c r="B33" s="19">
        <v>0.1969264</v>
      </c>
      <c r="C33" s="15"/>
    </row>
    <row r="34" spans="1:3">
      <c r="A34" s="6" t="s">
        <v>1658</v>
      </c>
      <c r="B34" s="19">
        <v>0.3148464</v>
      </c>
      <c r="C34" s="15"/>
    </row>
    <row r="35" spans="1:3">
      <c r="A35" s="6" t="s">
        <v>1659</v>
      </c>
      <c r="B35" s="19">
        <v>0.0737</v>
      </c>
      <c r="C35" s="15"/>
    </row>
    <row r="36" spans="1:3">
      <c r="A36" s="6" t="s">
        <v>1660</v>
      </c>
      <c r="B36" s="19">
        <v>0.29</v>
      </c>
      <c r="C36" s="15"/>
    </row>
    <row r="37" spans="3:3">
      <c r="C37" s="15"/>
    </row>
    <row r="38" spans="1:3">
      <c r="A38" s="10" t="s">
        <v>1077</v>
      </c>
      <c r="B38" s="11" t="s">
        <v>1662</v>
      </c>
      <c r="C38" s="12"/>
    </row>
    <row r="39" spans="1:3">
      <c r="A39" s="6" t="s">
        <v>1649</v>
      </c>
      <c r="B39" s="19">
        <f>B22*1.4</f>
        <v>0.406</v>
      </c>
      <c r="C39" s="12"/>
    </row>
    <row r="40" spans="1:3">
      <c r="A40" s="16" t="s">
        <v>1650</v>
      </c>
      <c r="B40" s="14">
        <v>0.14</v>
      </c>
      <c r="C40" s="12"/>
    </row>
    <row r="41" spans="1:3">
      <c r="A41" s="6" t="s">
        <v>1651</v>
      </c>
      <c r="B41" s="19">
        <f>B24*1.4</f>
        <v>0.406</v>
      </c>
      <c r="C41" s="12"/>
    </row>
    <row r="42" spans="1:3">
      <c r="A42" s="6" t="s">
        <v>1053</v>
      </c>
      <c r="B42" s="19">
        <v>0.23616</v>
      </c>
      <c r="C42" s="12"/>
    </row>
    <row r="43" spans="1:3">
      <c r="A43" s="6" t="s">
        <v>1024</v>
      </c>
      <c r="B43" s="19">
        <v>0.19188</v>
      </c>
      <c r="C43" s="12"/>
    </row>
    <row r="44" spans="1:3">
      <c r="A44" s="6" t="s">
        <v>240</v>
      </c>
      <c r="B44" s="19">
        <v>0.23985</v>
      </c>
      <c r="C44" s="12"/>
    </row>
    <row r="45" spans="1:3">
      <c r="A45" s="6" t="s">
        <v>1652</v>
      </c>
      <c r="B45" s="19">
        <v>0.23616</v>
      </c>
      <c r="C45" s="12"/>
    </row>
    <row r="46" spans="1:3">
      <c r="A46" s="6" t="s">
        <v>1653</v>
      </c>
      <c r="B46" s="19">
        <v>0.33948</v>
      </c>
      <c r="C46" s="12"/>
    </row>
    <row r="47" spans="1:3">
      <c r="A47" s="6" t="s">
        <v>1654</v>
      </c>
      <c r="B47" s="19">
        <v>0.16236</v>
      </c>
      <c r="C47" s="12"/>
    </row>
    <row r="48" spans="1:3">
      <c r="A48" s="6" t="s">
        <v>1655</v>
      </c>
      <c r="B48" s="19">
        <v>0.1845</v>
      </c>
      <c r="C48" s="12"/>
    </row>
    <row r="49" spans="1:3">
      <c r="A49" s="16" t="s">
        <v>1656</v>
      </c>
      <c r="B49" s="14">
        <v>0.4</v>
      </c>
      <c r="C49" s="12"/>
    </row>
    <row r="50" spans="1:3">
      <c r="A50" s="6" t="s">
        <v>1657</v>
      </c>
      <c r="B50" s="19">
        <v>0.1971936</v>
      </c>
      <c r="C50" s="12"/>
    </row>
    <row r="51" spans="1:3">
      <c r="A51" s="6" t="s">
        <v>1658</v>
      </c>
      <c r="B51" s="19">
        <v>0.469368</v>
      </c>
      <c r="C51" s="12"/>
    </row>
    <row r="52" spans="1:3">
      <c r="A52" s="6" t="s">
        <v>1659</v>
      </c>
      <c r="B52" s="19">
        <v>0.08856</v>
      </c>
      <c r="C52" s="12"/>
    </row>
    <row r="53" spans="1:3">
      <c r="A53" s="6" t="s">
        <v>1660</v>
      </c>
      <c r="B53" s="19">
        <v>0.406</v>
      </c>
      <c r="C53" s="12"/>
    </row>
    <row r="54" spans="3:3">
      <c r="C54" s="15"/>
    </row>
    <row r="55" spans="3:3">
      <c r="C55" s="15"/>
    </row>
    <row r="56" ht="25.5" spans="1:3">
      <c r="A56" s="10" t="s">
        <v>1077</v>
      </c>
      <c r="B56" s="11" t="s">
        <v>1663</v>
      </c>
      <c r="C56" s="12"/>
    </row>
    <row r="57" spans="1:3">
      <c r="A57" s="6" t="s">
        <v>1649</v>
      </c>
      <c r="B57" s="19">
        <v>0.896192</v>
      </c>
      <c r="C57" s="15"/>
    </row>
    <row r="58" spans="1:3">
      <c r="A58" s="16" t="s">
        <v>1650</v>
      </c>
      <c r="B58" s="14">
        <v>0.8</v>
      </c>
      <c r="C58" s="15"/>
    </row>
    <row r="59" spans="1:3">
      <c r="A59" s="6" t="s">
        <v>1651</v>
      </c>
      <c r="B59" s="19">
        <v>1.0418232</v>
      </c>
      <c r="C59" s="15"/>
    </row>
    <row r="60" spans="1:3">
      <c r="A60" s="6" t="s">
        <v>1053</v>
      </c>
      <c r="B60" s="19">
        <v>0.3025</v>
      </c>
      <c r="C60" s="15"/>
    </row>
    <row r="61" spans="1:3">
      <c r="A61" s="6" t="s">
        <v>1024</v>
      </c>
      <c r="B61" s="19">
        <v>0.242</v>
      </c>
      <c r="C61" s="15"/>
    </row>
    <row r="62" spans="1:3">
      <c r="A62" s="6" t="s">
        <v>240</v>
      </c>
      <c r="B62" s="19">
        <v>0.3146</v>
      </c>
      <c r="C62" s="15"/>
    </row>
    <row r="63" spans="1:3">
      <c r="A63" s="6" t="s">
        <v>1652</v>
      </c>
      <c r="B63" s="19">
        <v>0.3872</v>
      </c>
      <c r="C63" s="15"/>
    </row>
    <row r="64" spans="1:3">
      <c r="A64" s="6" t="s">
        <v>1653</v>
      </c>
      <c r="B64" s="19">
        <v>0.484</v>
      </c>
      <c r="C64" s="15"/>
    </row>
    <row r="65" spans="1:3">
      <c r="A65" s="6" t="s">
        <v>1654</v>
      </c>
      <c r="B65" s="19">
        <v>0.2662</v>
      </c>
      <c r="C65" s="15"/>
    </row>
    <row r="66" spans="1:3">
      <c r="A66" s="6" t="s">
        <v>1655</v>
      </c>
      <c r="B66" s="19">
        <v>0.2662</v>
      </c>
      <c r="C66" s="15"/>
    </row>
    <row r="67" spans="1:3">
      <c r="A67" s="16" t="s">
        <v>1656</v>
      </c>
      <c r="B67" s="14">
        <v>0.3</v>
      </c>
      <c r="C67" s="15"/>
    </row>
    <row r="68" spans="1:3">
      <c r="A68" s="6" t="s">
        <v>1657</v>
      </c>
      <c r="B68" s="19">
        <v>0.1452</v>
      </c>
      <c r="C68" s="15"/>
    </row>
    <row r="69" spans="1:3">
      <c r="A69" s="6" t="s">
        <v>1658</v>
      </c>
      <c r="B69" s="19">
        <v>0.3872</v>
      </c>
      <c r="C69" s="12"/>
    </row>
    <row r="70" spans="1:3">
      <c r="A70" s="6" t="s">
        <v>1659</v>
      </c>
      <c r="B70" s="19">
        <v>0.1815</v>
      </c>
      <c r="C70" s="15"/>
    </row>
    <row r="71" spans="1:3">
      <c r="A71" s="6" t="s">
        <v>1660</v>
      </c>
      <c r="B71" s="19">
        <v>0.896192</v>
      </c>
      <c r="C71" s="15"/>
    </row>
    <row r="72" spans="3:3">
      <c r="C72" s="15"/>
    </row>
    <row r="73" ht="25.5" spans="1:3">
      <c r="A73" s="10" t="s">
        <v>1077</v>
      </c>
      <c r="B73" s="11" t="s">
        <v>1664</v>
      </c>
      <c r="C73" s="12"/>
    </row>
    <row r="74" spans="1:3">
      <c r="A74" s="6" t="s">
        <v>1649</v>
      </c>
      <c r="B74" s="19">
        <v>0.897408</v>
      </c>
      <c r="C74" s="12"/>
    </row>
    <row r="75" spans="1:3">
      <c r="A75" s="16" t="s">
        <v>1650</v>
      </c>
      <c r="B75" s="14">
        <v>0.8</v>
      </c>
      <c r="C75" s="12"/>
    </row>
    <row r="76" spans="1:3">
      <c r="A76" s="6" t="s">
        <v>1651</v>
      </c>
      <c r="B76" s="19">
        <v>1.582776</v>
      </c>
      <c r="C76" s="12"/>
    </row>
    <row r="77" spans="1:3">
      <c r="A77" s="6" t="s">
        <v>1053</v>
      </c>
      <c r="B77" s="19">
        <v>0.63</v>
      </c>
      <c r="C77" s="12"/>
    </row>
    <row r="78" spans="1:3">
      <c r="A78" s="6" t="s">
        <v>1024</v>
      </c>
      <c r="B78" s="19">
        <v>0.378</v>
      </c>
      <c r="C78" s="12"/>
    </row>
    <row r="79" spans="1:3">
      <c r="A79" s="6" t="s">
        <v>240</v>
      </c>
      <c r="B79" s="19">
        <v>0.4725</v>
      </c>
      <c r="C79" s="12"/>
    </row>
    <row r="80" spans="1:3">
      <c r="A80" s="6" t="s">
        <v>1652</v>
      </c>
      <c r="B80" s="19">
        <v>0.4032</v>
      </c>
      <c r="C80" s="12"/>
    </row>
    <row r="81" spans="1:3">
      <c r="A81" s="6" t="s">
        <v>1653</v>
      </c>
      <c r="B81" s="19">
        <v>0.63</v>
      </c>
      <c r="C81" s="12"/>
    </row>
    <row r="82" spans="1:3">
      <c r="A82" s="6" t="s">
        <v>1654</v>
      </c>
      <c r="B82" s="19">
        <v>0.4158</v>
      </c>
      <c r="C82" s="12"/>
    </row>
    <row r="83" spans="1:3">
      <c r="A83" s="6" t="s">
        <v>1655</v>
      </c>
      <c r="B83" s="19">
        <v>0.4725</v>
      </c>
      <c r="C83" s="12"/>
    </row>
    <row r="84" spans="1:3">
      <c r="A84" s="16" t="s">
        <v>1656</v>
      </c>
      <c r="B84" s="14">
        <v>0.5</v>
      </c>
      <c r="C84" s="12"/>
    </row>
    <row r="85" spans="1:3">
      <c r="A85" s="6" t="s">
        <v>1657</v>
      </c>
      <c r="B85" s="19">
        <v>0.1512</v>
      </c>
      <c r="C85" s="12"/>
    </row>
    <row r="86" spans="1:3">
      <c r="A86" s="6" t="s">
        <v>1658</v>
      </c>
      <c r="B86" s="19">
        <v>0.4536</v>
      </c>
      <c r="C86" s="12"/>
    </row>
    <row r="87" spans="1:3">
      <c r="A87" s="6" t="s">
        <v>1659</v>
      </c>
      <c r="B87" s="19">
        <v>0.2268</v>
      </c>
      <c r="C87" s="12"/>
    </row>
    <row r="88" spans="1:3">
      <c r="A88" s="6" t="s">
        <v>1660</v>
      </c>
      <c r="B88" s="19">
        <v>0.897408</v>
      </c>
      <c r="C88" s="12"/>
    </row>
    <row r="89" spans="1:2">
      <c r="A89" s="20" t="s">
        <v>1660</v>
      </c>
      <c r="B89" s="19">
        <v>0.897408</v>
      </c>
    </row>
  </sheetData>
  <mergeCells count="14">
    <mergeCell ref="B1:C1"/>
    <mergeCell ref="B2:C2"/>
    <mergeCell ref="B4:C4"/>
    <mergeCell ref="B5:C5"/>
    <mergeCell ref="B6:C6"/>
    <mergeCell ref="B7:C7"/>
    <mergeCell ref="B8:C8"/>
    <mergeCell ref="B9:C9"/>
    <mergeCell ref="B10:C10"/>
    <mergeCell ref="B11:C11"/>
    <mergeCell ref="B13:C13"/>
    <mergeCell ref="B14:C14"/>
    <mergeCell ref="B15:C15"/>
    <mergeCell ref="B16:C16"/>
  </mergeCells>
  <pageMargins left="0.7" right="0.7" top="0.75" bottom="0.75" header="0.3" footer="0.3"/>
  <pageSetup paperSize="9" scale="85" orientation="landscape"/>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C78"/>
  <sheetViews>
    <sheetView workbookViewId="0">
      <selection activeCell="C74" sqref="C74"/>
    </sheetView>
  </sheetViews>
  <sheetFormatPr defaultColWidth="9" defaultRowHeight="12.75" outlineLevelCol="2"/>
  <cols>
    <col min="1" max="1" width="36" style="2" customWidth="1"/>
    <col min="2" max="2" width="36.7142857142857" style="3" customWidth="1"/>
    <col min="3" max="3" width="58.1428571428571" style="2" customWidth="1"/>
    <col min="4" max="4" width="25.5714285714286" style="2" customWidth="1"/>
    <col min="5" max="5" width="18.7142857142857" style="2" customWidth="1"/>
    <col min="6" max="6" width="14.7142857142857" style="2" customWidth="1"/>
    <col min="7" max="16384" width="9.14285714285714" style="2"/>
  </cols>
  <sheetData>
    <row r="1" spans="1:3">
      <c r="A1" s="4" t="s">
        <v>1077</v>
      </c>
      <c r="B1" s="5"/>
      <c r="C1" s="5"/>
    </row>
    <row r="2" spans="1:3">
      <c r="A2" s="6" t="s">
        <v>1649</v>
      </c>
      <c r="B2" s="7"/>
      <c r="C2" s="7"/>
    </row>
    <row r="3" spans="1:3">
      <c r="A3" s="8" t="s">
        <v>1650</v>
      </c>
      <c r="B3" s="7"/>
      <c r="C3" s="7"/>
    </row>
    <row r="4" spans="1:3">
      <c r="A4" s="6" t="s">
        <v>1651</v>
      </c>
      <c r="B4" s="7"/>
      <c r="C4" s="7"/>
    </row>
    <row r="5" spans="1:3">
      <c r="A5" s="6" t="s">
        <v>1053</v>
      </c>
      <c r="B5" s="9"/>
      <c r="C5" s="9"/>
    </row>
    <row r="6" spans="1:3">
      <c r="A6" s="6" t="s">
        <v>1024</v>
      </c>
      <c r="B6" s="7"/>
      <c r="C6" s="7"/>
    </row>
    <row r="7" spans="1:3">
      <c r="A7" s="6" t="s">
        <v>240</v>
      </c>
      <c r="B7" s="9"/>
      <c r="C7" s="9"/>
    </row>
    <row r="8" spans="1:3">
      <c r="A8" s="6" t="s">
        <v>1652</v>
      </c>
      <c r="B8" s="9"/>
      <c r="C8" s="9"/>
    </row>
    <row r="9" spans="1:3">
      <c r="A9" s="6" t="s">
        <v>1653</v>
      </c>
      <c r="B9" s="9"/>
      <c r="C9" s="9"/>
    </row>
    <row r="10" spans="1:3">
      <c r="A10" s="6" t="s">
        <v>1655</v>
      </c>
      <c r="B10" s="9"/>
      <c r="C10" s="9"/>
    </row>
    <row r="11" spans="1:3">
      <c r="A11" s="8" t="s">
        <v>1656</v>
      </c>
      <c r="B11" s="9"/>
      <c r="C11" s="9"/>
    </row>
    <row r="12" spans="1:3">
      <c r="A12" s="6" t="s">
        <v>1657</v>
      </c>
      <c r="B12" s="9"/>
      <c r="C12" s="9"/>
    </row>
    <row r="13" spans="1:3">
      <c r="A13" s="6" t="s">
        <v>1658</v>
      </c>
      <c r="B13" s="9"/>
      <c r="C13" s="9"/>
    </row>
    <row r="14" spans="1:3">
      <c r="A14" s="6" t="s">
        <v>1660</v>
      </c>
      <c r="B14" s="7"/>
      <c r="C14" s="7"/>
    </row>
    <row r="19" ht="25.5" spans="1:3">
      <c r="A19" s="10" t="s">
        <v>1077</v>
      </c>
      <c r="B19" s="11" t="s">
        <v>1661</v>
      </c>
      <c r="C19" s="12"/>
    </row>
    <row r="20" spans="1:3">
      <c r="A20" s="13" t="s">
        <v>1649</v>
      </c>
      <c r="B20" s="14">
        <v>0.1</v>
      </c>
      <c r="C20" s="15"/>
    </row>
    <row r="21" spans="1:3">
      <c r="A21" s="16" t="s">
        <v>1650</v>
      </c>
      <c r="B21" s="14">
        <v>0.1</v>
      </c>
      <c r="C21" s="15"/>
    </row>
    <row r="22" spans="1:3">
      <c r="A22" s="13" t="s">
        <v>1651</v>
      </c>
      <c r="B22" s="14">
        <v>0.1</v>
      </c>
      <c r="C22" s="15"/>
    </row>
    <row r="23" spans="1:3">
      <c r="A23" s="13" t="s">
        <v>1053</v>
      </c>
      <c r="B23" s="17">
        <v>0.203</v>
      </c>
      <c r="C23" s="15"/>
    </row>
    <row r="24" spans="1:3">
      <c r="A24" s="13" t="s">
        <v>1024</v>
      </c>
      <c r="B24" s="14">
        <v>0.15</v>
      </c>
      <c r="C24" s="15"/>
    </row>
    <row r="25" spans="1:3">
      <c r="A25" s="13" t="s">
        <v>240</v>
      </c>
      <c r="B25" s="17">
        <v>0.1</v>
      </c>
      <c r="C25" s="15"/>
    </row>
    <row r="26" spans="1:3">
      <c r="A26" s="13" t="s">
        <v>1652</v>
      </c>
      <c r="B26" s="17">
        <v>0.153296</v>
      </c>
      <c r="C26" s="15"/>
    </row>
    <row r="27" spans="1:3">
      <c r="A27" s="13" t="s">
        <v>1653</v>
      </c>
      <c r="B27" s="17">
        <v>0.15</v>
      </c>
      <c r="C27" s="15"/>
    </row>
    <row r="28" s="1" customFormat="1" ht="15" spans="1:3">
      <c r="A28" s="16" t="s">
        <v>1655</v>
      </c>
      <c r="B28" s="14">
        <v>0.15</v>
      </c>
      <c r="C28" s="18"/>
    </row>
    <row r="29" s="1" customFormat="1" ht="15" spans="1:3">
      <c r="A29" s="16" t="s">
        <v>1656</v>
      </c>
      <c r="B29" s="14">
        <v>0.15</v>
      </c>
      <c r="C29" s="18"/>
    </row>
    <row r="30" spans="1:3">
      <c r="A30" s="13" t="s">
        <v>1657</v>
      </c>
      <c r="B30" s="17">
        <v>0.1969264</v>
      </c>
      <c r="C30" s="15"/>
    </row>
    <row r="31" spans="1:3">
      <c r="A31" s="13" t="s">
        <v>1658</v>
      </c>
      <c r="B31" s="17">
        <v>0.3148464</v>
      </c>
      <c r="C31" s="15"/>
    </row>
    <row r="32" spans="1:3">
      <c r="A32" s="13" t="s">
        <v>1660</v>
      </c>
      <c r="B32" s="17">
        <v>0.29</v>
      </c>
      <c r="C32" s="15"/>
    </row>
    <row r="33" spans="3:3">
      <c r="C33" s="15"/>
    </row>
    <row r="34" spans="1:3">
      <c r="A34" s="10" t="s">
        <v>1077</v>
      </c>
      <c r="B34" s="11" t="s">
        <v>1662</v>
      </c>
      <c r="C34" s="12"/>
    </row>
    <row r="35" spans="1:3">
      <c r="A35" s="13" t="s">
        <v>1649</v>
      </c>
      <c r="B35" s="17">
        <f>B20*1.4</f>
        <v>0.14</v>
      </c>
      <c r="C35" s="12"/>
    </row>
    <row r="36" spans="1:3">
      <c r="A36" s="16" t="s">
        <v>1650</v>
      </c>
      <c r="B36" s="14">
        <v>0.14</v>
      </c>
      <c r="C36" s="12"/>
    </row>
    <row r="37" spans="1:3">
      <c r="A37" s="13" t="s">
        <v>1651</v>
      </c>
      <c r="B37" s="17">
        <f>B22*1.4</f>
        <v>0.14</v>
      </c>
      <c r="C37" s="12"/>
    </row>
    <row r="38" spans="1:3">
      <c r="A38" s="13" t="s">
        <v>1053</v>
      </c>
      <c r="B38" s="17">
        <v>0.23616</v>
      </c>
      <c r="C38" s="12"/>
    </row>
    <row r="39" spans="1:3">
      <c r="A39" s="13" t="s">
        <v>1024</v>
      </c>
      <c r="B39" s="17">
        <v>0.19188</v>
      </c>
      <c r="C39" s="12"/>
    </row>
    <row r="40" spans="1:3">
      <c r="A40" s="13" t="s">
        <v>240</v>
      </c>
      <c r="B40" s="17">
        <v>0.23985</v>
      </c>
      <c r="C40" s="12"/>
    </row>
    <row r="41" spans="1:3">
      <c r="A41" s="13" t="s">
        <v>1652</v>
      </c>
      <c r="B41" s="17">
        <v>0.23616</v>
      </c>
      <c r="C41" s="12"/>
    </row>
    <row r="42" spans="1:3">
      <c r="A42" s="13" t="s">
        <v>1653</v>
      </c>
      <c r="B42" s="14">
        <v>0.5</v>
      </c>
      <c r="C42" s="12"/>
    </row>
    <row r="43" spans="1:3">
      <c r="A43" s="16" t="s">
        <v>1655</v>
      </c>
      <c r="B43" s="14">
        <v>0.2</v>
      </c>
      <c r="C43" s="12"/>
    </row>
    <row r="44" spans="1:3">
      <c r="A44" s="16" t="s">
        <v>1656</v>
      </c>
      <c r="B44" s="14">
        <v>0.4</v>
      </c>
      <c r="C44" s="12"/>
    </row>
    <row r="45" spans="1:3">
      <c r="A45" s="13" t="s">
        <v>1657</v>
      </c>
      <c r="B45" s="17">
        <v>0.1971936</v>
      </c>
      <c r="C45" s="12"/>
    </row>
    <row r="46" spans="1:3">
      <c r="A46" s="13" t="s">
        <v>1658</v>
      </c>
      <c r="B46" s="17">
        <v>0.469368</v>
      </c>
      <c r="C46" s="12"/>
    </row>
    <row r="47" spans="1:3">
      <c r="A47" s="13" t="s">
        <v>1660</v>
      </c>
      <c r="B47" s="17">
        <v>0.406</v>
      </c>
      <c r="C47" s="12"/>
    </row>
    <row r="48" spans="3:3">
      <c r="C48" s="15"/>
    </row>
    <row r="49" spans="3:3">
      <c r="C49" s="15"/>
    </row>
    <row r="50" ht="25.5" spans="1:3">
      <c r="A50" s="10" t="s">
        <v>1077</v>
      </c>
      <c r="B50" s="11" t="s">
        <v>1663</v>
      </c>
      <c r="C50" s="12"/>
    </row>
    <row r="51" spans="1:3">
      <c r="A51" s="13" t="s">
        <v>1649</v>
      </c>
      <c r="B51" s="17">
        <v>0.896192</v>
      </c>
      <c r="C51" s="15"/>
    </row>
    <row r="52" spans="1:3">
      <c r="A52" s="16" t="s">
        <v>1650</v>
      </c>
      <c r="B52" s="14">
        <v>0.8</v>
      </c>
      <c r="C52" s="15"/>
    </row>
    <row r="53" spans="1:3">
      <c r="A53" s="13" t="s">
        <v>1651</v>
      </c>
      <c r="B53" s="17">
        <v>1.0418232</v>
      </c>
      <c r="C53" s="15"/>
    </row>
    <row r="54" spans="1:3">
      <c r="A54" s="13" t="s">
        <v>1053</v>
      </c>
      <c r="B54" s="17">
        <v>0.3025</v>
      </c>
      <c r="C54" s="15"/>
    </row>
    <row r="55" spans="1:3">
      <c r="A55" s="13" t="s">
        <v>1024</v>
      </c>
      <c r="B55" s="17">
        <v>0.242</v>
      </c>
      <c r="C55" s="15"/>
    </row>
    <row r="56" spans="1:3">
      <c r="A56" s="13" t="s">
        <v>240</v>
      </c>
      <c r="B56" s="17">
        <v>0.3146</v>
      </c>
      <c r="C56" s="15"/>
    </row>
    <row r="57" spans="1:3">
      <c r="A57" s="13" t="s">
        <v>1652</v>
      </c>
      <c r="B57" s="17">
        <v>0.3872</v>
      </c>
      <c r="C57" s="15"/>
    </row>
    <row r="58" spans="1:3">
      <c r="A58" s="13" t="s">
        <v>1653</v>
      </c>
      <c r="B58" s="17">
        <v>0.484</v>
      </c>
      <c r="C58" s="15"/>
    </row>
    <row r="59" spans="1:3">
      <c r="A59" s="16" t="s">
        <v>1655</v>
      </c>
      <c r="B59" s="14">
        <v>0.2</v>
      </c>
      <c r="C59" s="15"/>
    </row>
    <row r="60" spans="1:3">
      <c r="A60" s="16" t="s">
        <v>1656</v>
      </c>
      <c r="B60" s="14">
        <v>0.3</v>
      </c>
      <c r="C60" s="15"/>
    </row>
    <row r="61" spans="1:3">
      <c r="A61" s="13" t="s">
        <v>1657</v>
      </c>
      <c r="B61" s="17">
        <v>0.1452</v>
      </c>
      <c r="C61" s="12"/>
    </row>
    <row r="62" spans="1:3">
      <c r="A62" s="13" t="s">
        <v>1658</v>
      </c>
      <c r="B62" s="17">
        <v>0.3872</v>
      </c>
      <c r="C62" s="15"/>
    </row>
    <row r="63" spans="1:3">
      <c r="A63" s="13" t="s">
        <v>1660</v>
      </c>
      <c r="B63" s="17">
        <v>0.896192</v>
      </c>
      <c r="C63" s="15"/>
    </row>
    <row r="64" spans="3:3">
      <c r="C64" s="15"/>
    </row>
    <row r="65" ht="25.5" spans="1:3">
      <c r="A65" s="10" t="s">
        <v>1077</v>
      </c>
      <c r="B65" s="11" t="s">
        <v>1664</v>
      </c>
      <c r="C65" s="12"/>
    </row>
    <row r="66" spans="1:3">
      <c r="A66" s="13" t="s">
        <v>1649</v>
      </c>
      <c r="B66" s="17">
        <v>0.897408</v>
      </c>
      <c r="C66" s="12"/>
    </row>
    <row r="67" spans="1:3">
      <c r="A67" s="16" t="s">
        <v>1650</v>
      </c>
      <c r="B67" s="14">
        <v>0.8</v>
      </c>
      <c r="C67" s="12"/>
    </row>
    <row r="68" spans="1:3">
      <c r="A68" s="13" t="s">
        <v>1651</v>
      </c>
      <c r="B68" s="17">
        <v>1.582776</v>
      </c>
      <c r="C68" s="12"/>
    </row>
    <row r="69" spans="1:3">
      <c r="A69" s="13" t="s">
        <v>1053</v>
      </c>
      <c r="B69" s="17">
        <v>0.63</v>
      </c>
      <c r="C69" s="12"/>
    </row>
    <row r="70" spans="1:3">
      <c r="A70" s="13" t="s">
        <v>1024</v>
      </c>
      <c r="B70" s="17">
        <v>0.378</v>
      </c>
      <c r="C70" s="12"/>
    </row>
    <row r="71" spans="1:3">
      <c r="A71" s="13" t="s">
        <v>240</v>
      </c>
      <c r="B71" s="17">
        <v>0.4725</v>
      </c>
      <c r="C71" s="12"/>
    </row>
    <row r="72" spans="1:3">
      <c r="A72" s="13" t="s">
        <v>1652</v>
      </c>
      <c r="B72" s="17">
        <v>0.4032</v>
      </c>
      <c r="C72" s="12"/>
    </row>
    <row r="73" spans="1:3">
      <c r="A73" s="13" t="s">
        <v>1653</v>
      </c>
      <c r="B73" s="17">
        <v>0.63</v>
      </c>
      <c r="C73" s="12"/>
    </row>
    <row r="74" spans="1:3">
      <c r="A74" s="16" t="s">
        <v>1655</v>
      </c>
      <c r="B74" s="14">
        <v>0.4725</v>
      </c>
      <c r="C74" s="12"/>
    </row>
    <row r="75" spans="1:3">
      <c r="A75" s="16" t="s">
        <v>1656</v>
      </c>
      <c r="B75" s="14">
        <v>0.5</v>
      </c>
      <c r="C75" s="12"/>
    </row>
    <row r="76" spans="1:3">
      <c r="A76" s="13" t="s">
        <v>1657</v>
      </c>
      <c r="B76" s="17">
        <v>0.1512</v>
      </c>
      <c r="C76" s="12"/>
    </row>
    <row r="77" spans="1:3">
      <c r="A77" s="13" t="s">
        <v>1658</v>
      </c>
      <c r="B77" s="17">
        <v>0.4536</v>
      </c>
      <c r="C77" s="12"/>
    </row>
    <row r="78" spans="1:3">
      <c r="A78" s="13" t="s">
        <v>1660</v>
      </c>
      <c r="B78" s="17">
        <v>0.897408</v>
      </c>
      <c r="C78" s="12"/>
    </row>
  </sheetData>
  <mergeCells count="12">
    <mergeCell ref="B1:C1"/>
    <mergeCell ref="B2:C2"/>
    <mergeCell ref="B4:C4"/>
    <mergeCell ref="B5:C5"/>
    <mergeCell ref="B6:C6"/>
    <mergeCell ref="B7:C7"/>
    <mergeCell ref="B8:C8"/>
    <mergeCell ref="B9:C9"/>
    <mergeCell ref="B10:C10"/>
    <mergeCell ref="B12:C12"/>
    <mergeCell ref="B13:C13"/>
    <mergeCell ref="B14:C14"/>
  </mergeCells>
  <pageMargins left="0.7" right="0.7" top="0.75" bottom="0.75" header="0.3" footer="0.3"/>
  <pageSetup paperSize="9" scale="8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Trang bia</vt:lpstr>
      <vt:lpstr>Bang ghi nhan thay doi</vt:lpstr>
      <vt:lpstr>Tong hop</vt:lpstr>
      <vt:lpstr>Sheet2</vt:lpstr>
      <vt:lpstr>Danh sach chuc nang</vt:lpstr>
      <vt:lpstr>NL Chuc nang</vt:lpstr>
      <vt:lpstr>NL Phi CN</vt:lpstr>
      <vt:lpstr>BM_Kiem thu hieu nang</vt:lpstr>
      <vt:lpstr>HDKTHN</vt:lpstr>
      <vt:lpstr>NL QTDL</vt:lpstr>
      <vt:lpstr>Định nghĩa Loại Chức năng</vt:lpstr>
      <vt:lpstr>Định nghĩa loại công việc</vt:lpstr>
      <vt:lpstr>CSDL_CN</vt:lpstr>
      <vt:lpstr>CSDL Phi CN</vt:lpstr>
      <vt:lpstr>CSDL_QTDL</vt:lpstr>
      <vt:lpstr>Ty le phan bo nguon luc du an</vt:lpstr>
      <vt:lpstr>HD ULNL</vt:lpstr>
      <vt:lpstr>HD Tái sử dụng PM</vt:lpstr>
      <vt:lpstr>CSDL CN</vt:lpstr>
      <vt:lpstr>Tham chiếu list</vt:lpstr>
      <vt:lpstr>Tham chiếu list2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Ngoc Lan - Trung Tam phan mem</dc:creator>
  <cp:lastModifiedBy>hungns</cp:lastModifiedBy>
  <dcterms:created xsi:type="dcterms:W3CDTF">2008-12-02T04:35:00Z</dcterms:created>
  <cp:lastPrinted>2019-06-01T09:27:00Z</cp:lastPrinted>
  <dcterms:modified xsi:type="dcterms:W3CDTF">2024-09-09T17:30:00Z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