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calcPr calcId="124519"/>
</workbook>
</file>

<file path=xl/calcChain.xml><?xml version="1.0" encoding="utf-8"?>
<calcChain xmlns="http://schemas.openxmlformats.org/spreadsheetml/2006/main">
  <c r="J15" i="1"/>
  <c r="L6"/>
  <c r="J13"/>
  <c r="J19" s="1"/>
  <c r="B71" i="2"/>
  <c r="E4" i="5" l="1"/>
  <c r="E2"/>
  <c r="E3" s="1"/>
  <c r="E5" l="1"/>
  <c r="F8" i="4"/>
  <c r="F4"/>
  <c r="F5"/>
  <c r="F6"/>
  <c r="F7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3"/>
  <c r="F16" i="2" l="1"/>
  <c r="B20" i="1" l="1"/>
  <c r="B73" i="2" l="1"/>
  <c r="F15" s="1"/>
  <c r="F18" s="1"/>
  <c r="B33" i="3"/>
  <c r="C42"/>
  <c r="C43"/>
  <c r="C48" l="1"/>
  <c r="B28" i="1" l="1"/>
  <c r="B25"/>
  <c r="J5" s="1"/>
  <c r="L5" s="1"/>
  <c r="B8" l="1"/>
  <c r="G28" i="8"/>
  <c r="G23"/>
  <c r="G18"/>
  <c r="G15"/>
  <c r="G9"/>
  <c r="G10" s="1"/>
  <c r="B7"/>
  <c r="B3"/>
  <c r="D56" i="3" l="1"/>
  <c r="I73"/>
  <c r="H73" l="1"/>
  <c r="D53" s="1"/>
  <c r="C46" l="1"/>
  <c r="D54" l="1"/>
  <c r="D55" s="1"/>
  <c r="B15" i="1" l="1"/>
  <c r="B13" l="1"/>
  <c r="B9" l="1"/>
  <c r="B24" l="1"/>
  <c r="B23" l="1"/>
  <c r="B22" l="1"/>
  <c r="B21"/>
  <c r="J4" s="1"/>
  <c r="L4" s="1"/>
  <c r="B19" l="1"/>
  <c r="B11"/>
  <c r="J3" s="1"/>
  <c r="L3" s="1"/>
  <c r="B3" l="1"/>
  <c r="B18" l="1"/>
  <c r="B17"/>
  <c r="B16"/>
  <c r="B14" l="1"/>
  <c r="B10" l="1"/>
  <c r="E13" s="1"/>
  <c r="B7" l="1"/>
  <c r="B5" l="1"/>
  <c r="B4" l="1"/>
  <c r="B2" l="1"/>
  <c r="E12" s="1"/>
  <c r="B1" l="1"/>
  <c r="E10" s="1"/>
  <c r="B12" l="1"/>
  <c r="B6" l="1"/>
  <c r="J2" s="1"/>
  <c r="L2" s="1"/>
  <c r="J18" s="1"/>
  <c r="B29" l="1"/>
  <c r="E11"/>
  <c r="E15" s="1"/>
  <c r="N2" l="1"/>
  <c r="B30" l="1"/>
  <c r="B32" s="1"/>
</calcChain>
</file>

<file path=xl/sharedStrings.xml><?xml version="1.0" encoding="utf-8"?>
<sst xmlns="http://schemas.openxmlformats.org/spreadsheetml/2006/main" count="257" uniqueCount="163">
  <si>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</si>
  <si>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</si>
  <si>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</si>
  <si>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</si>
  <si>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</si>
  <si>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</si>
  <si>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</si>
  <si>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</si>
  <si>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</si>
  <si>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</si>
  <si>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</si>
  <si>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</si>
  <si>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</si>
  <si>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</si>
  <si>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</si>
  <si>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</si>
  <si>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</si>
  <si>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</si>
  <si>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</si>
  <si>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</si>
  <si>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</si>
  <si>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</si>
  <si>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</si>
  <si>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</si>
  <si>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</si>
  <si>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</si>
  <si>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</si>
  <si>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</si>
  <si>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</si>
  <si>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</si>
  <si>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 xml:space="preserve"> </t>
  </si>
  <si>
    <t>NAME</t>
  </si>
  <si>
    <t>DATE</t>
  </si>
  <si>
    <t>AMOUNT</t>
  </si>
  <si>
    <t>DESCRIPTION</t>
  </si>
  <si>
    <t>MANOJ POPTANI</t>
  </si>
  <si>
    <t>RAJA SURYA</t>
  </si>
  <si>
    <t xml:space="preserve">SAMEER </t>
  </si>
  <si>
    <t>RAKESH</t>
  </si>
  <si>
    <t>AMAR</t>
  </si>
  <si>
    <t>SHANAYA HOSPITAL</t>
  </si>
  <si>
    <t>CAR REPAIR</t>
  </si>
  <si>
    <t>RAVI  RIKSHAW</t>
  </si>
  <si>
    <t>UCHANTIS</t>
  </si>
  <si>
    <t>ACCORDING TO COMPUTER</t>
  </si>
  <si>
    <t>TRANSFER ,  BIKE REPAIR , REST IS CASH , THROUGH  QR CODE</t>
  </si>
  <si>
    <t>OPEN IN TOMRROW</t>
  </si>
  <si>
    <t>=</t>
  </si>
  <si>
    <t>CAR REPAIRING CHARGES</t>
  </si>
  <si>
    <t xml:space="preserve">COVER  (900) &amp; MATTING (1100)   </t>
  </si>
  <si>
    <t>HT WILL  GIVE</t>
  </si>
  <si>
    <t>SV  WILL  GIVE</t>
  </si>
  <si>
    <t>HT WILL  RECEIVE FROM CLAIM</t>
  </si>
  <si>
    <t>SV WILL RECEIVE FROM CLAIM</t>
  </si>
  <si>
    <t>IF EXPECTED  CLAIM  WILL COME</t>
  </si>
  <si>
    <t>SAMEER HOUSE REGULATOR</t>
  </si>
  <si>
    <t>IRON  REPAIR</t>
  </si>
  <si>
    <t>COOCKER  REPAIR</t>
  </si>
  <si>
    <t>FZ PETROL</t>
  </si>
  <si>
    <t>HT SE LENA HAI</t>
  </si>
  <si>
    <t>TICKET TO RAIPUR</t>
  </si>
  <si>
    <t>TICKET TO BILASPUR</t>
  </si>
  <si>
    <t>DENA 4450 THA JISME SE 2000 PAY  TM  SE AYYA</t>
  </si>
  <si>
    <t>S.V SE LENA HAI</t>
  </si>
  <si>
    <t>CHANDINI  AUR KITTU  SE</t>
  </si>
  <si>
    <t>CHANDINI  AUR KITTU  SE MILA KE</t>
  </si>
  <si>
    <t>PAPA SE LENA HAI</t>
  </si>
  <si>
    <t>HAND  WASH</t>
  </si>
  <si>
    <t>CHOTE  BABU  KE  KAPDE</t>
  </si>
  <si>
    <t>INTERNET RECHARGE</t>
  </si>
  <si>
    <t>CASH</t>
  </si>
  <si>
    <t>NOVICE</t>
  </si>
  <si>
    <t>NISAR STATIONARY</t>
  </si>
  <si>
    <t>TOTAL S TRANSFER</t>
  </si>
  <si>
    <t xml:space="preserve">APOLLO </t>
  </si>
  <si>
    <t>SANJEVNEE</t>
  </si>
  <si>
    <t>VOLINI + TABLET</t>
  </si>
  <si>
    <t>POWDER CASH</t>
  </si>
  <si>
    <t>BY RAKESH</t>
  </si>
  <si>
    <t>GANYARI HOSPITAL</t>
  </si>
  <si>
    <t>APOLLO FILE</t>
  </si>
  <si>
    <t>XRAY</t>
  </si>
  <si>
    <t>BY SAMEER</t>
  </si>
  <si>
    <t>BIKE REPAIR</t>
  </si>
  <si>
    <t>MUNIM VINU</t>
  </si>
  <si>
    <t>RAJA TOLWANI</t>
  </si>
  <si>
    <t>SAMEER MOTWANI</t>
  </si>
  <si>
    <t>SHANAYA HOPITAL</t>
  </si>
  <si>
    <t>WALKIE KA SAMMY</t>
  </si>
  <si>
    <t>HOME EXPENSES</t>
  </si>
  <si>
    <t>CAR</t>
  </si>
  <si>
    <t>RAKESH MOTWANI</t>
  </si>
  <si>
    <t>RAVI RIKSHAW</t>
  </si>
  <si>
    <t>RAJA UNCLE</t>
  </si>
  <si>
    <t>COIN,TYRE, CASH</t>
  </si>
  <si>
    <t>CASH (CASH OF SUNDAY BY SAMMY)</t>
  </si>
  <si>
    <t>RAJA</t>
  </si>
  <si>
    <t>OVER ALL</t>
  </si>
  <si>
    <t>GOOD BY RAJA OVERALL</t>
  </si>
  <si>
    <t>APROX</t>
  </si>
  <si>
    <t>TOTAL LENA HAI</t>
  </si>
  <si>
    <t>TOTAL HISAB HONE KE BAAD</t>
  </si>
  <si>
    <t>AB TOTAL LENA HAI</t>
  </si>
  <si>
    <t>cash</t>
  </si>
  <si>
    <t>RIDDERS</t>
  </si>
  <si>
    <t>TUK TUK SENIOUR</t>
  </si>
  <si>
    <t>DOG CAR</t>
  </si>
  <si>
    <t>PANDA CAR</t>
  </si>
  <si>
    <t>BOOMER CAR</t>
  </si>
  <si>
    <t>ELEPHNAT CAR</t>
  </si>
  <si>
    <t>MINNION CAR</t>
  </si>
  <si>
    <t>HECTOR</t>
  </si>
  <si>
    <t>WALKERS</t>
  </si>
  <si>
    <t>CHETAK  YUVRAJ</t>
  </si>
  <si>
    <t>8 BEBD STAR CP M</t>
  </si>
  <si>
    <t>CHEAP CP (M)</t>
  </si>
  <si>
    <t>S/H GRIP (M)</t>
  </si>
  <si>
    <t>S/H GRIP (PL)</t>
  </si>
  <si>
    <t>SNR C/P PINKY</t>
  </si>
  <si>
    <t>SNR P/C PINKY</t>
  </si>
  <si>
    <t>SNR P/C HOOD</t>
  </si>
  <si>
    <t>SNR P/C</t>
  </si>
  <si>
    <t>JNR P/C CW</t>
  </si>
  <si>
    <t xml:space="preserve">JNR C/P CW </t>
  </si>
  <si>
    <t>TINY WALKER</t>
  </si>
  <si>
    <t>GUDDA CP (M)</t>
  </si>
  <si>
    <t>BIKE</t>
  </si>
  <si>
    <t>PANTHER</t>
  </si>
  <si>
    <t>TRICYCLE</t>
  </si>
  <si>
    <t>RAMBO</t>
  </si>
  <si>
    <t>CASH WE HAVE</t>
  </si>
  <si>
    <t>PAKKA</t>
  </si>
  <si>
    <t>CASH WE WILL GIVE THEM</t>
  </si>
  <si>
    <t>ITEM NAME</t>
  </si>
  <si>
    <t>PURCHASE PRICE</t>
  </si>
  <si>
    <t>OUR NUMBER</t>
  </si>
  <si>
    <t>AVAILABLE QTY</t>
  </si>
  <si>
    <t>PALNA</t>
  </si>
  <si>
    <t>HORSE</t>
  </si>
  <si>
    <t>PINKY DLX HOOD</t>
  </si>
  <si>
    <t>LAMBI</t>
  </si>
  <si>
    <t>SOHAM CHAMPA PAYMENT</t>
  </si>
  <si>
    <t>]</t>
  </si>
  <si>
    <t>DINO</t>
  </si>
  <si>
    <t>RAFTAR EVA</t>
  </si>
  <si>
    <t>MINI BOOMER</t>
  </si>
  <si>
    <t>SUPER RIDER</t>
  </si>
  <si>
    <t>NM-555</t>
  </si>
  <si>
    <t>SUPER RAMBO</t>
  </si>
  <si>
    <t>PIANO GLOW WALKER</t>
  </si>
  <si>
    <t>BOOSTER</t>
  </si>
  <si>
    <t>ROBO CAR</t>
  </si>
  <si>
    <t>BIG PANDA CAR</t>
  </si>
  <si>
    <t>bvh</t>
  </si>
  <si>
    <t>pvc</t>
  </si>
  <si>
    <t>PVC</t>
  </si>
  <si>
    <t>BVH</t>
  </si>
  <si>
    <t>BVH + MARGIN</t>
  </si>
  <si>
    <t>TOY VILLA</t>
  </si>
  <si>
    <t>CASH WE REQUIRED</t>
  </si>
  <si>
    <t>IN BANK WE REQUIRED</t>
  </si>
  <si>
    <t>IN BANK WE HAVE</t>
  </si>
  <si>
    <t>CASH REQUIRED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</si>
</sst>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0" fillId="0" borderId="1" applyNumberFormat="0" applyFill="0" applyAlignment="0" applyProtection="0"/>
    <xf numFmtId="9" fontId="14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0" fillId="0" borderId="1" xfId="2" applyAlignment="1">
      <alignment horizontal="center"/>
    </xf>
    <xf numFmtId="0" fontId="13" fillId="0" borderId="0" xfId="0" applyFont="1"/>
    <xf numFmtId="0" fontId="10" fillId="0" borderId="1" xfId="2"/>
    <xf numFmtId="1" fontId="14" fillId="0" borderId="0" xfId="3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">
    <cellStyle name="Heading 1" xfId="2" builtinId="16"/>
    <cellStyle name="Hyperlink" xfId="1" builtinId="8"/>
    <cellStyle name="Normal" xfId="0" builtinId="0"/>
    <cellStyle name="Percent" xfId="3" builtinId="5"/>
  </cellStyles>
  <dxfs count="8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</dxf>
    <dxf>
      <font>
        <color rgb="FFFF0000"/>
      </font>
      <fill>
        <patternFill>
          <bgColor theme="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externalLink" Target="externalLinks/externalLink17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2.xml"/><Relationship Id="rId34" Type="http://schemas.openxmlformats.org/officeDocument/2006/relationships/externalLink" Target="externalLinks/externalLink25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24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5.xml"/><Relationship Id="rId32" Type="http://schemas.openxmlformats.org/officeDocument/2006/relationships/externalLink" Target="externalLinks/externalLink23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externalLink" Target="externalLinks/externalLink14.xml"/><Relationship Id="rId28" Type="http://schemas.openxmlformats.org/officeDocument/2006/relationships/externalLink" Target="externalLinks/externalLink19.xml"/><Relationship Id="rId36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31" Type="http://schemas.openxmlformats.org/officeDocument/2006/relationships/externalLink" Target="externalLinks/externalLink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externalLink" Target="externalLinks/externalLink13.xml"/><Relationship Id="rId27" Type="http://schemas.openxmlformats.org/officeDocument/2006/relationships/externalLink" Target="externalLinks/externalLink18.xml"/><Relationship Id="rId30" Type="http://schemas.openxmlformats.org/officeDocument/2006/relationships/externalLink" Target="externalLinks/externalLink21.xml"/><Relationship Id="rId35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NOVIC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NISAR%20STATIONAR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32165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82102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11074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99150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2100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4284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3143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11716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102280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6800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100455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167449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24596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16688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1381488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zoomScale="80" zoomScaleNormal="80" workbookViewId="0">
      <selection activeCell="K3" sqref="K3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5" max="5" width="12.28515625" customWidth="1"/>
    <col min="6" max="6" width="20.140625" customWidth="1"/>
    <col min="7" max="7" width="6.140625" customWidth="1"/>
    <col min="8" max="8" width="6.5703125" customWidth="1"/>
    <col min="9" max="9" width="42.28515625" customWidth="1"/>
    <col min="10" max="10" width="19.5703125" customWidth="1"/>
    <col min="11" max="11" width="21.7109375" customWidth="1"/>
    <col min="12" max="12" width="27.85546875" customWidth="1"/>
    <col min="13" max="13" width="20" customWidth="1"/>
    <col min="14" max="14" width="19" customWidth="1"/>
  </cols>
  <sheetData>
    <row r="1" spans="1:14" ht="24" thickBot="1">
      <c r="A1" s="2" t="s">
        <v>0</v>
      </c>
      <c r="B1" s="3">
        <f>[1]Sheet1!$E$38</f>
        <v>0</v>
      </c>
      <c r="D1" s="23"/>
      <c r="E1" s="23"/>
      <c r="F1" s="23"/>
      <c r="G1" s="23"/>
      <c r="H1" s="23"/>
      <c r="I1" s="29"/>
      <c r="J1" s="29" t="s">
        <v>24</v>
      </c>
      <c r="K1" s="29" t="s">
        <v>131</v>
      </c>
      <c r="L1" s="31" t="s">
        <v>132</v>
      </c>
    </row>
    <row r="2" spans="1:14" ht="24" thickTop="1">
      <c r="A2" s="2" t="s">
        <v>1</v>
      </c>
      <c r="B2" s="3">
        <f>[2]Sheet1!$E$38</f>
        <v>32165</v>
      </c>
      <c r="D2" s="23"/>
      <c r="E2" s="23"/>
      <c r="F2" s="23"/>
      <c r="G2" s="23"/>
      <c r="H2" s="23"/>
      <c r="I2" s="23" t="s">
        <v>4</v>
      </c>
      <c r="J2" s="24">
        <f>B6</f>
        <v>11074</v>
      </c>
      <c r="K2" s="13"/>
      <c r="L2" s="8">
        <f>J2-K2</f>
        <v>11074</v>
      </c>
      <c r="N2" s="11">
        <f>SUM(L2:L5)</f>
        <v>49021</v>
      </c>
    </row>
    <row r="3" spans="1:14" ht="23.25">
      <c r="A3" s="2" t="s">
        <v>13</v>
      </c>
      <c r="B3" s="3">
        <f>[3]Sheet1!$E$38</f>
        <v>0</v>
      </c>
      <c r="D3" s="23"/>
      <c r="E3" s="23"/>
      <c r="F3" s="23"/>
      <c r="G3" s="23"/>
      <c r="H3" s="23"/>
      <c r="I3" s="23" t="s">
        <v>15</v>
      </c>
      <c r="J3" s="24">
        <f>B11</f>
        <v>4284</v>
      </c>
      <c r="K3" s="13"/>
      <c r="L3" s="8">
        <f>J3-K3</f>
        <v>4284</v>
      </c>
      <c r="N3" s="8"/>
    </row>
    <row r="4" spans="1:14" ht="23.25">
      <c r="A4" s="2" t="s">
        <v>2</v>
      </c>
      <c r="B4" s="2">
        <f>[4]Sheet1!$E$38</f>
        <v>82102</v>
      </c>
      <c r="D4" s="23"/>
      <c r="E4" s="23"/>
      <c r="F4" s="23"/>
      <c r="G4" s="23"/>
      <c r="H4" s="23"/>
      <c r="I4" s="23" t="s">
        <v>158</v>
      </c>
      <c r="J4" s="24">
        <f>B21</f>
        <v>24596</v>
      </c>
      <c r="K4" s="13"/>
      <c r="L4" s="8">
        <f t="shared" ref="L4:L6" si="0">J4-K4</f>
        <v>24596</v>
      </c>
      <c r="N4" s="8"/>
    </row>
    <row r="5" spans="1:14" ht="23.25">
      <c r="A5" s="2" t="s">
        <v>3</v>
      </c>
      <c r="B5" s="2">
        <f>[5]Sheet1!$E$38</f>
        <v>0</v>
      </c>
      <c r="D5" s="23"/>
      <c r="E5" s="23"/>
      <c r="F5" s="23"/>
      <c r="G5" s="23"/>
      <c r="H5" s="23"/>
      <c r="I5" s="23" t="s">
        <v>71</v>
      </c>
      <c r="J5" s="24">
        <f>B25</f>
        <v>16688</v>
      </c>
      <c r="K5" s="8">
        <v>7621</v>
      </c>
      <c r="L5" s="8">
        <f t="shared" si="0"/>
        <v>9067</v>
      </c>
      <c r="N5" s="8"/>
    </row>
    <row r="6" spans="1:14" ht="23.25">
      <c r="A6" s="2" t="s">
        <v>4</v>
      </c>
      <c r="B6" s="2">
        <f>[6]Sheet1!$E$38</f>
        <v>11074</v>
      </c>
      <c r="D6" s="23"/>
      <c r="E6" s="23"/>
      <c r="F6" s="23"/>
      <c r="G6" s="23"/>
      <c r="H6" s="23"/>
      <c r="I6" s="23" t="s">
        <v>70</v>
      </c>
      <c r="J6" s="24">
        <v>200000</v>
      </c>
      <c r="L6" s="8">
        <f t="shared" si="0"/>
        <v>200000</v>
      </c>
      <c r="N6" s="8"/>
    </row>
    <row r="7" spans="1:14" ht="23.25">
      <c r="A7" s="2" t="s">
        <v>5</v>
      </c>
      <c r="B7" s="2">
        <f>[7]Sheet1!$E$38</f>
        <v>99150</v>
      </c>
      <c r="D7" s="23"/>
      <c r="E7" s="23"/>
      <c r="F7" s="23"/>
      <c r="G7" s="23"/>
      <c r="H7" s="23"/>
      <c r="I7" s="23"/>
      <c r="J7" s="24"/>
      <c r="L7" s="8"/>
    </row>
    <row r="8" spans="1:14" ht="23.25">
      <c r="A8" s="2" t="s">
        <v>6</v>
      </c>
      <c r="B8" s="2">
        <f>[8]Sheet1!$E$38</f>
        <v>2100</v>
      </c>
      <c r="D8" s="23"/>
      <c r="E8" s="23"/>
      <c r="F8" s="23"/>
      <c r="G8" s="23"/>
      <c r="H8" s="23"/>
      <c r="I8" s="23"/>
      <c r="J8" s="24"/>
    </row>
    <row r="9" spans="1:14" ht="23.25">
      <c r="A9" s="2" t="s">
        <v>7</v>
      </c>
      <c r="B9" s="2">
        <f>[9]Sheet1!$E$38</f>
        <v>0</v>
      </c>
      <c r="D9" s="23"/>
      <c r="E9" s="23"/>
      <c r="F9" s="23"/>
      <c r="G9" s="23"/>
      <c r="H9" s="23"/>
      <c r="I9" s="23"/>
      <c r="J9" s="24"/>
    </row>
    <row r="10" spans="1:14" ht="23.25">
      <c r="A10" s="2" t="s">
        <v>8</v>
      </c>
      <c r="B10" s="2">
        <f>[10]Sheet1!$E$38</f>
        <v>0</v>
      </c>
      <c r="D10" s="23"/>
      <c r="E10" s="23">
        <f>SUM(B1,B3,B4,B5,B8,B9,B13,B17,B19,B20,B22,B23)</f>
        <v>95918</v>
      </c>
      <c r="F10" s="23" t="s">
        <v>22</v>
      </c>
      <c r="G10" s="23"/>
      <c r="H10" s="26"/>
      <c r="I10" s="23"/>
      <c r="J10" s="24"/>
      <c r="N10" s="8"/>
    </row>
    <row r="11" spans="1:14" ht="23.25">
      <c r="A11" s="2" t="s">
        <v>15</v>
      </c>
      <c r="B11" s="2">
        <f>[11]Sheet1!$E$38</f>
        <v>4284</v>
      </c>
      <c r="D11" s="23"/>
      <c r="E11" s="23">
        <f>SUM(B6,B12,B11,B21,B25,B28)</f>
        <v>59785</v>
      </c>
      <c r="F11" s="23" t="s">
        <v>20</v>
      </c>
      <c r="G11" s="23"/>
      <c r="H11" s="26"/>
      <c r="I11" s="23"/>
      <c r="J11" s="24"/>
      <c r="K11" s="24"/>
      <c r="L11" s="25"/>
    </row>
    <row r="12" spans="1:14" ht="23.25">
      <c r="A12" s="2" t="s">
        <v>9</v>
      </c>
      <c r="B12" s="2">
        <f>[12]Sheet1!$E$38</f>
        <v>3143</v>
      </c>
      <c r="D12" s="23"/>
      <c r="E12" s="23">
        <f>SUM(B2,B7,B14,B16,B18)</f>
        <v>501499</v>
      </c>
      <c r="F12" s="23" t="s">
        <v>21</v>
      </c>
      <c r="G12" s="23"/>
      <c r="H12" s="26"/>
      <c r="I12" s="23"/>
      <c r="J12" s="11"/>
      <c r="K12" t="s">
        <v>159</v>
      </c>
    </row>
    <row r="13" spans="1:14" ht="23.25">
      <c r="A13" s="2" t="s">
        <v>10</v>
      </c>
      <c r="B13" s="2">
        <f>[13]Sheet1!$E$38</f>
        <v>11716</v>
      </c>
      <c r="D13" s="23"/>
      <c r="E13" s="23">
        <f>SUM(B15,B10,B24)</f>
        <v>6800</v>
      </c>
      <c r="F13" s="23" t="s">
        <v>23</v>
      </c>
      <c r="G13" s="23"/>
      <c r="H13" s="23"/>
      <c r="I13" s="23"/>
      <c r="J13" s="11">
        <f>SUM(K2:K10)</f>
        <v>7621</v>
      </c>
      <c r="K13" t="s">
        <v>160</v>
      </c>
    </row>
    <row r="14" spans="1:14" ht="23.25">
      <c r="A14" s="2" t="s">
        <v>11</v>
      </c>
      <c r="B14" s="2">
        <f>[14]Sheet1!$E$38</f>
        <v>102280</v>
      </c>
      <c r="D14" s="23"/>
      <c r="E14" s="23"/>
      <c r="F14" s="23"/>
      <c r="G14" s="23"/>
      <c r="H14" s="23"/>
      <c r="I14" s="23"/>
      <c r="J14" s="11"/>
    </row>
    <row r="15" spans="1:14" ht="23.25">
      <c r="A15" s="2" t="s">
        <v>12</v>
      </c>
      <c r="B15" s="2">
        <f>[15]Sheet1!$E$38</f>
        <v>6800</v>
      </c>
      <c r="D15" s="23"/>
      <c r="E15" s="26">
        <f>SUM(E10:E13)</f>
        <v>664002</v>
      </c>
      <c r="F15" s="26" t="s">
        <v>24</v>
      </c>
      <c r="G15" s="23"/>
      <c r="H15" s="23"/>
      <c r="I15" s="23"/>
      <c r="J15" s="11">
        <f>SUM(9500+160)</f>
        <v>9660</v>
      </c>
      <c r="K15" t="s">
        <v>130</v>
      </c>
    </row>
    <row r="16" spans="1:14" ht="23.25">
      <c r="A16" s="2" t="s">
        <v>16</v>
      </c>
      <c r="B16" s="2">
        <f>[16]Sheet1!$E$38</f>
        <v>100455</v>
      </c>
      <c r="D16" s="23"/>
      <c r="E16" s="23"/>
      <c r="F16" s="23"/>
      <c r="G16" s="23"/>
      <c r="H16" s="23"/>
      <c r="I16" s="27"/>
      <c r="J16" s="11">
        <v>43158</v>
      </c>
      <c r="K16" t="s">
        <v>161</v>
      </c>
    </row>
    <row r="17" spans="1:18" ht="23.25">
      <c r="A17" s="2" t="s">
        <v>17</v>
      </c>
      <c r="B17" s="2">
        <f>[17]Sheet1!$E$38</f>
        <v>0</v>
      </c>
      <c r="D17" s="23"/>
      <c r="E17" s="23"/>
      <c r="F17" s="23"/>
      <c r="G17" s="23"/>
      <c r="H17" s="23"/>
      <c r="I17" s="24"/>
      <c r="J17" s="24"/>
      <c r="K17" s="28"/>
      <c r="L17" s="28"/>
    </row>
    <row r="18" spans="1:18" ht="23.25">
      <c r="A18" s="2" t="s">
        <v>18</v>
      </c>
      <c r="B18" s="6">
        <f>[18]Sheet1!$E$38</f>
        <v>167449</v>
      </c>
      <c r="D18" s="23"/>
      <c r="E18" s="23"/>
      <c r="F18" s="23"/>
      <c r="G18" s="23"/>
      <c r="H18" s="23"/>
      <c r="J18" s="24">
        <f>SUM(L2:L6)-J12</f>
        <v>249021</v>
      </c>
      <c r="K18" t="s">
        <v>162</v>
      </c>
    </row>
    <row r="19" spans="1:18" ht="23.25">
      <c r="A19" s="2" t="s">
        <v>19</v>
      </c>
      <c r="B19" s="6">
        <f>[19]Sheet1!$E$38</f>
        <v>0</v>
      </c>
      <c r="D19" s="23"/>
      <c r="E19" s="23"/>
      <c r="F19" s="23"/>
      <c r="G19" s="23"/>
      <c r="H19" s="23"/>
      <c r="I19" s="30"/>
      <c r="J19" s="24">
        <f>J13-J16</f>
        <v>-35537</v>
      </c>
      <c r="K19" t="s">
        <v>160</v>
      </c>
    </row>
    <row r="20" spans="1:18" ht="23.25">
      <c r="A20" s="2" t="s">
        <v>25</v>
      </c>
      <c r="B20" s="9">
        <f>[20]Sheet1!$E$38</f>
        <v>0</v>
      </c>
      <c r="D20" s="23"/>
      <c r="E20" s="23"/>
      <c r="F20" s="23"/>
      <c r="G20" s="23"/>
      <c r="H20" s="23"/>
      <c r="I20" s="25"/>
      <c r="J20" s="24"/>
    </row>
    <row r="21" spans="1:18" ht="23.25">
      <c r="A21" s="2" t="s">
        <v>26</v>
      </c>
      <c r="B21" s="9">
        <f>[21]Sheet1!$E$38</f>
        <v>24596</v>
      </c>
      <c r="D21" s="23"/>
      <c r="E21" s="23"/>
      <c r="F21" s="23"/>
      <c r="G21" s="23"/>
      <c r="H21" s="23"/>
      <c r="I21" s="24"/>
      <c r="J21" s="24"/>
    </row>
    <row r="22" spans="1:18" ht="23.25">
      <c r="A22" s="2" t="s">
        <v>27</v>
      </c>
      <c r="B22" s="9">
        <f>[22]Sheet1!$E$38</f>
        <v>0</v>
      </c>
      <c r="D22" s="23"/>
      <c r="E22" s="23"/>
      <c r="F22" s="23"/>
      <c r="G22" s="23"/>
      <c r="H22" s="23"/>
      <c r="I22" s="11"/>
      <c r="R22" t="s">
        <v>142</v>
      </c>
    </row>
    <row r="23" spans="1:18" ht="23.25">
      <c r="A23" s="2" t="s">
        <v>28</v>
      </c>
      <c r="B23" s="9">
        <f>[23]Sheet1!$E$38</f>
        <v>0</v>
      </c>
      <c r="I23" s="8"/>
    </row>
    <row r="24" spans="1:18" ht="23.25">
      <c r="A24" s="2" t="s">
        <v>29</v>
      </c>
      <c r="B24" s="9">
        <f>[24]Sheet1!$E$38</f>
        <v>0</v>
      </c>
      <c r="G24" s="7"/>
      <c r="I24" s="11"/>
      <c r="J24" s="8"/>
    </row>
    <row r="25" spans="1:18" ht="23.25">
      <c r="A25" s="2" t="s">
        <v>71</v>
      </c>
      <c r="B25" s="9">
        <f>[25]Sheet1!$E$38</f>
        <v>16688</v>
      </c>
      <c r="I25" s="7"/>
      <c r="J25" s="8"/>
    </row>
    <row r="26" spans="1:18" ht="23.25">
      <c r="A26" s="2"/>
      <c r="B26" s="9"/>
      <c r="I26" s="7"/>
    </row>
    <row r="27" spans="1:18" ht="23.25">
      <c r="A27" s="2"/>
      <c r="B27" s="9"/>
    </row>
    <row r="28" spans="1:18" ht="23.25">
      <c r="A28" s="2" t="s">
        <v>72</v>
      </c>
      <c r="B28" s="9">
        <f>[26]Sheet1!$E$38</f>
        <v>0</v>
      </c>
    </row>
    <row r="29" spans="1:18" ht="23.25">
      <c r="B29" s="1">
        <f>SUM(B1:B28)</f>
        <v>664002</v>
      </c>
    </row>
    <row r="30" spans="1:18" ht="23.25">
      <c r="B30" s="1">
        <f>[27]Sheet5!$G$1</f>
        <v>1381488</v>
      </c>
    </row>
    <row r="32" spans="1:18" ht="21">
      <c r="A32" s="4" t="s">
        <v>14</v>
      </c>
      <c r="B32" s="5">
        <f>B30-B29</f>
        <v>717486</v>
      </c>
    </row>
    <row r="41" spans="1:2">
      <c r="A41" s="12"/>
      <c r="B41" s="12"/>
    </row>
    <row r="42" spans="1:2">
      <c r="A42" s="7"/>
      <c r="B42" s="7"/>
    </row>
    <row r="47" spans="1:2">
      <c r="A47" s="7"/>
      <c r="B47" s="7"/>
    </row>
  </sheetData>
  <conditionalFormatting sqref="J18">
    <cfRule type="cellIs" dxfId="7" priority="6" operator="lessThan">
      <formula>0</formula>
    </cfRule>
    <cfRule type="cellIs" dxfId="6" priority="5" operator="greaterThan">
      <formula>0</formula>
    </cfRule>
  </conditionalFormatting>
  <conditionalFormatting sqref="J19">
    <cfRule type="cellIs" dxfId="5" priority="2" operator="lessThan">
      <formula>0</formula>
    </cfRule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>
      <selection activeCell="D22" sqref="D22"/>
    </sheetView>
  </sheetViews>
  <sheetFormatPr defaultRowHeight="15"/>
  <cols>
    <col min="1" max="1" width="22.28515625" customWidth="1"/>
    <col min="2" max="2" width="15.42578125" customWidth="1"/>
    <col min="3" max="3" width="30.5703125" customWidth="1"/>
    <col min="4" max="4" width="38.7109375" customWidth="1"/>
    <col min="5" max="5" width="29.85546875" customWidth="1"/>
    <col min="8" max="8" width="12.140625" bestFit="1" customWidth="1"/>
  </cols>
  <sheetData>
    <row r="1" spans="1:8" ht="26.25">
      <c r="C1" s="20" t="s">
        <v>85</v>
      </c>
    </row>
    <row r="2" spans="1:8">
      <c r="A2" t="s">
        <v>73</v>
      </c>
      <c r="B2" s="8">
        <v>55000</v>
      </c>
      <c r="C2" s="15">
        <v>44281</v>
      </c>
    </row>
    <row r="3" spans="1:8">
      <c r="A3" t="s">
        <v>74</v>
      </c>
      <c r="B3" s="8">
        <v>10000</v>
      </c>
      <c r="C3" s="8"/>
      <c r="D3" t="s">
        <v>78</v>
      </c>
    </row>
    <row r="4" spans="1:8">
      <c r="A4" s="12" t="s">
        <v>75</v>
      </c>
      <c r="B4" s="13">
        <v>1800</v>
      </c>
      <c r="C4" s="13"/>
      <c r="D4" t="s">
        <v>78</v>
      </c>
    </row>
    <row r="5" spans="1:8">
      <c r="A5" t="s">
        <v>76</v>
      </c>
      <c r="B5" s="8">
        <v>30</v>
      </c>
      <c r="C5" s="8"/>
      <c r="D5" t="s">
        <v>78</v>
      </c>
    </row>
    <row r="6" spans="1:8">
      <c r="A6" t="s">
        <v>70</v>
      </c>
      <c r="B6" s="8">
        <v>2000</v>
      </c>
      <c r="C6" s="15">
        <v>44653</v>
      </c>
      <c r="D6" t="s">
        <v>78</v>
      </c>
    </row>
    <row r="7" spans="1:8">
      <c r="A7" t="s">
        <v>77</v>
      </c>
      <c r="B7" s="13">
        <v>120</v>
      </c>
      <c r="C7" s="15">
        <v>44669</v>
      </c>
      <c r="D7" t="s">
        <v>78</v>
      </c>
    </row>
    <row r="8" spans="1:8">
      <c r="A8" t="s">
        <v>79</v>
      </c>
      <c r="B8" s="13">
        <v>250</v>
      </c>
      <c r="C8" s="8"/>
      <c r="D8" t="s">
        <v>82</v>
      </c>
    </row>
    <row r="9" spans="1:8">
      <c r="A9" t="s">
        <v>80</v>
      </c>
      <c r="B9" s="13">
        <v>100</v>
      </c>
      <c r="C9" s="8"/>
      <c r="D9" t="s">
        <v>82</v>
      </c>
    </row>
    <row r="10" spans="1:8">
      <c r="A10" t="s">
        <v>81</v>
      </c>
      <c r="B10" s="13">
        <v>1506</v>
      </c>
      <c r="C10" s="8"/>
      <c r="D10" t="s">
        <v>82</v>
      </c>
    </row>
    <row r="11" spans="1:8">
      <c r="A11" t="s">
        <v>81</v>
      </c>
      <c r="B11" s="13">
        <v>862</v>
      </c>
      <c r="C11" s="8"/>
      <c r="D11" t="s">
        <v>82</v>
      </c>
    </row>
    <row r="12" spans="1:8">
      <c r="A12" t="s">
        <v>83</v>
      </c>
      <c r="B12" s="13">
        <v>570</v>
      </c>
      <c r="C12" s="8"/>
    </row>
    <row r="13" spans="1:8">
      <c r="A13" t="s">
        <v>70</v>
      </c>
      <c r="B13" s="13">
        <v>400</v>
      </c>
      <c r="C13" s="8"/>
      <c r="H13" s="17"/>
    </row>
    <row r="14" spans="1:8">
      <c r="A14" t="s">
        <v>70</v>
      </c>
      <c r="B14" s="13">
        <v>10000</v>
      </c>
      <c r="C14" s="15">
        <v>44706</v>
      </c>
      <c r="D14" s="7"/>
    </row>
    <row r="15" spans="1:8">
      <c r="A15" t="s">
        <v>70</v>
      </c>
      <c r="B15" s="13">
        <v>5000</v>
      </c>
      <c r="C15" s="15">
        <v>44357</v>
      </c>
      <c r="H15" s="16"/>
    </row>
    <row r="16" spans="1:8">
      <c r="A16" t="s">
        <v>70</v>
      </c>
      <c r="B16" s="13">
        <v>15000</v>
      </c>
      <c r="C16" s="15">
        <v>44794</v>
      </c>
    </row>
    <row r="17" spans="1:8">
      <c r="A17" t="s">
        <v>70</v>
      </c>
      <c r="B17" s="13">
        <v>10000</v>
      </c>
      <c r="C17" s="15">
        <v>44735</v>
      </c>
    </row>
    <row r="18" spans="1:8">
      <c r="A18" s="14" t="s">
        <v>70</v>
      </c>
      <c r="B18" s="13">
        <v>500</v>
      </c>
      <c r="C18" s="15">
        <v>44743</v>
      </c>
      <c r="H18" t="s">
        <v>30</v>
      </c>
    </row>
    <row r="19" spans="1:8">
      <c r="A19" t="s">
        <v>70</v>
      </c>
      <c r="B19" s="13">
        <v>12000</v>
      </c>
      <c r="C19" s="15">
        <v>44767</v>
      </c>
    </row>
    <row r="20" spans="1:8">
      <c r="A20" t="s">
        <v>84</v>
      </c>
      <c r="B20" s="13">
        <v>2000</v>
      </c>
      <c r="C20" s="15">
        <v>44814</v>
      </c>
    </row>
    <row r="21" spans="1:8">
      <c r="A21" t="s">
        <v>70</v>
      </c>
      <c r="B21" s="13">
        <v>15000</v>
      </c>
      <c r="C21" s="15">
        <v>44827</v>
      </c>
    </row>
    <row r="22" spans="1:8">
      <c r="A22" t="s">
        <v>70</v>
      </c>
      <c r="B22" s="13">
        <v>15000</v>
      </c>
      <c r="C22" s="15">
        <v>44855</v>
      </c>
    </row>
    <row r="23" spans="1:8">
      <c r="A23" t="s">
        <v>70</v>
      </c>
      <c r="B23" s="13">
        <v>10000</v>
      </c>
      <c r="C23" s="15">
        <v>44875</v>
      </c>
      <c r="D23" t="s">
        <v>99</v>
      </c>
    </row>
    <row r="24" spans="1:8">
      <c r="A24" t="s">
        <v>70</v>
      </c>
      <c r="B24" s="13">
        <v>5000</v>
      </c>
      <c r="C24" s="15">
        <v>44885</v>
      </c>
      <c r="D24" t="s">
        <v>99</v>
      </c>
    </row>
    <row r="25" spans="1:8">
      <c r="A25" t="s">
        <v>70</v>
      </c>
      <c r="B25" s="13">
        <v>5000</v>
      </c>
      <c r="C25" s="15">
        <v>44916</v>
      </c>
    </row>
    <row r="26" spans="1:8">
      <c r="A26" t="s">
        <v>70</v>
      </c>
      <c r="B26" s="13">
        <v>10000</v>
      </c>
      <c r="C26" s="15">
        <v>44921</v>
      </c>
    </row>
    <row r="27" spans="1:8">
      <c r="A27" t="s">
        <v>70</v>
      </c>
      <c r="B27" s="13">
        <v>300</v>
      </c>
      <c r="C27" s="15">
        <v>44925</v>
      </c>
    </row>
    <row r="28" spans="1:8">
      <c r="A28" t="s">
        <v>70</v>
      </c>
      <c r="B28" s="13">
        <v>2000</v>
      </c>
      <c r="C28" s="15">
        <v>44938</v>
      </c>
    </row>
    <row r="29" spans="1:8">
      <c r="A29" t="s">
        <v>70</v>
      </c>
      <c r="B29" s="13">
        <v>12000</v>
      </c>
      <c r="C29" s="15">
        <v>44585</v>
      </c>
    </row>
    <row r="30" spans="1:8">
      <c r="A30" t="s">
        <v>94</v>
      </c>
      <c r="B30" s="13">
        <v>6000</v>
      </c>
    </row>
    <row r="31" spans="1:8">
      <c r="A31" t="s">
        <v>98</v>
      </c>
      <c r="B31" s="13">
        <v>6838</v>
      </c>
    </row>
    <row r="32" spans="1:8">
      <c r="B32" s="13"/>
    </row>
    <row r="33" spans="1:4">
      <c r="B33" s="7">
        <f>SUM(B2:B31)</f>
        <v>214276</v>
      </c>
    </row>
    <row r="34" spans="1:4">
      <c r="B34" s="12"/>
    </row>
    <row r="40" spans="1:4">
      <c r="A40" s="11" t="s">
        <v>31</v>
      </c>
      <c r="B40" s="11" t="s">
        <v>32</v>
      </c>
      <c r="C40" s="11" t="s">
        <v>33</v>
      </c>
      <c r="D40" s="11" t="s">
        <v>34</v>
      </c>
    </row>
    <row r="41" spans="1:4">
      <c r="A41" t="s">
        <v>35</v>
      </c>
      <c r="C41" s="8">
        <v>6985</v>
      </c>
    </row>
    <row r="42" spans="1:4">
      <c r="A42" t="s">
        <v>36</v>
      </c>
      <c r="C42" s="8">
        <f>SUM(55000+570+400+10000+5000+15000+10000+500+12000+2000+15000+15000+6000+16668+7350)</f>
        <v>170488</v>
      </c>
      <c r="D42" t="s">
        <v>45</v>
      </c>
    </row>
    <row r="43" spans="1:4">
      <c r="A43" t="s">
        <v>37</v>
      </c>
      <c r="C43" s="8">
        <f>8100+500+3360+2900+1328+200+500+1300</f>
        <v>18188</v>
      </c>
    </row>
    <row r="44" spans="1:4">
      <c r="A44" t="s">
        <v>38</v>
      </c>
      <c r="C44" s="8">
        <v>11200</v>
      </c>
    </row>
    <row r="45" spans="1:4">
      <c r="A45" t="s">
        <v>39</v>
      </c>
      <c r="C45" s="8">
        <v>3627</v>
      </c>
      <c r="D45" t="s">
        <v>40</v>
      </c>
    </row>
    <row r="46" spans="1:4">
      <c r="A46" t="s">
        <v>41</v>
      </c>
      <c r="C46" s="8">
        <f>7000+5300</f>
        <v>12300</v>
      </c>
    </row>
    <row r="47" spans="1:4">
      <c r="A47" t="s">
        <v>42</v>
      </c>
      <c r="C47" s="8">
        <v>700</v>
      </c>
    </row>
    <row r="48" spans="1:4">
      <c r="B48" s="4" t="s">
        <v>24</v>
      </c>
      <c r="C48" s="11">
        <f>SUM(C41:C47)</f>
        <v>223488</v>
      </c>
    </row>
    <row r="53" spans="3:4">
      <c r="C53" t="s">
        <v>44</v>
      </c>
      <c r="D53">
        <f>H73-I73</f>
        <v>0</v>
      </c>
    </row>
    <row r="54" spans="3:4">
      <c r="C54" t="s">
        <v>43</v>
      </c>
      <c r="D54">
        <f>C48</f>
        <v>223488</v>
      </c>
    </row>
    <row r="55" spans="3:4">
      <c r="D55">
        <f>D53-D54</f>
        <v>-223488</v>
      </c>
    </row>
    <row r="56" spans="3:4">
      <c r="D56">
        <f>16500+800+600+20+230+5000</f>
        <v>23150</v>
      </c>
    </row>
    <row r="57" spans="3:4">
      <c r="C57" t="s">
        <v>46</v>
      </c>
      <c r="D57" t="s">
        <v>47</v>
      </c>
    </row>
    <row r="73" spans="8:9">
      <c r="H73" s="7">
        <f>SUM(H40:H72)</f>
        <v>0</v>
      </c>
      <c r="I73" s="7">
        <f>SUM(I40:I72)</f>
        <v>0</v>
      </c>
    </row>
    <row r="74" spans="8:9">
      <c r="I7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selection activeCell="G5" sqref="G5"/>
    </sheetView>
  </sheetViews>
  <sheetFormatPr defaultRowHeight="15"/>
  <cols>
    <col min="1" max="1" width="26.140625" customWidth="1"/>
    <col min="2" max="2" width="18.85546875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6">
      <c r="A1" s="11"/>
      <c r="B1" s="11" t="s">
        <v>35</v>
      </c>
      <c r="C1" s="11"/>
      <c r="D1" s="11"/>
      <c r="E1" s="11"/>
      <c r="F1" s="8"/>
    </row>
    <row r="2" spans="1:6">
      <c r="A2" s="8" t="s">
        <v>70</v>
      </c>
      <c r="B2" s="8">
        <v>6985</v>
      </c>
      <c r="C2" s="15">
        <v>44828</v>
      </c>
      <c r="D2" s="15"/>
      <c r="E2" s="8"/>
      <c r="F2" s="8"/>
    </row>
    <row r="3" spans="1:6">
      <c r="A3" s="8"/>
      <c r="B3" s="8"/>
      <c r="C3" s="15"/>
      <c r="D3" s="15"/>
      <c r="E3" s="8"/>
      <c r="F3" s="8"/>
    </row>
    <row r="4" spans="1:6">
      <c r="A4" s="8"/>
      <c r="B4" s="8"/>
      <c r="C4" s="8"/>
      <c r="D4" s="15"/>
      <c r="E4" s="8"/>
      <c r="F4" s="8"/>
    </row>
    <row r="5" spans="1:6">
      <c r="A5" s="8"/>
      <c r="B5" s="11" t="s">
        <v>86</v>
      </c>
      <c r="C5" s="8"/>
      <c r="D5" s="15"/>
      <c r="E5" s="8"/>
      <c r="F5" s="8"/>
    </row>
    <row r="6" spans="1:6">
      <c r="A6" s="8" t="s">
        <v>70</v>
      </c>
      <c r="B6" s="8">
        <v>8100</v>
      </c>
      <c r="C6" s="8"/>
      <c r="D6" s="15"/>
      <c r="E6" s="8"/>
      <c r="F6" s="8"/>
    </row>
    <row r="7" spans="1:6">
      <c r="A7" s="8" t="s">
        <v>70</v>
      </c>
      <c r="B7" s="8">
        <v>500</v>
      </c>
      <c r="C7" s="8"/>
      <c r="D7" s="15"/>
      <c r="E7" s="8"/>
      <c r="F7" s="8"/>
    </row>
    <row r="8" spans="1:6">
      <c r="A8" s="8" t="s">
        <v>70</v>
      </c>
      <c r="B8" s="8">
        <v>3360</v>
      </c>
      <c r="C8" s="8"/>
      <c r="D8" s="15"/>
      <c r="E8" s="8"/>
      <c r="F8" s="8"/>
    </row>
    <row r="9" spans="1:6">
      <c r="A9" s="8" t="s">
        <v>70</v>
      </c>
      <c r="B9" s="8">
        <v>2900</v>
      </c>
      <c r="C9" s="8"/>
      <c r="D9" s="15"/>
      <c r="E9" s="8"/>
      <c r="F9" s="8"/>
    </row>
    <row r="10" spans="1:6">
      <c r="A10" s="8" t="s">
        <v>88</v>
      </c>
      <c r="B10" s="8">
        <v>500</v>
      </c>
      <c r="C10" s="8"/>
      <c r="D10" s="15"/>
      <c r="E10" s="8"/>
      <c r="F10" s="8"/>
    </row>
    <row r="11" spans="1:6">
      <c r="A11" s="8" t="s">
        <v>70</v>
      </c>
      <c r="B11" s="8">
        <v>1328</v>
      </c>
      <c r="C11" s="8"/>
      <c r="D11" s="15"/>
      <c r="E11" s="8"/>
      <c r="F11" s="8"/>
    </row>
    <row r="12" spans="1:6">
      <c r="A12" s="8" t="s">
        <v>70</v>
      </c>
      <c r="B12" s="8">
        <v>500</v>
      </c>
      <c r="C12" s="8"/>
      <c r="D12" s="15"/>
      <c r="E12" s="8"/>
      <c r="F12" s="8"/>
    </row>
    <row r="13" spans="1:6">
      <c r="A13" s="8" t="s">
        <v>70</v>
      </c>
      <c r="B13" s="8">
        <v>800</v>
      </c>
      <c r="C13" s="8"/>
      <c r="D13" s="15"/>
      <c r="E13" s="8"/>
      <c r="F13" s="8"/>
    </row>
    <row r="14" spans="1:6">
      <c r="A14" s="8" t="s">
        <v>70</v>
      </c>
      <c r="B14" s="8">
        <v>150</v>
      </c>
      <c r="C14" s="8"/>
      <c r="D14" s="15"/>
      <c r="E14" s="8"/>
      <c r="F14" s="8"/>
    </row>
    <row r="15" spans="1:6">
      <c r="A15" s="8"/>
      <c r="B15" s="8"/>
      <c r="C15" s="8"/>
      <c r="D15" s="15"/>
      <c r="E15" s="8" t="s">
        <v>96</v>
      </c>
      <c r="F15" s="8">
        <f>B73</f>
        <v>72549</v>
      </c>
    </row>
    <row r="16" spans="1:6">
      <c r="A16" s="8"/>
      <c r="B16" s="11" t="s">
        <v>91</v>
      </c>
      <c r="C16" s="8"/>
      <c r="D16" s="15"/>
      <c r="E16" s="8" t="s">
        <v>97</v>
      </c>
      <c r="F16" s="8">
        <f>SUM(B2:B3,B6:B13,B17,B20,B14,B23:B24,B27,B30)</f>
        <v>55050</v>
      </c>
    </row>
    <row r="17" spans="1:6">
      <c r="A17" s="8" t="s">
        <v>70</v>
      </c>
      <c r="B17" s="8">
        <v>11200</v>
      </c>
      <c r="C17" s="8"/>
      <c r="D17" s="8"/>
      <c r="F17" s="8"/>
    </row>
    <row r="18" spans="1:6">
      <c r="A18" s="8"/>
      <c r="B18" s="11"/>
      <c r="C18" s="11"/>
      <c r="D18" s="11"/>
      <c r="E18" s="8"/>
      <c r="F18" s="11">
        <f>SUM(F15:F16)</f>
        <v>127599</v>
      </c>
    </row>
    <row r="19" spans="1:6">
      <c r="A19" s="8"/>
      <c r="B19" s="11" t="s">
        <v>39</v>
      </c>
      <c r="C19" s="8"/>
      <c r="D19" s="8"/>
      <c r="E19" s="8"/>
      <c r="F19" s="11"/>
    </row>
    <row r="20" spans="1:6">
      <c r="A20" s="8" t="s">
        <v>87</v>
      </c>
      <c r="B20" s="8">
        <v>3627</v>
      </c>
      <c r="C20" s="8"/>
      <c r="D20" s="8"/>
    </row>
    <row r="21" spans="1:6">
      <c r="A21" s="8"/>
      <c r="B21" s="8"/>
      <c r="C21" s="8"/>
      <c r="D21" s="8"/>
      <c r="F21" s="19"/>
    </row>
    <row r="22" spans="1:6">
      <c r="A22" s="8"/>
      <c r="B22" s="11" t="s">
        <v>89</v>
      </c>
      <c r="C22" s="8"/>
      <c r="D22" s="8"/>
    </row>
    <row r="23" spans="1:6">
      <c r="A23" s="8" t="s">
        <v>90</v>
      </c>
      <c r="B23" s="8">
        <v>7000</v>
      </c>
      <c r="C23" s="8"/>
      <c r="D23" s="8"/>
    </row>
    <row r="24" spans="1:6">
      <c r="A24" s="8"/>
      <c r="B24" s="8">
        <v>5300</v>
      </c>
      <c r="C24" s="8"/>
      <c r="D24" s="8"/>
    </row>
    <row r="25" spans="1:6">
      <c r="A25" s="11"/>
      <c r="B25" s="8"/>
      <c r="C25" s="8"/>
      <c r="D25" s="8"/>
    </row>
    <row r="26" spans="1:6">
      <c r="A26" s="8"/>
      <c r="B26" s="11" t="s">
        <v>92</v>
      </c>
      <c r="C26" s="8"/>
      <c r="D26" s="8"/>
    </row>
    <row r="27" spans="1:6">
      <c r="A27" s="8"/>
      <c r="B27" s="8"/>
      <c r="C27" s="8"/>
      <c r="D27" s="8"/>
    </row>
    <row r="28" spans="1:6">
      <c r="A28" s="8"/>
      <c r="B28" s="8"/>
      <c r="C28" s="8"/>
      <c r="D28" s="8"/>
    </row>
    <row r="29" spans="1:6">
      <c r="A29" s="8"/>
      <c r="B29" s="11" t="s">
        <v>93</v>
      </c>
      <c r="C29" s="8"/>
      <c r="D29" s="8"/>
    </row>
    <row r="30" spans="1:6">
      <c r="A30" s="8" t="s">
        <v>95</v>
      </c>
      <c r="B30" s="8">
        <v>2800</v>
      </c>
      <c r="C30" s="15">
        <v>44906</v>
      </c>
      <c r="D30" s="8"/>
    </row>
    <row r="31" spans="1:6">
      <c r="A31" s="8"/>
      <c r="B31" s="8"/>
      <c r="C31" s="8"/>
      <c r="D31" s="8"/>
    </row>
    <row r="32" spans="1:6">
      <c r="B32" s="7" t="s">
        <v>85</v>
      </c>
    </row>
    <row r="33" spans="1:4">
      <c r="A33" s="12" t="s">
        <v>73</v>
      </c>
      <c r="B33" s="13">
        <v>55000</v>
      </c>
      <c r="C33" s="21">
        <v>44281</v>
      </c>
      <c r="D33" s="12"/>
    </row>
    <row r="34" spans="1:4">
      <c r="A34" s="12" t="s">
        <v>74</v>
      </c>
      <c r="B34" s="13">
        <v>10000</v>
      </c>
      <c r="C34" s="13"/>
      <c r="D34" s="12" t="s">
        <v>78</v>
      </c>
    </row>
    <row r="35" spans="1:4">
      <c r="A35" s="12" t="s">
        <v>75</v>
      </c>
      <c r="B35" s="13">
        <v>1800</v>
      </c>
      <c r="C35" s="13"/>
      <c r="D35" s="12" t="s">
        <v>78</v>
      </c>
    </row>
    <row r="36" spans="1:4">
      <c r="A36" s="12" t="s">
        <v>76</v>
      </c>
      <c r="B36" s="13">
        <v>30</v>
      </c>
      <c r="C36" s="13"/>
      <c r="D36" s="12" t="s">
        <v>78</v>
      </c>
    </row>
    <row r="37" spans="1:4">
      <c r="A37" s="12" t="s">
        <v>70</v>
      </c>
      <c r="B37" s="13">
        <v>2000</v>
      </c>
      <c r="C37" s="21">
        <v>44653</v>
      </c>
      <c r="D37" s="12" t="s">
        <v>78</v>
      </c>
    </row>
    <row r="38" spans="1:4">
      <c r="A38" s="12" t="s">
        <v>77</v>
      </c>
      <c r="B38" s="13">
        <v>120</v>
      </c>
      <c r="C38" s="21">
        <v>44669</v>
      </c>
      <c r="D38" s="12" t="s">
        <v>78</v>
      </c>
    </row>
    <row r="39" spans="1:4">
      <c r="A39" s="12" t="s">
        <v>79</v>
      </c>
      <c r="B39" s="13">
        <v>250</v>
      </c>
      <c r="C39" s="13"/>
      <c r="D39" s="12" t="s">
        <v>82</v>
      </c>
    </row>
    <row r="40" spans="1:4">
      <c r="A40" s="12" t="s">
        <v>80</v>
      </c>
      <c r="B40" s="13">
        <v>100</v>
      </c>
      <c r="C40" s="13"/>
      <c r="D40" s="12" t="s">
        <v>82</v>
      </c>
    </row>
    <row r="41" spans="1:4">
      <c r="A41" s="12" t="s">
        <v>81</v>
      </c>
      <c r="B41" s="13">
        <v>1506</v>
      </c>
      <c r="C41" s="13"/>
      <c r="D41" s="12" t="s">
        <v>82</v>
      </c>
    </row>
    <row r="42" spans="1:4">
      <c r="A42" s="12" t="s">
        <v>81</v>
      </c>
      <c r="B42" s="13">
        <v>862</v>
      </c>
      <c r="C42" s="13"/>
      <c r="D42" s="12" t="s">
        <v>82</v>
      </c>
    </row>
    <row r="43" spans="1:4">
      <c r="A43" s="12" t="s">
        <v>83</v>
      </c>
      <c r="B43" s="13">
        <v>570</v>
      </c>
      <c r="C43" s="13"/>
      <c r="D43" s="12"/>
    </row>
    <row r="44" spans="1:4">
      <c r="A44" s="12" t="s">
        <v>70</v>
      </c>
      <c r="B44" s="13">
        <v>400</v>
      </c>
      <c r="C44" s="13"/>
      <c r="D44" s="12"/>
    </row>
    <row r="45" spans="1:4">
      <c r="A45" s="12" t="s">
        <v>70</v>
      </c>
      <c r="B45" s="13">
        <v>10000</v>
      </c>
      <c r="C45" s="21">
        <v>44706</v>
      </c>
      <c r="D45" s="12"/>
    </row>
    <row r="46" spans="1:4">
      <c r="A46" s="12" t="s">
        <v>70</v>
      </c>
      <c r="B46" s="13">
        <v>5000</v>
      </c>
      <c r="C46" s="21">
        <v>44357</v>
      </c>
      <c r="D46" s="12"/>
    </row>
    <row r="47" spans="1:4">
      <c r="A47" s="12" t="s">
        <v>70</v>
      </c>
      <c r="B47" s="13">
        <v>15000</v>
      </c>
      <c r="C47" s="21">
        <v>44794</v>
      </c>
      <c r="D47" s="12"/>
    </row>
    <row r="48" spans="1:4">
      <c r="A48" s="12" t="s">
        <v>70</v>
      </c>
      <c r="B48" s="13">
        <v>10000</v>
      </c>
      <c r="C48" s="21">
        <v>44735</v>
      </c>
      <c r="D48" s="12"/>
    </row>
    <row r="49" spans="1:4">
      <c r="A49" s="22" t="s">
        <v>70</v>
      </c>
      <c r="B49" s="13">
        <v>500</v>
      </c>
      <c r="C49" s="21">
        <v>44743</v>
      </c>
      <c r="D49" s="12"/>
    </row>
    <row r="50" spans="1:4">
      <c r="A50" s="12" t="s">
        <v>70</v>
      </c>
      <c r="B50" s="13">
        <v>12000</v>
      </c>
      <c r="C50" s="21">
        <v>44767</v>
      </c>
      <c r="D50" s="12"/>
    </row>
    <row r="51" spans="1:4">
      <c r="A51" s="12" t="s">
        <v>84</v>
      </c>
      <c r="B51" s="13">
        <v>2000</v>
      </c>
      <c r="C51" s="21">
        <v>44814</v>
      </c>
      <c r="D51" s="12"/>
    </row>
    <row r="52" spans="1:4">
      <c r="A52" s="12" t="s">
        <v>70</v>
      </c>
      <c r="B52" s="13">
        <v>15000</v>
      </c>
      <c r="C52" s="21">
        <v>44827</v>
      </c>
      <c r="D52" s="12"/>
    </row>
    <row r="53" spans="1:4">
      <c r="A53" s="12" t="s">
        <v>70</v>
      </c>
      <c r="B53" s="13">
        <v>15000</v>
      </c>
      <c r="C53" s="21">
        <v>44855</v>
      </c>
      <c r="D53" s="12"/>
    </row>
    <row r="54" spans="1:4">
      <c r="A54" s="12" t="s">
        <v>70</v>
      </c>
      <c r="B54" s="13">
        <v>10000</v>
      </c>
      <c r="C54" s="21">
        <v>44875</v>
      </c>
      <c r="D54" s="12" t="s">
        <v>99</v>
      </c>
    </row>
    <row r="55" spans="1:4">
      <c r="A55" s="12" t="s">
        <v>70</v>
      </c>
      <c r="B55" s="13">
        <v>5000</v>
      </c>
      <c r="C55" s="21">
        <v>44885</v>
      </c>
      <c r="D55" s="12" t="s">
        <v>99</v>
      </c>
    </row>
    <row r="56" spans="1:4">
      <c r="A56" s="12" t="s">
        <v>70</v>
      </c>
      <c r="B56" s="13">
        <v>5000</v>
      </c>
      <c r="C56" s="21">
        <v>44916</v>
      </c>
      <c r="D56" s="12"/>
    </row>
    <row r="57" spans="1:4">
      <c r="A57" s="12" t="s">
        <v>70</v>
      </c>
      <c r="B57" s="13">
        <v>10000</v>
      </c>
      <c r="C57" s="21">
        <v>44921</v>
      </c>
      <c r="D57" s="12"/>
    </row>
    <row r="58" spans="1:4">
      <c r="A58" s="12" t="s">
        <v>70</v>
      </c>
      <c r="B58" s="13">
        <v>300</v>
      </c>
      <c r="C58" s="21">
        <v>44925</v>
      </c>
      <c r="D58" s="12"/>
    </row>
    <row r="59" spans="1:4">
      <c r="A59" s="12" t="s">
        <v>70</v>
      </c>
      <c r="B59" s="13">
        <v>2000</v>
      </c>
      <c r="C59" s="21">
        <v>44938</v>
      </c>
      <c r="D59" s="12"/>
    </row>
    <row r="60" spans="1:4">
      <c r="A60" s="12" t="s">
        <v>70</v>
      </c>
      <c r="B60" s="13">
        <v>12000</v>
      </c>
      <c r="C60" s="21">
        <v>44585</v>
      </c>
      <c r="D60" s="12"/>
    </row>
    <row r="61" spans="1:4">
      <c r="A61" s="12" t="s">
        <v>94</v>
      </c>
      <c r="B61" s="13">
        <v>6000</v>
      </c>
      <c r="C61" s="12"/>
      <c r="D61" s="12"/>
    </row>
    <row r="62" spans="1:4">
      <c r="A62" s="12" t="s">
        <v>98</v>
      </c>
      <c r="B62" s="13">
        <v>6838</v>
      </c>
      <c r="C62" s="12"/>
      <c r="D62" s="12"/>
    </row>
    <row r="63" spans="1:4">
      <c r="A63" s="12" t="s">
        <v>103</v>
      </c>
      <c r="B63" s="13">
        <v>1700</v>
      </c>
      <c r="C63" s="22">
        <v>44967</v>
      </c>
      <c r="D63" s="12"/>
    </row>
    <row r="64" spans="1:4">
      <c r="A64" s="12" t="s">
        <v>103</v>
      </c>
      <c r="B64" s="13">
        <v>3300</v>
      </c>
      <c r="C64" s="22">
        <v>44973</v>
      </c>
      <c r="D64" s="12"/>
    </row>
    <row r="65" spans="1:3">
      <c r="A65" s="12" t="s">
        <v>103</v>
      </c>
      <c r="B65" s="13">
        <v>10000</v>
      </c>
      <c r="C65" s="14">
        <v>44981</v>
      </c>
    </row>
    <row r="66" spans="1:3">
      <c r="A66" s="12" t="s">
        <v>70</v>
      </c>
      <c r="B66" s="13">
        <v>3000</v>
      </c>
      <c r="C66" s="14">
        <v>44992</v>
      </c>
    </row>
    <row r="67" spans="1:3">
      <c r="A67" s="12" t="s">
        <v>70</v>
      </c>
      <c r="B67" s="13">
        <v>10000</v>
      </c>
      <c r="C67" s="14">
        <v>45005</v>
      </c>
    </row>
    <row r="68" spans="1:3">
      <c r="A68" s="12" t="s">
        <v>70</v>
      </c>
      <c r="B68" s="13">
        <v>11000</v>
      </c>
      <c r="C68" s="14">
        <v>45019</v>
      </c>
    </row>
    <row r="69" spans="1:3">
      <c r="A69" s="12" t="s">
        <v>141</v>
      </c>
      <c r="B69" s="13">
        <v>229</v>
      </c>
      <c r="C69" s="14">
        <v>45023</v>
      </c>
    </row>
    <row r="70" spans="1:3">
      <c r="A70" s="12" t="s">
        <v>70</v>
      </c>
      <c r="B70" s="13">
        <v>5000</v>
      </c>
      <c r="C70" s="14">
        <v>45040</v>
      </c>
    </row>
    <row r="71" spans="1:3">
      <c r="A71" t="s">
        <v>100</v>
      </c>
      <c r="B71" s="11">
        <f>SUM(B33:B70)</f>
        <v>258505</v>
      </c>
    </row>
    <row r="72" spans="1:3">
      <c r="A72" t="s">
        <v>101</v>
      </c>
      <c r="B72" s="13">
        <v>185956</v>
      </c>
    </row>
    <row r="73" spans="1:3">
      <c r="A73" t="s">
        <v>102</v>
      </c>
      <c r="B73" s="11">
        <f>B71-B72</f>
        <v>72549</v>
      </c>
    </row>
  </sheetData>
  <conditionalFormatting sqref="F1:F16">
    <cfRule type="containsText" dxfId="3" priority="1" operator="containsText" text="NOT YET">
      <formula>NOT(ISERROR(SEARCH("NOT YET",F1)))</formula>
    </cfRule>
    <cfRule type="containsText" dxfId="2" priority="2" operator="containsText" text="RECIVED">
      <formula>NOT(ISERROR(SEARCH("RECIVED",F1)))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>
      <selection activeCell="F13" sqref="F13"/>
    </sheetView>
  </sheetViews>
  <sheetFormatPr defaultRowHeight="15"/>
  <cols>
    <col min="1" max="2" width="23.28515625" customWidth="1"/>
    <col min="3" max="3" width="31.28515625" customWidth="1"/>
    <col min="4" max="4" width="18.5703125" customWidth="1"/>
    <col min="5" max="5" width="20.85546875" customWidth="1"/>
    <col min="6" max="6" width="32.140625" customWidth="1"/>
  </cols>
  <sheetData>
    <row r="1" spans="1:14" ht="18.75">
      <c r="A1" s="26" t="s">
        <v>133</v>
      </c>
      <c r="B1" s="26"/>
      <c r="C1" s="26" t="s">
        <v>134</v>
      </c>
      <c r="D1" s="26" t="s">
        <v>135</v>
      </c>
      <c r="E1" s="26" t="s">
        <v>136</v>
      </c>
      <c r="F1" s="26"/>
      <c r="K1" s="7"/>
      <c r="M1" s="11"/>
    </row>
    <row r="2" spans="1:14" ht="18.75">
      <c r="A2" s="11" t="s">
        <v>137</v>
      </c>
      <c r="B2" s="11"/>
      <c r="C2" s="25"/>
      <c r="D2" s="25"/>
      <c r="E2" s="26"/>
      <c r="F2" s="26"/>
      <c r="K2" s="7"/>
      <c r="M2" s="11"/>
    </row>
    <row r="3" spans="1:14">
      <c r="A3" s="8" t="s">
        <v>119</v>
      </c>
      <c r="B3" s="8">
        <v>20</v>
      </c>
      <c r="C3" s="8">
        <v>470</v>
      </c>
      <c r="D3" s="8">
        <v>1360</v>
      </c>
      <c r="F3">
        <f>B3*C3</f>
        <v>9400</v>
      </c>
      <c r="N3" s="8"/>
    </row>
    <row r="4" spans="1:14">
      <c r="A4" s="8" t="s">
        <v>120</v>
      </c>
      <c r="B4" s="8">
        <v>20</v>
      </c>
      <c r="C4" s="8">
        <v>730</v>
      </c>
      <c r="D4" s="8">
        <v>2120</v>
      </c>
      <c r="F4">
        <f>B4*C4</f>
        <v>14600</v>
      </c>
      <c r="N4" s="8"/>
    </row>
    <row r="5" spans="1:14">
      <c r="A5" s="8" t="s">
        <v>118</v>
      </c>
      <c r="B5" s="8">
        <v>20</v>
      </c>
      <c r="C5" s="8">
        <v>680</v>
      </c>
      <c r="D5" s="8">
        <v>1970</v>
      </c>
      <c r="F5">
        <f t="shared" ref="F5:F46" si="0">B5*C5</f>
        <v>13600</v>
      </c>
      <c r="N5" s="8"/>
    </row>
    <row r="6" spans="1:14">
      <c r="A6" s="8" t="s">
        <v>121</v>
      </c>
      <c r="B6" s="8">
        <v>20</v>
      </c>
      <c r="C6" s="8">
        <v>630</v>
      </c>
      <c r="D6" s="8">
        <v>1830</v>
      </c>
      <c r="F6">
        <f t="shared" si="0"/>
        <v>12600</v>
      </c>
      <c r="N6" s="8"/>
    </row>
    <row r="7" spans="1:14">
      <c r="A7" s="8" t="s">
        <v>122</v>
      </c>
      <c r="B7" s="8">
        <v>20</v>
      </c>
      <c r="C7" s="8">
        <v>420</v>
      </c>
      <c r="D7" s="8">
        <v>1220</v>
      </c>
      <c r="F7">
        <f t="shared" si="0"/>
        <v>8400</v>
      </c>
      <c r="N7" s="8"/>
    </row>
    <row r="8" spans="1:14">
      <c r="A8" s="8" t="s">
        <v>123</v>
      </c>
      <c r="B8" s="8">
        <v>20</v>
      </c>
      <c r="C8" s="8">
        <v>420</v>
      </c>
      <c r="D8" s="8">
        <v>1320</v>
      </c>
      <c r="F8">
        <f>B8*C8</f>
        <v>8400</v>
      </c>
      <c r="N8" s="8"/>
    </row>
    <row r="9" spans="1:14">
      <c r="A9" s="8" t="s">
        <v>139</v>
      </c>
      <c r="B9" s="8">
        <v>4</v>
      </c>
      <c r="C9" s="8">
        <v>1015</v>
      </c>
      <c r="D9" s="8">
        <v>2950</v>
      </c>
      <c r="F9">
        <f t="shared" si="0"/>
        <v>4060</v>
      </c>
      <c r="N9" s="8"/>
    </row>
    <row r="10" spans="1:14">
      <c r="A10" s="8" t="s">
        <v>147</v>
      </c>
      <c r="B10" s="8">
        <v>4</v>
      </c>
      <c r="C10" s="8">
        <v>1045</v>
      </c>
      <c r="D10" s="8">
        <v>3030</v>
      </c>
      <c r="F10">
        <f t="shared" si="0"/>
        <v>4180</v>
      </c>
      <c r="N10" s="8"/>
    </row>
    <row r="11" spans="1:14">
      <c r="A11" s="8"/>
      <c r="B11" s="8"/>
      <c r="C11" s="8"/>
      <c r="D11" s="8"/>
      <c r="F11">
        <f t="shared" si="0"/>
        <v>0</v>
      </c>
    </row>
    <row r="12" spans="1:14">
      <c r="A12" s="11" t="s">
        <v>104</v>
      </c>
      <c r="B12" s="11"/>
      <c r="C12" s="8"/>
      <c r="D12" s="8"/>
      <c r="F12">
        <f t="shared" si="0"/>
        <v>0</v>
      </c>
    </row>
    <row r="13" spans="1:14">
      <c r="A13" s="8" t="s">
        <v>105</v>
      </c>
      <c r="B13" s="8">
        <v>4</v>
      </c>
      <c r="C13" s="8">
        <v>940</v>
      </c>
      <c r="D13" s="8">
        <v>2730</v>
      </c>
      <c r="F13">
        <f t="shared" si="0"/>
        <v>3760</v>
      </c>
    </row>
    <row r="14" spans="1:14">
      <c r="A14" s="8" t="s">
        <v>107</v>
      </c>
      <c r="B14" s="8"/>
      <c r="C14" s="8">
        <v>1030</v>
      </c>
      <c r="D14" s="8"/>
      <c r="F14">
        <f t="shared" si="0"/>
        <v>0</v>
      </c>
    </row>
    <row r="15" spans="1:14">
      <c r="A15" s="8" t="s">
        <v>108</v>
      </c>
      <c r="B15" s="8"/>
      <c r="C15" s="8">
        <v>850</v>
      </c>
      <c r="D15" s="8"/>
      <c r="F15">
        <f t="shared" si="0"/>
        <v>0</v>
      </c>
    </row>
    <row r="16" spans="1:14">
      <c r="A16" s="8" t="s">
        <v>109</v>
      </c>
      <c r="B16" s="8"/>
      <c r="C16" s="8">
        <v>925</v>
      </c>
      <c r="D16" s="8"/>
      <c r="F16">
        <f t="shared" si="0"/>
        <v>0</v>
      </c>
    </row>
    <row r="17" spans="1:6">
      <c r="A17" s="8" t="s">
        <v>110</v>
      </c>
      <c r="B17" s="8"/>
      <c r="C17" s="8">
        <v>735</v>
      </c>
      <c r="D17" s="8"/>
      <c r="F17">
        <f t="shared" si="0"/>
        <v>0</v>
      </c>
    </row>
    <row r="18" spans="1:6">
      <c r="A18" s="8" t="s">
        <v>111</v>
      </c>
      <c r="B18" s="8">
        <v>4</v>
      </c>
      <c r="C18" s="8">
        <v>660</v>
      </c>
      <c r="D18" s="8"/>
      <c r="F18">
        <f t="shared" si="0"/>
        <v>2640</v>
      </c>
    </row>
    <row r="19" spans="1:6">
      <c r="A19" s="8" t="s">
        <v>106</v>
      </c>
      <c r="B19" s="8"/>
      <c r="C19" s="8">
        <v>825</v>
      </c>
      <c r="D19" s="8"/>
      <c r="F19">
        <f t="shared" si="0"/>
        <v>0</v>
      </c>
    </row>
    <row r="20" spans="1:6">
      <c r="A20" s="8" t="s">
        <v>150</v>
      </c>
      <c r="B20" s="8">
        <v>4</v>
      </c>
      <c r="C20" s="8">
        <v>915</v>
      </c>
      <c r="D20" s="8">
        <v>915</v>
      </c>
      <c r="F20">
        <f t="shared" si="0"/>
        <v>3660</v>
      </c>
    </row>
    <row r="21" spans="1:6">
      <c r="A21" s="8" t="s">
        <v>151</v>
      </c>
      <c r="B21" s="8">
        <v>4</v>
      </c>
      <c r="C21" s="8">
        <v>970</v>
      </c>
      <c r="D21" s="8">
        <v>2820</v>
      </c>
      <c r="F21">
        <f t="shared" si="0"/>
        <v>3880</v>
      </c>
    </row>
    <row r="22" spans="1:6">
      <c r="A22" s="8" t="s">
        <v>152</v>
      </c>
      <c r="B22" s="8">
        <v>4</v>
      </c>
      <c r="C22" s="8">
        <v>1060</v>
      </c>
      <c r="D22" s="8"/>
      <c r="F22">
        <f t="shared" si="0"/>
        <v>4240</v>
      </c>
    </row>
    <row r="23" spans="1:6">
      <c r="A23" s="8"/>
      <c r="B23" s="8"/>
      <c r="C23" s="8"/>
      <c r="D23" s="8"/>
      <c r="F23">
        <f t="shared" si="0"/>
        <v>0</v>
      </c>
    </row>
    <row r="24" spans="1:6">
      <c r="A24" s="11" t="s">
        <v>126</v>
      </c>
      <c r="B24" s="11"/>
      <c r="C24" s="8"/>
      <c r="D24" s="8"/>
      <c r="F24">
        <f t="shared" si="0"/>
        <v>0</v>
      </c>
    </row>
    <row r="25" spans="1:6">
      <c r="A25" s="8" t="s">
        <v>127</v>
      </c>
      <c r="B25" s="8"/>
      <c r="C25" s="8">
        <v>2100</v>
      </c>
      <c r="F25">
        <f t="shared" si="0"/>
        <v>0</v>
      </c>
    </row>
    <row r="26" spans="1:6">
      <c r="A26" s="8"/>
      <c r="B26" s="8"/>
      <c r="C26" s="8"/>
      <c r="D26" s="8"/>
      <c r="F26">
        <f t="shared" si="0"/>
        <v>0</v>
      </c>
    </row>
    <row r="27" spans="1:6">
      <c r="A27" s="11" t="s">
        <v>128</v>
      </c>
      <c r="B27" s="11"/>
      <c r="C27" s="8"/>
      <c r="D27" s="8"/>
      <c r="F27">
        <f t="shared" si="0"/>
        <v>0</v>
      </c>
    </row>
    <row r="28" spans="1:6">
      <c r="A28" s="8" t="s">
        <v>129</v>
      </c>
      <c r="B28" s="8"/>
      <c r="C28" s="8"/>
      <c r="D28" s="8"/>
      <c r="F28">
        <f t="shared" si="0"/>
        <v>0</v>
      </c>
    </row>
    <row r="29" spans="1:6">
      <c r="A29" s="8" t="s">
        <v>140</v>
      </c>
      <c r="B29" s="8">
        <v>4</v>
      </c>
      <c r="C29" s="8">
        <v>750</v>
      </c>
      <c r="D29" s="8"/>
      <c r="F29">
        <f t="shared" si="0"/>
        <v>3000</v>
      </c>
    </row>
    <row r="30" spans="1:6">
      <c r="A30" s="8" t="s">
        <v>144</v>
      </c>
      <c r="B30" s="8">
        <v>4</v>
      </c>
      <c r="C30" s="8">
        <v>825</v>
      </c>
      <c r="D30" s="8"/>
      <c r="F30">
        <f t="shared" si="0"/>
        <v>3300</v>
      </c>
    </row>
    <row r="31" spans="1:6">
      <c r="A31" s="8" t="s">
        <v>145</v>
      </c>
      <c r="B31" s="8">
        <v>4</v>
      </c>
      <c r="C31" s="8">
        <v>450</v>
      </c>
      <c r="D31" s="8"/>
      <c r="F31">
        <f t="shared" si="0"/>
        <v>1800</v>
      </c>
    </row>
    <row r="32" spans="1:6">
      <c r="A32" s="8" t="s">
        <v>146</v>
      </c>
      <c r="B32" s="8">
        <v>4</v>
      </c>
      <c r="C32" s="8">
        <v>675</v>
      </c>
      <c r="D32" s="8"/>
      <c r="F32">
        <f t="shared" si="0"/>
        <v>2700</v>
      </c>
    </row>
    <row r="33" spans="1:13">
      <c r="A33" s="8" t="s">
        <v>148</v>
      </c>
      <c r="B33" s="8">
        <v>15</v>
      </c>
      <c r="C33" s="8">
        <v>450</v>
      </c>
      <c r="D33" s="8"/>
      <c r="F33">
        <f t="shared" si="0"/>
        <v>6750</v>
      </c>
    </row>
    <row r="34" spans="1:13">
      <c r="F34">
        <f t="shared" si="0"/>
        <v>0</v>
      </c>
    </row>
    <row r="35" spans="1:13">
      <c r="A35" s="11" t="s">
        <v>138</v>
      </c>
      <c r="B35" s="11"/>
      <c r="C35" s="8"/>
      <c r="D35" s="8"/>
      <c r="F35">
        <f t="shared" si="0"/>
        <v>0</v>
      </c>
    </row>
    <row r="36" spans="1:13">
      <c r="A36" s="8" t="s">
        <v>113</v>
      </c>
      <c r="B36" s="8">
        <v>21</v>
      </c>
      <c r="C36" s="8">
        <v>290</v>
      </c>
      <c r="D36" s="8"/>
      <c r="F36">
        <f t="shared" si="0"/>
        <v>6090</v>
      </c>
    </row>
    <row r="37" spans="1:13">
      <c r="A37" s="8" t="s">
        <v>143</v>
      </c>
      <c r="B37" s="8">
        <v>4</v>
      </c>
      <c r="C37" s="8">
        <v>425</v>
      </c>
      <c r="D37" s="8"/>
      <c r="F37">
        <f t="shared" si="0"/>
        <v>1700</v>
      </c>
    </row>
    <row r="38" spans="1:13">
      <c r="A38" s="8"/>
      <c r="B38" s="8"/>
      <c r="C38" s="8"/>
      <c r="D38" s="8"/>
      <c r="F38">
        <f t="shared" si="0"/>
        <v>0</v>
      </c>
    </row>
    <row r="39" spans="1:13">
      <c r="A39" s="11" t="s">
        <v>112</v>
      </c>
      <c r="B39" s="11"/>
      <c r="F39">
        <f t="shared" si="0"/>
        <v>0</v>
      </c>
    </row>
    <row r="40" spans="1:13">
      <c r="A40" s="8" t="s">
        <v>117</v>
      </c>
      <c r="B40" s="8">
        <v>40</v>
      </c>
      <c r="C40" s="8">
        <v>150</v>
      </c>
      <c r="D40" s="8">
        <v>440</v>
      </c>
      <c r="F40">
        <f t="shared" si="0"/>
        <v>6000</v>
      </c>
    </row>
    <row r="41" spans="1:13">
      <c r="A41" s="8" t="s">
        <v>116</v>
      </c>
      <c r="B41" s="8">
        <v>40</v>
      </c>
      <c r="C41" s="8">
        <v>170</v>
      </c>
      <c r="D41" s="8">
        <v>500</v>
      </c>
      <c r="F41">
        <f t="shared" si="0"/>
        <v>6800</v>
      </c>
      <c r="J41" s="11"/>
      <c r="K41" s="8"/>
      <c r="L41" s="8"/>
      <c r="M41" s="8"/>
    </row>
    <row r="42" spans="1:13">
      <c r="A42" s="8" t="s">
        <v>115</v>
      </c>
      <c r="B42" s="8">
        <v>20</v>
      </c>
      <c r="C42" s="8">
        <v>205</v>
      </c>
      <c r="D42" s="8">
        <v>610</v>
      </c>
      <c r="F42">
        <f t="shared" si="0"/>
        <v>4100</v>
      </c>
      <c r="L42" s="8"/>
    </row>
    <row r="43" spans="1:13">
      <c r="A43" s="8" t="s">
        <v>114</v>
      </c>
      <c r="B43" s="8">
        <v>20</v>
      </c>
      <c r="C43" s="8">
        <v>275</v>
      </c>
      <c r="D43" s="8">
        <v>800</v>
      </c>
      <c r="F43">
        <f t="shared" si="0"/>
        <v>5500</v>
      </c>
      <c r="L43" s="8"/>
    </row>
    <row r="44" spans="1:13">
      <c r="A44" s="8" t="s">
        <v>125</v>
      </c>
      <c r="B44" s="8">
        <v>20</v>
      </c>
      <c r="C44" s="8">
        <v>325</v>
      </c>
      <c r="D44" s="8">
        <v>960</v>
      </c>
      <c r="F44">
        <f t="shared" si="0"/>
        <v>6500</v>
      </c>
      <c r="L44" s="8"/>
    </row>
    <row r="45" spans="1:13">
      <c r="A45" s="8" t="s">
        <v>124</v>
      </c>
      <c r="B45" s="8">
        <v>8</v>
      </c>
      <c r="C45" s="8">
        <v>775</v>
      </c>
      <c r="F45">
        <f t="shared" si="0"/>
        <v>6200</v>
      </c>
      <c r="L45" s="8"/>
    </row>
    <row r="46" spans="1:13">
      <c r="A46" s="8" t="s">
        <v>149</v>
      </c>
      <c r="B46" s="8">
        <v>4</v>
      </c>
      <c r="C46" s="8">
        <v>495</v>
      </c>
      <c r="F46">
        <f t="shared" si="0"/>
        <v>1980</v>
      </c>
      <c r="L46" s="8"/>
    </row>
    <row r="47" spans="1:13">
      <c r="J47" s="8"/>
      <c r="L47" s="8"/>
    </row>
    <row r="48" spans="1:13">
      <c r="A48" s="8"/>
      <c r="B48" s="8"/>
      <c r="C48" s="8"/>
    </row>
  </sheetData>
  <sortState ref="A20:A24">
    <sortCondition ref="A20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selection activeCell="B16" sqref="B16"/>
    </sheetView>
  </sheetViews>
  <sheetFormatPr defaultRowHeight="15"/>
  <cols>
    <col min="1" max="1" width="21.7109375" customWidth="1"/>
    <col min="2" max="2" width="45.28515625" customWidth="1"/>
    <col min="3" max="4" width="33.85546875" customWidth="1"/>
    <col min="5" max="5" width="34.42578125" customWidth="1"/>
  </cols>
  <sheetData>
    <row r="1" spans="1:5">
      <c r="B1" s="11" t="s">
        <v>153</v>
      </c>
      <c r="C1" s="11" t="s">
        <v>154</v>
      </c>
      <c r="D1" s="11"/>
    </row>
    <row r="2" spans="1:5">
      <c r="A2" s="14">
        <v>45031</v>
      </c>
      <c r="B2" s="8">
        <v>1561</v>
      </c>
      <c r="C2" s="8">
        <v>329558</v>
      </c>
      <c r="D2" s="4" t="s">
        <v>156</v>
      </c>
      <c r="E2" s="8">
        <f>SUM(B2:B556)</f>
        <v>136464</v>
      </c>
    </row>
    <row r="3" spans="1:5">
      <c r="A3" s="14">
        <v>45034</v>
      </c>
      <c r="B3" s="8">
        <v>6800</v>
      </c>
      <c r="D3" s="4" t="s">
        <v>157</v>
      </c>
      <c r="E3" s="32">
        <f>E2*1.15</f>
        <v>156933.59999999998</v>
      </c>
    </row>
    <row r="4" spans="1:5">
      <c r="A4" s="14">
        <v>45030</v>
      </c>
      <c r="B4" s="8">
        <v>8245</v>
      </c>
      <c r="D4" s="4" t="s">
        <v>155</v>
      </c>
      <c r="E4" s="8">
        <f>C2</f>
        <v>329558</v>
      </c>
    </row>
    <row r="5" spans="1:5">
      <c r="A5" s="14">
        <v>45031</v>
      </c>
      <c r="B5" s="8">
        <v>9176</v>
      </c>
      <c r="E5" s="33">
        <f>E4-E3</f>
        <v>172624.40000000002</v>
      </c>
    </row>
    <row r="6" spans="1:5">
      <c r="A6" s="14">
        <v>45034</v>
      </c>
      <c r="B6" s="8">
        <v>7621</v>
      </c>
    </row>
    <row r="7" spans="1:5">
      <c r="A7" s="14">
        <v>45031</v>
      </c>
      <c r="B7" s="8">
        <v>3001</v>
      </c>
    </row>
    <row r="8" spans="1:5">
      <c r="A8" s="14">
        <v>45033</v>
      </c>
      <c r="B8" s="8">
        <v>6886</v>
      </c>
    </row>
    <row r="9" spans="1:5">
      <c r="A9" s="14">
        <v>45034</v>
      </c>
      <c r="B9" s="8">
        <v>23075</v>
      </c>
    </row>
    <row r="10" spans="1:5">
      <c r="A10" s="14">
        <v>45035</v>
      </c>
      <c r="B10" s="8">
        <v>14075</v>
      </c>
    </row>
    <row r="11" spans="1:5">
      <c r="A11" s="14">
        <v>45031</v>
      </c>
      <c r="B11" s="8">
        <v>25000</v>
      </c>
    </row>
    <row r="12" spans="1:5">
      <c r="A12" s="14">
        <v>45034</v>
      </c>
      <c r="B12" s="8">
        <v>4346</v>
      </c>
    </row>
    <row r="13" spans="1:5">
      <c r="A13" s="14">
        <v>45040</v>
      </c>
      <c r="B13" s="8">
        <v>16225</v>
      </c>
    </row>
    <row r="14" spans="1:5">
      <c r="A14" s="14">
        <v>45043</v>
      </c>
      <c r="B14" s="8">
        <v>4346</v>
      </c>
    </row>
    <row r="15" spans="1:5">
      <c r="A15" s="14"/>
      <c r="B15" s="8"/>
    </row>
    <row r="16" spans="1:5">
      <c r="A16" s="14">
        <v>45048</v>
      </c>
      <c r="B16" s="8">
        <v>6107</v>
      </c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</sheetData>
  <conditionalFormatting sqref="F5">
    <cfRule type="aboveAverage" priority="3"/>
  </conditionalFormatting>
  <conditionalFormatting sqref="E5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1" width="123.85546875" style="8" customWidth="1"/>
    <col min="2" max="2" width="40.7109375" style="8" customWidth="1"/>
    <col min="3" max="3" width="24.5703125" style="8" customWidth="1"/>
    <col min="4" max="16384" width="9.140625" style="8"/>
  </cols>
  <sheetData>
    <row r="1" spans="1:3">
      <c r="A1"/>
      <c r="B1"/>
      <c r="C1"/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32" workbookViewId="0">
      <selection activeCell="C46" sqref="A1:XFD1048576"/>
    </sheetView>
  </sheetViews>
  <sheetFormatPr defaultRowHeight="15"/>
  <cols>
    <col min="1" max="1" width="38.140625" customWidth="1"/>
    <col min="2" max="2" width="38.28515625" customWidth="1"/>
    <col min="3" max="3" width="2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8" sqref="G28"/>
    </sheetView>
  </sheetViews>
  <sheetFormatPr defaultRowHeight="15"/>
  <cols>
    <col min="1" max="1" width="31" customWidth="1"/>
    <col min="6" max="6" width="31" customWidth="1"/>
    <col min="7" max="7" width="9.28515625" customWidth="1"/>
    <col min="8" max="8" width="43.28515625" customWidth="1"/>
  </cols>
  <sheetData>
    <row r="1" spans="1:8">
      <c r="A1" t="s">
        <v>48</v>
      </c>
      <c r="B1">
        <v>6900</v>
      </c>
    </row>
    <row r="2" spans="1:8">
      <c r="A2" t="s">
        <v>49</v>
      </c>
      <c r="B2">
        <v>2000</v>
      </c>
      <c r="F2" s="7" t="s">
        <v>59</v>
      </c>
    </row>
    <row r="3" spans="1:8">
      <c r="B3" s="7">
        <f>SUM(B1:B2)</f>
        <v>8900</v>
      </c>
      <c r="F3" s="18" t="s">
        <v>55</v>
      </c>
      <c r="G3" s="18">
        <v>280</v>
      </c>
    </row>
    <row r="4" spans="1:8">
      <c r="F4" s="18" t="s">
        <v>56</v>
      </c>
      <c r="G4" s="18">
        <v>150</v>
      </c>
    </row>
    <row r="5" spans="1:8">
      <c r="A5" t="s">
        <v>50</v>
      </c>
      <c r="B5">
        <v>4450</v>
      </c>
      <c r="F5" s="18" t="s">
        <v>57</v>
      </c>
      <c r="G5" s="18">
        <v>60</v>
      </c>
    </row>
    <row r="6" spans="1:8">
      <c r="A6" t="s">
        <v>51</v>
      </c>
      <c r="B6">
        <v>4450</v>
      </c>
      <c r="F6" s="18" t="s">
        <v>58</v>
      </c>
      <c r="G6" s="18">
        <v>500</v>
      </c>
    </row>
    <row r="7" spans="1:8">
      <c r="B7" s="7">
        <f>SUM(B5:B6)</f>
        <v>8900</v>
      </c>
      <c r="F7" s="18" t="s">
        <v>60</v>
      </c>
      <c r="G7" s="18">
        <v>611</v>
      </c>
    </row>
    <row r="8" spans="1:8">
      <c r="F8" s="18" t="s">
        <v>61</v>
      </c>
      <c r="G8" s="18">
        <v>594</v>
      </c>
    </row>
    <row r="9" spans="1:8">
      <c r="A9" t="s">
        <v>54</v>
      </c>
      <c r="B9" s="7">
        <v>5000</v>
      </c>
      <c r="F9" s="18" t="s">
        <v>41</v>
      </c>
      <c r="G9" s="18">
        <f>4450-2000</f>
        <v>2450</v>
      </c>
      <c r="H9" t="s">
        <v>62</v>
      </c>
    </row>
    <row r="10" spans="1:8">
      <c r="F10" s="18"/>
      <c r="G10" s="19">
        <f>SUM(G3:G9)</f>
        <v>4645</v>
      </c>
    </row>
    <row r="11" spans="1:8">
      <c r="A11" t="s">
        <v>52</v>
      </c>
      <c r="B11">
        <v>2500</v>
      </c>
      <c r="F11" s="18"/>
      <c r="G11" s="18"/>
    </row>
    <row r="12" spans="1:8">
      <c r="A12" t="s">
        <v>53</v>
      </c>
      <c r="B12">
        <v>2500</v>
      </c>
      <c r="F12" s="19" t="s">
        <v>63</v>
      </c>
      <c r="G12" s="18"/>
    </row>
    <row r="13" spans="1:8">
      <c r="F13" s="18" t="s">
        <v>41</v>
      </c>
      <c r="G13" s="10">
        <v>4450</v>
      </c>
    </row>
    <row r="14" spans="1:8">
      <c r="F14" s="18" t="s">
        <v>69</v>
      </c>
      <c r="G14" s="10">
        <v>470</v>
      </c>
    </row>
    <row r="15" spans="1:8">
      <c r="F15" s="18"/>
      <c r="G15" s="19">
        <f>SUM(G13:G14)</f>
        <v>4920</v>
      </c>
    </row>
    <row r="16" spans="1:8">
      <c r="F16" s="18"/>
      <c r="G16" s="18"/>
    </row>
    <row r="17" spans="6:7">
      <c r="F17" s="19" t="s">
        <v>64</v>
      </c>
      <c r="G17" s="18"/>
    </row>
    <row r="18" spans="6:7">
      <c r="F18" s="18" t="s">
        <v>65</v>
      </c>
      <c r="G18" s="10">
        <f>G19</f>
        <v>600</v>
      </c>
    </row>
    <row r="19" spans="6:7">
      <c r="F19" s="18"/>
      <c r="G19" s="19">
        <v>600</v>
      </c>
    </row>
    <row r="20" spans="6:7">
      <c r="F20" s="19" t="s">
        <v>66</v>
      </c>
      <c r="G20" s="18"/>
    </row>
    <row r="21" spans="6:7">
      <c r="F21" s="18" t="s">
        <v>68</v>
      </c>
      <c r="G21" s="18">
        <v>1700</v>
      </c>
    </row>
    <row r="22" spans="6:7">
      <c r="F22" s="18" t="s">
        <v>67</v>
      </c>
      <c r="G22" s="18">
        <v>245</v>
      </c>
    </row>
    <row r="23" spans="6:7">
      <c r="F23" s="18"/>
      <c r="G23" s="19">
        <f>SUM(G21:G22)</f>
        <v>1945</v>
      </c>
    </row>
    <row r="24" spans="6:7">
      <c r="F24" s="18"/>
      <c r="G24" s="18"/>
    </row>
    <row r="25" spans="6:7">
      <c r="F25" s="18"/>
      <c r="G25" s="18"/>
    </row>
    <row r="26" spans="6:7">
      <c r="F26" s="18"/>
      <c r="G26" s="18"/>
    </row>
    <row r="27" spans="6:7">
      <c r="F27" s="18"/>
      <c r="G27" s="18"/>
    </row>
    <row r="28" spans="6:7">
      <c r="G28" s="19">
        <f>G10+G15+G19+G23</f>
        <v>12110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A20"/>
    </sheetView>
  </sheetViews>
  <sheetFormatPr defaultRowHeight="15"/>
  <cols>
    <col min="1" max="1" width="23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2023-05-13T15:05:32Z</dcterms:modified>
</cp:coreProperties>
</file>