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19.xml" ContentType="application/vnd.openxmlformats-officedocument.spreadsheetml.externalLink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1490" windowHeight="7980" firstSheet="6" activeTab="14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</externalReferences>
  <calcPr calcId="124519"/>
</workbook>
</file>

<file path=xl/calcChain.xml><?xml version="1.0" encoding="utf-8"?>
<calcChain xmlns="http://schemas.openxmlformats.org/spreadsheetml/2006/main">
  <c r="D19" i="15"/>
  <c r="D20"/>
  <c r="B6" l="1"/>
  <c r="M13"/>
  <c r="M16" s="1"/>
  <c r="D24"/>
  <c r="D12" l="1"/>
  <c r="C14"/>
  <c r="D10"/>
  <c r="D11"/>
  <c r="D18" l="1"/>
  <c r="F18" s="1"/>
  <c r="D13" l="1"/>
  <c r="B14"/>
  <c r="F19" s="1"/>
  <c r="D8" l="1"/>
  <c r="D7"/>
  <c r="D6"/>
  <c r="D5"/>
  <c r="D4"/>
  <c r="D2"/>
  <c r="D9"/>
  <c r="B98" i="2"/>
  <c r="B102" s="1"/>
  <c r="B15" i="14"/>
  <c r="J4" i="1"/>
  <c r="J9"/>
  <c r="J2"/>
  <c r="J3"/>
  <c r="J7"/>
  <c r="J8"/>
  <c r="D17" i="15" l="1"/>
  <c r="J6" i="1"/>
  <c r="D25" i="15" l="1"/>
  <c r="D21"/>
  <c r="J5" i="1"/>
  <c r="J13" l="1"/>
  <c r="L10" l="1"/>
  <c r="L9"/>
  <c r="L4"/>
  <c r="L3" l="1"/>
  <c r="L7" l="1"/>
  <c r="L2"/>
  <c r="K13"/>
  <c r="L6"/>
  <c r="L8"/>
  <c r="L5"/>
  <c r="F22" i="2"/>
  <c r="D4" i="13"/>
  <c r="B4" s="1"/>
  <c r="D8"/>
  <c r="D7"/>
  <c r="D3"/>
  <c r="C20"/>
  <c r="D2"/>
  <c r="L13" i="1" l="1"/>
  <c r="D5" i="13"/>
  <c r="B5" s="1"/>
  <c r="B9"/>
  <c r="B3"/>
  <c r="B6"/>
  <c r="B7"/>
  <c r="B8"/>
  <c r="B2"/>
  <c r="C11" l="1"/>
  <c r="C21" s="1"/>
  <c r="B11"/>
  <c r="C18" s="1"/>
  <c r="D11"/>
  <c r="B6" i="12" l="1"/>
  <c r="E3" i="5" l="1"/>
  <c r="S13" i="6" l="1"/>
  <c r="I13" s="1"/>
  <c r="S12"/>
  <c r="I12" s="1"/>
  <c r="I5"/>
  <c r="S5"/>
  <c r="I6"/>
  <c r="I7"/>
  <c r="I8"/>
  <c r="I9"/>
  <c r="I10"/>
  <c r="I11"/>
  <c r="I14"/>
  <c r="I15"/>
  <c r="I16"/>
  <c r="I17"/>
  <c r="I18"/>
  <c r="I19"/>
  <c r="I20"/>
  <c r="I21"/>
  <c r="I22"/>
  <c r="I23"/>
  <c r="I24"/>
  <c r="I25"/>
  <c r="I26"/>
  <c r="I27"/>
  <c r="I28"/>
  <c r="I4"/>
  <c r="S6"/>
  <c r="S7"/>
  <c r="S8"/>
  <c r="S9"/>
  <c r="S10"/>
  <c r="S11"/>
  <c r="S4"/>
  <c r="S3"/>
  <c r="I3"/>
  <c r="B26" i="1"/>
  <c r="B104" i="2"/>
  <c r="F21" s="1"/>
  <c r="E2" i="5"/>
  <c r="B4" i="1"/>
  <c r="E5" i="5" l="1"/>
  <c r="B21" i="1" l="1"/>
  <c r="F24" i="2" l="1"/>
  <c r="B33" i="3"/>
  <c r="C42"/>
  <c r="C43"/>
  <c r="B30" i="1" l="1"/>
  <c r="B27"/>
  <c r="B8" l="1"/>
  <c r="G28" i="8"/>
  <c r="G23"/>
  <c r="G18"/>
  <c r="G15"/>
  <c r="G9"/>
  <c r="G10" s="1"/>
  <c r="B7"/>
  <c r="B3"/>
  <c r="D56" i="3" l="1"/>
  <c r="I73"/>
  <c r="H73" l="1"/>
  <c r="D53" s="1"/>
  <c r="C46" l="1"/>
  <c r="C48" s="1"/>
  <c r="D54" l="1"/>
  <c r="D55" s="1"/>
  <c r="B16" i="1" l="1"/>
  <c r="B13" l="1"/>
  <c r="B9" l="1"/>
  <c r="B25" l="1"/>
  <c r="B24" l="1"/>
  <c r="B23" l="1"/>
  <c r="B22"/>
  <c r="B20" l="1"/>
  <c r="B11"/>
  <c r="B3" l="1"/>
  <c r="B19" l="1"/>
  <c r="B18"/>
  <c r="B17"/>
  <c r="B14" l="1"/>
  <c r="B10" l="1"/>
  <c r="E13" s="1"/>
  <c r="B7" l="1"/>
  <c r="B5" l="1"/>
  <c r="B2" l="1"/>
  <c r="E12" s="1"/>
  <c r="B1" l="1"/>
  <c r="E10" s="1"/>
  <c r="B12" l="1"/>
  <c r="B6" l="1"/>
  <c r="E11" l="1"/>
  <c r="E16" s="1"/>
  <c r="B31"/>
  <c r="B32" l="1"/>
  <c r="B34" s="1"/>
</calcChain>
</file>

<file path=xl/sharedStrings.xml><?xml version="1.0" encoding="utf-8"?>
<sst xmlns="http://schemas.openxmlformats.org/spreadsheetml/2006/main" count="541" uniqueCount="292">
  <si>
    <t>AYUSH</t>
  </si>
  <si>
    <t>BHAWANI</t>
  </si>
  <si>
    <t>KUMAR</t>
  </si>
  <si>
    <t>N.K</t>
  </si>
  <si>
    <t>NOOR</t>
  </si>
  <si>
    <t>OM SAI</t>
  </si>
  <si>
    <t>PP</t>
  </si>
  <si>
    <t>SAGAR</t>
  </si>
  <si>
    <t>SANJAY TRADERS</t>
  </si>
  <si>
    <t>TOY WORLD</t>
  </si>
  <si>
    <t>UP MEERUT</t>
  </si>
  <si>
    <t>VIJAY MALA</t>
  </si>
  <si>
    <t>WALKER BHILAI</t>
  </si>
  <si>
    <t>KIRAT</t>
  </si>
  <si>
    <t>DIFFRENCE TILL DATE</t>
  </si>
  <si>
    <t>TOY GALLERY</t>
  </si>
  <si>
    <t>GAURI SHANKAR</t>
  </si>
  <si>
    <t>GANGA</t>
  </si>
  <si>
    <t>JAI PRAKASH</t>
  </si>
  <si>
    <t>PALLAVI SPORTS</t>
  </si>
  <si>
    <t>MUMBAI TOYS</t>
  </si>
  <si>
    <t>PAGDI</t>
  </si>
  <si>
    <t>DELHI TOYS</t>
  </si>
  <si>
    <t>LOCAL</t>
  </si>
  <si>
    <t>TOTAL</t>
  </si>
  <si>
    <t>BALAJI DELHI</t>
  </si>
  <si>
    <t>TOY  VILLA</t>
  </si>
  <si>
    <t>PRIME DELHI</t>
  </si>
  <si>
    <t>JULIYA</t>
  </si>
  <si>
    <t>SUNIT</t>
  </si>
  <si>
    <t xml:space="preserve"> </t>
  </si>
  <si>
    <t>NAME</t>
  </si>
  <si>
    <t>DATE</t>
  </si>
  <si>
    <t>AMOUNT</t>
  </si>
  <si>
    <t>DESCRIPTION</t>
  </si>
  <si>
    <t>MANOJ POPTANI</t>
  </si>
  <si>
    <t>RAJA SURYA</t>
  </si>
  <si>
    <t xml:space="preserve">SAMEER </t>
  </si>
  <si>
    <t>RAKESH</t>
  </si>
  <si>
    <t>AMAR</t>
  </si>
  <si>
    <t>SHANAYA HOSPITAL</t>
  </si>
  <si>
    <t>CAR REPAIR</t>
  </si>
  <si>
    <t>RAVI  RIKSHAW</t>
  </si>
  <si>
    <t>UCHANTIS</t>
  </si>
  <si>
    <t>ACCORDING TO COMPUTER</t>
  </si>
  <si>
    <t>TRANSFER ,  BIKE REPAIR , REST IS CASH , THROUGH  QR CODE</t>
  </si>
  <si>
    <t>OPEN IN TOMRROW</t>
  </si>
  <si>
    <t>=</t>
  </si>
  <si>
    <t>CAR REPAIRING CHARGES</t>
  </si>
  <si>
    <t xml:space="preserve">COVER  (900) &amp; MATTING (1100)   </t>
  </si>
  <si>
    <t>HT WILL  GIVE</t>
  </si>
  <si>
    <t>SV  WILL  GIVE</t>
  </si>
  <si>
    <t>HT WILL  RECEIVE FROM CLAIM</t>
  </si>
  <si>
    <t>SV WILL RECEIVE FROM CLAIM</t>
  </si>
  <si>
    <t>IF EXPECTED  CLAIM  WILL COME</t>
  </si>
  <si>
    <t>SAMEER HOUSE REGULATOR</t>
  </si>
  <si>
    <t>IRON  REPAIR</t>
  </si>
  <si>
    <t>COOCKER  REPAIR</t>
  </si>
  <si>
    <t>FZ PETROL</t>
  </si>
  <si>
    <t>HT SE LENA HAI</t>
  </si>
  <si>
    <t>TICKET TO RAIPUR</t>
  </si>
  <si>
    <t>TICKET TO BILASPUR</t>
  </si>
  <si>
    <t>DENA 4450 THA JISME SE 2000 PAY  TM  SE AYYA</t>
  </si>
  <si>
    <t>S.V SE LENA HAI</t>
  </si>
  <si>
    <t>CHANDINI  AUR KITTU  SE</t>
  </si>
  <si>
    <t>CHANDINI  AUR KITTU  SE MILA KE</t>
  </si>
  <si>
    <t>PAPA SE LENA HAI</t>
  </si>
  <si>
    <t>HAND  WASH</t>
  </si>
  <si>
    <t>CHOTE  BABU  KE  KAPDE</t>
  </si>
  <si>
    <t>INTERNET RECHARGE</t>
  </si>
  <si>
    <t>CASH</t>
  </si>
  <si>
    <t>NOVICE</t>
  </si>
  <si>
    <t>NISAR STATIONARY</t>
  </si>
  <si>
    <t>TOTAL S TRANSFER</t>
  </si>
  <si>
    <t xml:space="preserve">APOLLO </t>
  </si>
  <si>
    <t>SANJEVNEE</t>
  </si>
  <si>
    <t>VOLINI + TABLET</t>
  </si>
  <si>
    <t>POWDER CASH</t>
  </si>
  <si>
    <t>BY RAKESH</t>
  </si>
  <si>
    <t>GANYARI HOSPITAL</t>
  </si>
  <si>
    <t>APOLLO FILE</t>
  </si>
  <si>
    <t>XRAY</t>
  </si>
  <si>
    <t>BY SAMEER</t>
  </si>
  <si>
    <t>BIKE REPAIR</t>
  </si>
  <si>
    <t>MUNIM VINU</t>
  </si>
  <si>
    <t>RAJA TOLWANI</t>
  </si>
  <si>
    <t>SAMEER MOTWANI</t>
  </si>
  <si>
    <t>SHANAYA HOPITAL</t>
  </si>
  <si>
    <t>WALKIE KA SAMMY</t>
  </si>
  <si>
    <t>HOME EXPENSES</t>
  </si>
  <si>
    <t>CAR</t>
  </si>
  <si>
    <t>RAKESH MOTWANI</t>
  </si>
  <si>
    <t>RAVI RIKSHAW</t>
  </si>
  <si>
    <t>RAJA UNCLE</t>
  </si>
  <si>
    <t>COIN,TYRE, CASH</t>
  </si>
  <si>
    <t>CASH (CASH OF SUNDAY BY SAMMY)</t>
  </si>
  <si>
    <t>RAJA</t>
  </si>
  <si>
    <t>OVER ALL</t>
  </si>
  <si>
    <t>GOOD BY RAJA OVERALL</t>
  </si>
  <si>
    <t>APROX</t>
  </si>
  <si>
    <t>TOTAL LENA HAI</t>
  </si>
  <si>
    <t>TOTAL HISAB HONE KE BAAD</t>
  </si>
  <si>
    <t>AB TOTAL LENA HAI</t>
  </si>
  <si>
    <t>cash</t>
  </si>
  <si>
    <t>RIDDERS</t>
  </si>
  <si>
    <t>TUK TUK SENIOUR</t>
  </si>
  <si>
    <t>DOG CAR</t>
  </si>
  <si>
    <t>PANDA CAR</t>
  </si>
  <si>
    <t>BOOMER CAR</t>
  </si>
  <si>
    <t>ELEPHNAT CAR</t>
  </si>
  <si>
    <t>MINNION CAR</t>
  </si>
  <si>
    <t>HECTOR</t>
  </si>
  <si>
    <t>WALKERS</t>
  </si>
  <si>
    <t>CHETAK  YUVRAJ</t>
  </si>
  <si>
    <t>8 BEBD STAR CP M</t>
  </si>
  <si>
    <t>CHEAP CP (M)</t>
  </si>
  <si>
    <t>S/H GRIP (M)</t>
  </si>
  <si>
    <t>S/H GRIP (PL)</t>
  </si>
  <si>
    <t>SNR C/P PINKY</t>
  </si>
  <si>
    <t>SNR P/C PINKY</t>
  </si>
  <si>
    <t>SNR P/C HOOD</t>
  </si>
  <si>
    <t>JNR P/C CW</t>
  </si>
  <si>
    <t xml:space="preserve">JNR C/P CW </t>
  </si>
  <si>
    <t>TINY WALKER</t>
  </si>
  <si>
    <t>GUDDA CP (M)</t>
  </si>
  <si>
    <t>BIKE</t>
  </si>
  <si>
    <t>PANTHER</t>
  </si>
  <si>
    <t>RAMBO</t>
  </si>
  <si>
    <t>PAKKA</t>
  </si>
  <si>
    <t>CASH WE WILL GIVE THEM</t>
  </si>
  <si>
    <t>ITEM NAME</t>
  </si>
  <si>
    <t>PURCHASE PRICE</t>
  </si>
  <si>
    <t>OUR NUMBER</t>
  </si>
  <si>
    <t>AVAILABLE QTY</t>
  </si>
  <si>
    <t>PALNA</t>
  </si>
  <si>
    <t>HORSE</t>
  </si>
  <si>
    <t>PINKY DLX HOOD</t>
  </si>
  <si>
    <t>LAMBI</t>
  </si>
  <si>
    <t>SOHAM CHAMPA PAYMENT</t>
  </si>
  <si>
    <t>DINO</t>
  </si>
  <si>
    <t>RAFTAR EVA</t>
  </si>
  <si>
    <t>MINI BOOMER</t>
  </si>
  <si>
    <t>SUPER RIDER</t>
  </si>
  <si>
    <t>NM-555</t>
  </si>
  <si>
    <t>SUPER RAMBO</t>
  </si>
  <si>
    <t>PIANO GLOW WALKER</t>
  </si>
  <si>
    <t>BOOSTER</t>
  </si>
  <si>
    <t>ROBO CAR</t>
  </si>
  <si>
    <t>BIG PANDA CAR</t>
  </si>
  <si>
    <t>bvh</t>
  </si>
  <si>
    <t>pvc</t>
  </si>
  <si>
    <t>PVC</t>
  </si>
  <si>
    <t>BVH</t>
  </si>
  <si>
    <t>BVH + MARGIN</t>
  </si>
  <si>
    <t>TOY VILLA</t>
  </si>
  <si>
    <t>DEC-22 TAK</t>
  </si>
  <si>
    <t>BASKET BOARD PVC PACKING</t>
  </si>
  <si>
    <t>2IN1  BASKET BALL</t>
  </si>
  <si>
    <t>LEO DART (PVC PACKING)</t>
  </si>
  <si>
    <t>5 IN  1 EASEL FOR KIDS</t>
  </si>
  <si>
    <t>BALAK</t>
  </si>
  <si>
    <t>APPLE</t>
  </si>
  <si>
    <t>INDIA MAP</t>
  </si>
  <si>
    <t>2IN1  PAINTING KIT</t>
  </si>
  <si>
    <t>CHARMIN JWELLERY (MINI)</t>
  </si>
  <si>
    <t>NAIL ART - JUNIOR</t>
  </si>
  <si>
    <t>SMALL  LUDO  TOP</t>
  </si>
  <si>
    <t>BIG LUDO TOP</t>
  </si>
  <si>
    <t>KIDIA LUDO   TOP</t>
  </si>
  <si>
    <t>KELLY WELLY LUDO</t>
  </si>
  <si>
    <t>50+30</t>
  </si>
  <si>
    <t xml:space="preserve">ROHIT ENTERPRISES </t>
  </si>
  <si>
    <t>HINDI VARNAMALA</t>
  </si>
  <si>
    <t>ALPHABETS + NUMBERS</t>
  </si>
  <si>
    <t>OK</t>
  </si>
  <si>
    <t>===</t>
  </si>
  <si>
    <t>==</t>
  </si>
  <si>
    <t>8 BEND APPLE</t>
  </si>
  <si>
    <t>BLAZE CAR</t>
  </si>
  <si>
    <t>HARLEY</t>
  </si>
  <si>
    <t>GOOD PURCHASE</t>
  </si>
  <si>
    <t>MIX  DATES</t>
  </si>
  <si>
    <t>UP TO 31-MAY-23</t>
  </si>
  <si>
    <t>PARADISE STATIONERY</t>
  </si>
  <si>
    <t>CHANDINI</t>
  </si>
  <si>
    <t>START</t>
  </si>
  <si>
    <t>STOP</t>
  </si>
  <si>
    <t>SONI</t>
  </si>
  <si>
    <t>KITTU</t>
  </si>
  <si>
    <t>BOX ITEMS</t>
  </si>
  <si>
    <t>SUPER COOL JHOOMER</t>
  </si>
  <si>
    <t>DZ</t>
  </si>
  <si>
    <t>PIECE</t>
  </si>
  <si>
    <t>NO</t>
  </si>
  <si>
    <t>PRODUCT</t>
  </si>
  <si>
    <t>P.P IN DZ</t>
  </si>
  <si>
    <t>P.P IN PCS</t>
  </si>
  <si>
    <t>PARIS JHOOMER</t>
  </si>
  <si>
    <t>POP JHOOMER</t>
  </si>
  <si>
    <t>NOKIA JHOOMER</t>
  </si>
  <si>
    <t>BABY ACCENT CAR</t>
  </si>
  <si>
    <t>MINI ACCENT CAR</t>
  </si>
  <si>
    <t>POLO DUMPER</t>
  </si>
  <si>
    <t xml:space="preserve">REGULAR </t>
  </si>
  <si>
    <t>9:28:00PM</t>
  </si>
  <si>
    <t>ABSENT</t>
  </si>
  <si>
    <t>inner</t>
  </si>
  <si>
    <t>TRICYCLE &amp; PARENTAL</t>
  </si>
  <si>
    <t>PREM SONI PUNCH</t>
  </si>
  <si>
    <t>JUNGLE CAR</t>
  </si>
  <si>
    <t>CHAMP  BASKET SWING CAR</t>
  </si>
  <si>
    <t>DUCK</t>
  </si>
  <si>
    <t>ELEPHANT</t>
  </si>
  <si>
    <t>UNICORN</t>
  </si>
  <si>
    <t>LOTTO</t>
  </si>
  <si>
    <t>SKY INDIA</t>
  </si>
  <si>
    <t>LEFT FOR FORCLOSER</t>
  </si>
  <si>
    <t>ALREADY DEBITED FROM ACCOUNT</t>
  </si>
  <si>
    <t>NAND ADVANI</t>
  </si>
  <si>
    <t>PREETAM  ADVANI</t>
  </si>
  <si>
    <t>OM ADVANI FOR CONSTURCTION</t>
  </si>
  <si>
    <t>OM ADVANI</t>
  </si>
  <si>
    <t>FIRST CONTACT</t>
  </si>
  <si>
    <t>SECOND CONTACT</t>
  </si>
  <si>
    <t>THIRD CONTACT</t>
  </si>
  <si>
    <t>SOLUTIONS</t>
  </si>
  <si>
    <t>SECOND SOLUTIONS</t>
  </si>
  <si>
    <t>BANK</t>
  </si>
  <si>
    <t>JUGNU</t>
  </si>
  <si>
    <t>TOY  WORLD</t>
  </si>
  <si>
    <t>NISAR STATIONERY</t>
  </si>
  <si>
    <t>total ok</t>
  </si>
  <si>
    <t>cash  we  have</t>
  </si>
  <si>
    <t>cash we need</t>
  </si>
  <si>
    <t>amount we need in bank</t>
  </si>
  <si>
    <t>amount we have in bank</t>
  </si>
  <si>
    <t>CUSTOMER KA KUM</t>
  </si>
  <si>
    <t>TANMYA BASNA KA</t>
  </si>
  <si>
    <t>AKASH JIA</t>
  </si>
  <si>
    <t>TIE PURCHASE</t>
  </si>
  <si>
    <t>SHOP PURCHASE</t>
  </si>
  <si>
    <t>ok</t>
  </si>
  <si>
    <t>RTGS</t>
  </si>
  <si>
    <t>de diye 8-1-24 ko</t>
  </si>
  <si>
    <t>1june 23 se 30nov 23 tk</t>
  </si>
  <si>
    <t>1 dec ko advance</t>
  </si>
  <si>
    <t>NISAR OK</t>
  </si>
  <si>
    <t>TOY WORLD OK</t>
  </si>
  <si>
    <t>NISAR TOYS OK</t>
  </si>
  <si>
    <t>JUGNU OK</t>
  </si>
  <si>
    <t>TOY VILLA OK</t>
  </si>
  <si>
    <t>NOVICE OK</t>
  </si>
  <si>
    <t>A2Z  OK</t>
  </si>
  <si>
    <t>TOY GALLERY OK</t>
  </si>
  <si>
    <t>NOOR OK</t>
  </si>
  <si>
    <t>FOR KANHAIYALAL</t>
  </si>
  <si>
    <t>FOR NIYAMITIKARAN</t>
  </si>
  <si>
    <t>IDBI SEARCH REPORT CHARGES</t>
  </si>
  <si>
    <t>ICICI SEARCH REPORT CHARGES</t>
  </si>
  <si>
    <t>CASH TO RISHI</t>
  </si>
  <si>
    <t>FROM UPI (SAMEER)</t>
  </si>
  <si>
    <t>LOGIN FEES</t>
  </si>
  <si>
    <t xml:space="preserve">CHEQUE CLEARED OF ICICI </t>
  </si>
  <si>
    <t>CHEQUE CLEARED OF IDBI</t>
  </si>
  <si>
    <t>ICICI LOAN CHEQUE OF ICICI</t>
  </si>
  <si>
    <t>CASH TO RISHI (LOAN PROCESS)</t>
  </si>
  <si>
    <t>CASH RETURNED TO S.V</t>
  </si>
  <si>
    <t>REST OF THE (2L AMOUNT FOR PURCHASING FROM V.C MONEY</t>
  </si>
  <si>
    <t>A2Z</t>
  </si>
  <si>
    <t>NISAR TOYS</t>
  </si>
  <si>
    <t>K</t>
  </si>
  <si>
    <t>P</t>
  </si>
  <si>
    <t>PARTY</t>
  </si>
  <si>
    <t>CASH WE HAVE</t>
  </si>
  <si>
    <t>BANK WE HAVE</t>
  </si>
  <si>
    <t>ZEE</t>
  </si>
  <si>
    <t>TOY ZONE</t>
  </si>
  <si>
    <t>EVERY DAY</t>
  </si>
  <si>
    <t>DAYS LEFT</t>
  </si>
  <si>
    <t>PYTM WE HAVE</t>
  </si>
  <si>
    <t>still we need in account</t>
  </si>
  <si>
    <t xml:space="preserve"> cash we need more</t>
  </si>
  <si>
    <t>PITAMBRA</t>
  </si>
  <si>
    <t>CAR EMI</t>
  </si>
  <si>
    <t>WE HAVE</t>
  </si>
  <si>
    <t>k pending</t>
  </si>
  <si>
    <t>p pending</t>
  </si>
  <si>
    <t>nisar toy</t>
  </si>
  <si>
    <t>nisar stationery</t>
  </si>
  <si>
    <t>jugnu</t>
  </si>
  <si>
    <t xml:space="preserve">TOY WORLD </t>
  </si>
  <si>
    <t>VYAS DELHI</t>
  </si>
</sst>
</file>

<file path=xl/styles.xml><?xml version="1.0" encoding="utf-8"?>
<styleSheet xmlns="http://schemas.openxmlformats.org/spreadsheetml/2006/main">
  <numFmts count="4">
    <numFmt numFmtId="164" formatCode="[$-F400]h\.mm\.ss\ AM/PM"/>
    <numFmt numFmtId="165" formatCode="[$-14009]hh\.mm\.ss;@"/>
    <numFmt numFmtId="166" formatCode="h\.mm"/>
    <numFmt numFmtId="167" formatCode="[$-14009]dd/mm/yy;@"/>
  </numFmts>
  <fonts count="24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Bookman Old Style"/>
      <family val="1"/>
    </font>
    <font>
      <u/>
      <sz val="18"/>
      <color theme="10"/>
      <name val="Bookman Old Style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Book Antiqua"/>
      <family val="1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4D5156"/>
      <name val="Arial"/>
      <family val="2"/>
    </font>
    <font>
      <b/>
      <sz val="2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FFFF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0" fillId="0" borderId="1" applyNumberFormat="0" applyFill="0" applyAlignment="0" applyProtection="0"/>
    <xf numFmtId="9" fontId="14" fillId="0" borderId="0" applyFont="0" applyFill="0" applyBorder="0" applyAlignment="0" applyProtection="0"/>
    <xf numFmtId="0" fontId="15" fillId="2" borderId="2" applyNumberFormat="0" applyAlignment="0" applyProtection="0"/>
    <xf numFmtId="0" fontId="22" fillId="3" borderId="0" applyNumberFormat="0" applyBorder="0" applyAlignment="0" applyProtection="0"/>
  </cellStyleXfs>
  <cellXfs count="5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 applyAlignment="1" applyProtection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8" fillId="0" borderId="0" xfId="0" applyFont="1"/>
    <xf numFmtId="0" fontId="0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9" fillId="0" borderId="0" xfId="0" applyFont="1"/>
    <xf numFmtId="14" fontId="0" fillId="0" borderId="0" xfId="0" applyNumberFormat="1" applyFont="1" applyAlignment="1">
      <alignment horizontal="center"/>
    </xf>
    <xf numFmtId="14" fontId="0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10" fillId="0" borderId="1" xfId="2" applyAlignment="1">
      <alignment horizontal="center"/>
    </xf>
    <xf numFmtId="0" fontId="13" fillId="0" borderId="0" xfId="0" applyFont="1"/>
    <xf numFmtId="0" fontId="10" fillId="0" borderId="1" xfId="2"/>
    <xf numFmtId="1" fontId="14" fillId="0" borderId="0" xfId="3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quotePrefix="1"/>
    <xf numFmtId="14" fontId="0" fillId="0" borderId="0" xfId="0" applyNumberFormat="1" applyAlignment="1">
      <alignment horizontal="right"/>
    </xf>
    <xf numFmtId="14" fontId="8" fillId="0" borderId="0" xfId="0" applyNumberFormat="1" applyFont="1"/>
    <xf numFmtId="0" fontId="16" fillId="0" borderId="0" xfId="0" applyFont="1" applyAlignment="1">
      <alignment horizontal="center"/>
    </xf>
    <xf numFmtId="164" fontId="5" fillId="2" borderId="2" xfId="4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7" fillId="0" borderId="0" xfId="0" applyFont="1"/>
    <xf numFmtId="0" fontId="18" fillId="0" borderId="0" xfId="0" applyFont="1"/>
    <xf numFmtId="0" fontId="19" fillId="0" borderId="0" xfId="0" applyFont="1"/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4" fontId="0" fillId="0" borderId="0" xfId="0" applyNumberFormat="1"/>
    <xf numFmtId="166" fontId="20" fillId="0" borderId="0" xfId="0" applyNumberFormat="1" applyFont="1"/>
    <xf numFmtId="20" fontId="0" fillId="0" borderId="0" xfId="0" applyNumberFormat="1" applyAlignment="1">
      <alignment horizontal="center"/>
    </xf>
    <xf numFmtId="0" fontId="0" fillId="0" borderId="0" xfId="0" applyAlignment="1"/>
    <xf numFmtId="0" fontId="21" fillId="0" borderId="0" xfId="0" applyFont="1"/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2" fillId="3" borderId="0" xfId="5"/>
    <xf numFmtId="0" fontId="22" fillId="3" borderId="0" xfId="5" applyAlignment="1">
      <alignment horizontal="center"/>
    </xf>
    <xf numFmtId="0" fontId="23" fillId="0" borderId="0" xfId="0" applyFont="1"/>
  </cellXfs>
  <cellStyles count="6">
    <cellStyle name="Calculation" xfId="4" builtinId="22"/>
    <cellStyle name="Good" xfId="5" builtinId="26"/>
    <cellStyle name="Heading 1" xfId="2" builtinId="16"/>
    <cellStyle name="Hyperlink" xfId="1" builtinId="8"/>
    <cellStyle name="Normal" xfId="0" builtinId="0"/>
    <cellStyle name="Percent" xfId="3" builtinId="5"/>
  </cellStyles>
  <dxfs count="8"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00B050"/>
      </font>
    </dxf>
    <dxf>
      <font>
        <color rgb="FFFF0000"/>
      </font>
      <fill>
        <patternFill>
          <bgColor theme="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externalLink" Target="externalLinks/externalLink10.xml"/><Relationship Id="rId39" Type="http://schemas.openxmlformats.org/officeDocument/2006/relationships/externalLink" Target="externalLinks/externalLink2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34" Type="http://schemas.openxmlformats.org/officeDocument/2006/relationships/externalLink" Target="externalLinks/externalLink18.xml"/><Relationship Id="rId42" Type="http://schemas.openxmlformats.org/officeDocument/2006/relationships/externalLink" Target="externalLinks/externalLink26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externalLink" Target="externalLinks/externalLink9.xml"/><Relationship Id="rId33" Type="http://schemas.openxmlformats.org/officeDocument/2006/relationships/externalLink" Target="externalLinks/externalLink17.xml"/><Relationship Id="rId38" Type="http://schemas.openxmlformats.org/officeDocument/2006/relationships/externalLink" Target="externalLinks/externalLink22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29" Type="http://schemas.openxmlformats.org/officeDocument/2006/relationships/externalLink" Target="externalLinks/externalLink13.xml"/><Relationship Id="rId41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8.xml"/><Relationship Id="rId32" Type="http://schemas.openxmlformats.org/officeDocument/2006/relationships/externalLink" Target="externalLinks/externalLink16.xml"/><Relationship Id="rId37" Type="http://schemas.openxmlformats.org/officeDocument/2006/relationships/externalLink" Target="externalLinks/externalLink21.xml"/><Relationship Id="rId40" Type="http://schemas.openxmlformats.org/officeDocument/2006/relationships/externalLink" Target="externalLinks/externalLink24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7.xml"/><Relationship Id="rId28" Type="http://schemas.openxmlformats.org/officeDocument/2006/relationships/externalLink" Target="externalLinks/externalLink12.xml"/><Relationship Id="rId36" Type="http://schemas.openxmlformats.org/officeDocument/2006/relationships/externalLink" Target="externalLinks/externalLink20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31" Type="http://schemas.openxmlformats.org/officeDocument/2006/relationships/externalLink" Target="externalLinks/externalLink15.xml"/><Relationship Id="rId44" Type="http://schemas.openxmlformats.org/officeDocument/2006/relationships/externalLink" Target="externalLinks/externalLink2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Relationship Id="rId27" Type="http://schemas.openxmlformats.org/officeDocument/2006/relationships/externalLink" Target="externalLinks/externalLink11.xml"/><Relationship Id="rId30" Type="http://schemas.openxmlformats.org/officeDocument/2006/relationships/externalLink" Target="externalLinks/externalLink14.xml"/><Relationship Id="rId35" Type="http://schemas.openxmlformats.org/officeDocument/2006/relationships/externalLink" Target="externalLinks/externalLink19.xml"/><Relationship Id="rId43" Type="http://schemas.openxmlformats.org/officeDocument/2006/relationships/externalLink" Target="externalLinks/externalLink27.xml"/><Relationship Id="rId48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9</xdr:row>
      <xdr:rowOff>114300</xdr:rowOff>
    </xdr:from>
    <xdr:to>
      <xdr:col>0</xdr:col>
      <xdr:colOff>2152650</xdr:colOff>
      <xdr:row>19</xdr:row>
      <xdr:rowOff>57150</xdr:rowOff>
    </xdr:to>
    <xdr:pic>
      <xdr:nvPicPr>
        <xdr:cNvPr id="2" name="Picture 1" descr="WhatsApp Image 2023-07-14 at 10.39.42 AM.jpe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4800" y="1981200"/>
          <a:ext cx="1847850" cy="184785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YUSH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ANJAY%20TRADER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GALLER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WORL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UP%20MEERU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VIJAY%20MAL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WALKER%20BHILAI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GAURI%20SHANKAR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GANGA%20TOY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JAI%20PRAKASH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PALLAVI%20SPO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HAWANI%20JBP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BALAJI%20(DELHI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VILLA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PRIME%20DELHI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JULIYA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UNIT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PARADISE%20STATIONERY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NOVICE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NISAR%20STATIONARY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DETAI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IR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UMAR%20NEW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.K%20DELH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O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M%20SAI%20DELH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P%20DELH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AGAR%20UNC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332229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134668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53280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2455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5527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37590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56312</v>
          </cell>
        </row>
      </sheetData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190</v>
          </cell>
        </row>
      </sheetData>
      <sheetData sheetId="1"/>
      <sheetData sheetId="2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89003</v>
          </cell>
        </row>
      </sheetData>
      <sheetData sheetId="1"/>
      <sheetData sheetId="2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26956</v>
          </cell>
        </row>
      </sheetData>
      <sheetData sheetId="1"/>
      <sheetData sheetId="2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5"/>
      <sheetName val="Sheet3"/>
      <sheetName val="Sheet4"/>
      <sheetName val="Sheet7"/>
      <sheetName val="Sheet6"/>
      <sheetName val="Sheet8"/>
      <sheetName val="Sheet9"/>
      <sheetName val="Sheet10"/>
      <sheetName val="Sheet11"/>
      <sheetName val="Sheet12"/>
    </sheetNames>
    <sheetDataSet>
      <sheetData sheetId="0"/>
      <sheetData sheetId="1"/>
      <sheetData sheetId="2">
        <row r="1">
          <cell r="G1">
            <v>1339053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68743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133629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22940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9"/>
  <sheetViews>
    <sheetView topLeftCell="C1" zoomScale="80" zoomScaleNormal="80" workbookViewId="0">
      <selection activeCell="K26" sqref="K26"/>
    </sheetView>
  </sheetViews>
  <sheetFormatPr defaultRowHeight="15"/>
  <cols>
    <col min="1" max="1" width="43.85546875" customWidth="1"/>
    <col min="2" max="2" width="17.42578125" customWidth="1"/>
    <col min="3" max="3" width="11.5703125" customWidth="1"/>
    <col min="5" max="5" width="12.28515625" customWidth="1"/>
    <col min="6" max="6" width="20.140625" customWidth="1"/>
    <col min="7" max="7" width="6.140625" customWidth="1"/>
    <col min="8" max="8" width="6.5703125" customWidth="1"/>
    <col min="9" max="9" width="42.28515625" customWidth="1"/>
    <col min="10" max="10" width="19.5703125" customWidth="1"/>
    <col min="11" max="11" width="21.7109375" customWidth="1"/>
    <col min="12" max="12" width="27.85546875" customWidth="1"/>
    <col min="13" max="13" width="20" customWidth="1"/>
    <col min="14" max="14" width="28.7109375" customWidth="1"/>
  </cols>
  <sheetData>
    <row r="1" spans="1:14" ht="24" thickBot="1">
      <c r="A1" s="2" t="s">
        <v>0</v>
      </c>
      <c r="B1" s="3">
        <f>[1]Sheet1!$E$38</f>
        <v>0</v>
      </c>
      <c r="D1" s="23"/>
      <c r="E1" s="23"/>
      <c r="F1" s="23"/>
      <c r="G1" s="23"/>
      <c r="H1" s="23"/>
      <c r="I1" s="29"/>
      <c r="J1" s="29" t="s">
        <v>24</v>
      </c>
      <c r="K1" s="29" t="s">
        <v>128</v>
      </c>
      <c r="L1" s="31" t="s">
        <v>129</v>
      </c>
    </row>
    <row r="2" spans="1:14" ht="24" thickTop="1">
      <c r="A2" s="2" t="s">
        <v>1</v>
      </c>
      <c r="B2" s="3">
        <f>[2]Sheet1!$E$38</f>
        <v>0</v>
      </c>
      <c r="D2" s="23"/>
      <c r="E2" s="23"/>
      <c r="F2" s="23"/>
      <c r="G2" s="23"/>
      <c r="H2" s="23"/>
      <c r="I2" s="23" t="s">
        <v>254</v>
      </c>
      <c r="J2" s="24">
        <f>2706+126199+15796+150-50000-67274-20000</f>
        <v>7577</v>
      </c>
      <c r="K2" s="13"/>
      <c r="L2" s="8">
        <f>J2-K2</f>
        <v>7577</v>
      </c>
      <c r="M2" t="s">
        <v>241</v>
      </c>
      <c r="N2" s="11"/>
    </row>
    <row r="3" spans="1:14" ht="23.25">
      <c r="A3" s="2" t="s">
        <v>13</v>
      </c>
      <c r="B3" s="3">
        <f>[3]Sheet1!$E$38</f>
        <v>0</v>
      </c>
      <c r="D3" s="23"/>
      <c r="E3" s="23"/>
      <c r="F3" s="23"/>
      <c r="G3" s="23"/>
      <c r="H3" s="23"/>
      <c r="I3" s="23" t="s">
        <v>253</v>
      </c>
      <c r="J3" s="24">
        <f>SUM(36474+89544+19810+4960+350-50000-50000-50000+37965)</f>
        <v>39103</v>
      </c>
      <c r="K3" s="13"/>
      <c r="L3" s="8">
        <f>J3-K3</f>
        <v>39103</v>
      </c>
      <c r="M3" t="s">
        <v>241</v>
      </c>
      <c r="N3" s="8"/>
    </row>
    <row r="4" spans="1:14" ht="23.25">
      <c r="A4" s="2" t="s">
        <v>2</v>
      </c>
      <c r="B4" s="2">
        <f>[4]Sheet1!$E$38</f>
        <v>68743</v>
      </c>
      <c r="D4" s="23"/>
      <c r="E4" s="23"/>
      <c r="F4" s="23"/>
      <c r="G4" s="23"/>
      <c r="H4" s="23"/>
      <c r="I4" s="23" t="s">
        <v>250</v>
      </c>
      <c r="J4" s="24">
        <f>SUM(16297+16704+27270-20000)</f>
        <v>40271</v>
      </c>
      <c r="K4" s="13"/>
      <c r="L4" s="8">
        <f>J4</f>
        <v>40271</v>
      </c>
      <c r="M4" t="s">
        <v>241</v>
      </c>
      <c r="N4" s="8"/>
    </row>
    <row r="5" spans="1:14" ht="23.25">
      <c r="A5" s="2" t="s">
        <v>3</v>
      </c>
      <c r="B5" s="2">
        <f>[5]Sheet1!$E$38</f>
        <v>0</v>
      </c>
      <c r="D5" s="23"/>
      <c r="E5" s="23"/>
      <c r="F5" s="23"/>
      <c r="G5" s="23"/>
      <c r="H5" s="23"/>
      <c r="I5" s="23" t="s">
        <v>251</v>
      </c>
      <c r="J5" s="24">
        <f>89244-23891-65000</f>
        <v>353</v>
      </c>
      <c r="K5" s="8"/>
      <c r="L5" s="8">
        <f>J5-K5</f>
        <v>353</v>
      </c>
      <c r="M5" t="s">
        <v>241</v>
      </c>
      <c r="N5" s="8"/>
    </row>
    <row r="6" spans="1:14" ht="23.25">
      <c r="A6" s="2" t="s">
        <v>4</v>
      </c>
      <c r="B6" s="2">
        <f>[6]Sheet1!$E$38</f>
        <v>133629</v>
      </c>
      <c r="D6" s="23"/>
      <c r="E6" s="23"/>
      <c r="F6" s="23"/>
      <c r="G6" s="23"/>
      <c r="H6" s="23"/>
      <c r="I6" s="23" t="s">
        <v>246</v>
      </c>
      <c r="J6" s="24">
        <f>SUM(36824-20000+18130)</f>
        <v>34954</v>
      </c>
      <c r="K6" s="8"/>
      <c r="L6" s="8">
        <f>J6</f>
        <v>34954</v>
      </c>
      <c r="M6" t="s">
        <v>241</v>
      </c>
      <c r="N6" s="8"/>
    </row>
    <row r="7" spans="1:14" ht="23.25">
      <c r="A7" s="2" t="s">
        <v>5</v>
      </c>
      <c r="B7" s="2">
        <f>[7]Sheet1!$E$38</f>
        <v>22940</v>
      </c>
      <c r="D7" s="23"/>
      <c r="E7" s="23"/>
      <c r="F7" s="23"/>
      <c r="G7" s="23"/>
      <c r="H7" s="23"/>
      <c r="I7" s="23" t="s">
        <v>249</v>
      </c>
      <c r="J7" s="24">
        <f>SUM(32870+100-14150-12800+21135)</f>
        <v>27155</v>
      </c>
      <c r="K7" s="8"/>
      <c r="L7" s="8">
        <f>J7-K7</f>
        <v>27155</v>
      </c>
      <c r="M7" t="s">
        <v>241</v>
      </c>
    </row>
    <row r="8" spans="1:14" ht="23.25">
      <c r="A8" s="2" t="s">
        <v>6</v>
      </c>
      <c r="B8" s="2">
        <f>[8]Sheet1!$E$38</f>
        <v>0</v>
      </c>
      <c r="D8" s="23"/>
      <c r="E8" s="23"/>
      <c r="F8" s="23"/>
      <c r="G8" s="23"/>
      <c r="H8" s="23"/>
      <c r="I8" s="23" t="s">
        <v>247</v>
      </c>
      <c r="J8" s="24">
        <f>98768-49000-49000+44688+7080</f>
        <v>52536</v>
      </c>
      <c r="K8" s="8"/>
      <c r="L8" s="8">
        <f>J8-K8</f>
        <v>52536</v>
      </c>
      <c r="M8" t="s">
        <v>241</v>
      </c>
    </row>
    <row r="9" spans="1:14" ht="23.25">
      <c r="A9" s="2" t="s">
        <v>7</v>
      </c>
      <c r="B9" s="2">
        <f>[9]Sheet1!$E$38</f>
        <v>0</v>
      </c>
      <c r="D9" s="23"/>
      <c r="E9" s="23"/>
      <c r="F9" s="23"/>
      <c r="G9" s="23"/>
      <c r="H9" s="23"/>
      <c r="I9" s="23" t="s">
        <v>252</v>
      </c>
      <c r="J9" s="24">
        <f>17530+50-6573-10000</f>
        <v>1007</v>
      </c>
      <c r="L9" s="8">
        <f>J9</f>
        <v>1007</v>
      </c>
      <c r="M9" t="s">
        <v>174</v>
      </c>
    </row>
    <row r="10" spans="1:14" ht="23.25">
      <c r="A10" s="2" t="s">
        <v>8</v>
      </c>
      <c r="B10" s="2">
        <f>[10]Sheet1!$E$38</f>
        <v>0</v>
      </c>
      <c r="D10" s="23"/>
      <c r="E10" s="23">
        <f>SUM(B1,B3,B4,B5,B8,B9,B13,B18,B20,B21,B23,B24)</f>
        <v>106333</v>
      </c>
      <c r="F10" s="23" t="s">
        <v>22</v>
      </c>
      <c r="G10" s="23"/>
      <c r="H10" s="26"/>
      <c r="I10" s="23" t="s">
        <v>248</v>
      </c>
      <c r="J10" s="24">
        <v>2320</v>
      </c>
      <c r="L10" s="8">
        <f>J10</f>
        <v>2320</v>
      </c>
      <c r="N10" s="8"/>
    </row>
    <row r="11" spans="1:14" ht="23.25">
      <c r="A11" s="2" t="s">
        <v>15</v>
      </c>
      <c r="B11" s="2">
        <f>[11]Sheet1!$E$38</f>
        <v>332229</v>
      </c>
      <c r="D11" s="23"/>
      <c r="E11" s="23">
        <f>SUM(B6,B12,B11,B22,B27,B30)</f>
        <v>772797</v>
      </c>
      <c r="F11" s="23" t="s">
        <v>20</v>
      </c>
      <c r="G11" s="23"/>
      <c r="H11" s="26"/>
      <c r="I11" s="23" t="s">
        <v>70</v>
      </c>
      <c r="J11" s="24"/>
      <c r="L11" s="8"/>
    </row>
    <row r="12" spans="1:14" ht="26.25">
      <c r="A12" s="2" t="s">
        <v>9</v>
      </c>
      <c r="B12" s="2">
        <f>[12]Sheet1!$E$38</f>
        <v>134668</v>
      </c>
      <c r="D12" s="23"/>
      <c r="E12" s="23">
        <f>SUM(B2,B7,B14,B17,B19)</f>
        <v>84202</v>
      </c>
      <c r="F12" s="23" t="s">
        <v>21</v>
      </c>
      <c r="G12" s="23"/>
      <c r="H12" s="26"/>
      <c r="I12" s="23"/>
      <c r="J12" s="55" t="s">
        <v>24</v>
      </c>
      <c r="K12" s="55" t="s">
        <v>242</v>
      </c>
      <c r="L12" s="55" t="s">
        <v>70</v>
      </c>
    </row>
    <row r="13" spans="1:14" ht="23.25">
      <c r="A13" s="2" t="s">
        <v>10</v>
      </c>
      <c r="B13" s="2">
        <f>[13]Sheet1!$E$38</f>
        <v>0</v>
      </c>
      <c r="D13" s="23"/>
      <c r="E13" s="23">
        <f>SUM(B16,B10,B25)</f>
        <v>0</v>
      </c>
      <c r="F13" s="23" t="s">
        <v>23</v>
      </c>
      <c r="G13" s="23"/>
      <c r="H13" s="23"/>
      <c r="I13" s="23"/>
      <c r="J13" s="24">
        <f>SUM(J2:J11)</f>
        <v>205276</v>
      </c>
      <c r="K13" s="24">
        <f>SUM(K2:K9)</f>
        <v>0</v>
      </c>
      <c r="L13" s="24">
        <f>SUM(L2:L9)</f>
        <v>202956</v>
      </c>
    </row>
    <row r="14" spans="1:14" ht="23.25">
      <c r="A14" s="2" t="s">
        <v>11</v>
      </c>
      <c r="B14" s="2">
        <f>[14]Sheet1!$E$38</f>
        <v>53280</v>
      </c>
      <c r="D14" s="23"/>
      <c r="E14" s="23"/>
      <c r="F14" s="23"/>
      <c r="G14" s="23"/>
      <c r="H14" s="23"/>
      <c r="I14" s="23"/>
      <c r="J14" s="24"/>
    </row>
    <row r="15" spans="1:14" ht="23.25">
      <c r="A15" s="2"/>
      <c r="B15" s="2"/>
      <c r="D15" s="23"/>
      <c r="E15" s="23"/>
      <c r="F15" s="23"/>
      <c r="G15" s="23"/>
      <c r="H15" s="23"/>
      <c r="I15" s="23"/>
      <c r="J15" s="11"/>
    </row>
    <row r="16" spans="1:14" ht="23.25">
      <c r="A16" s="2" t="s">
        <v>12</v>
      </c>
      <c r="B16" s="2">
        <f>[15]Sheet1!$E$38</f>
        <v>0</v>
      </c>
      <c r="D16" s="23"/>
      <c r="E16" s="26">
        <f>SUM(E10:E13)</f>
        <v>963332</v>
      </c>
      <c r="F16" s="26" t="s">
        <v>24</v>
      </c>
      <c r="G16" s="23"/>
      <c r="H16" s="23"/>
      <c r="I16" s="23"/>
      <c r="J16" s="11"/>
    </row>
    <row r="17" spans="1:12" ht="23.25">
      <c r="A17" s="2" t="s">
        <v>16</v>
      </c>
      <c r="B17" s="2">
        <f>[16]Sheet1!$E$38</f>
        <v>2455</v>
      </c>
      <c r="D17" s="23"/>
      <c r="E17" s="23"/>
      <c r="F17" s="23"/>
      <c r="G17" s="23"/>
      <c r="H17" s="23"/>
      <c r="I17" s="23"/>
      <c r="J17" s="11"/>
    </row>
    <row r="18" spans="1:12" ht="23.25">
      <c r="A18" s="2" t="s">
        <v>17</v>
      </c>
      <c r="B18" s="2">
        <f>[17]Sheet1!$E$38</f>
        <v>0</v>
      </c>
      <c r="D18" s="23"/>
      <c r="E18" s="23"/>
      <c r="F18" s="23"/>
      <c r="G18" s="23"/>
      <c r="H18" s="23"/>
      <c r="I18" s="23"/>
      <c r="J18" s="11"/>
    </row>
    <row r="19" spans="1:12" ht="23.25">
      <c r="A19" s="2" t="s">
        <v>18</v>
      </c>
      <c r="B19" s="6">
        <f>[18]Sheet1!$E$38</f>
        <v>5527</v>
      </c>
      <c r="D19" s="23"/>
      <c r="E19" s="23"/>
      <c r="F19" s="23"/>
      <c r="G19" s="23"/>
      <c r="H19" s="23"/>
      <c r="I19" s="23"/>
      <c r="J19" s="11"/>
      <c r="L19" s="11"/>
    </row>
    <row r="20" spans="1:12" ht="23.25">
      <c r="A20" s="2" t="s">
        <v>19</v>
      </c>
      <c r="B20" s="6">
        <f>[19]Sheet1!$E$38</f>
        <v>0</v>
      </c>
      <c r="D20" s="23"/>
      <c r="E20" s="23"/>
      <c r="F20" s="23"/>
      <c r="G20" s="23"/>
      <c r="H20" s="23"/>
      <c r="I20" s="27"/>
      <c r="J20" s="11"/>
      <c r="K20" s="28"/>
      <c r="L20" s="28"/>
    </row>
    <row r="21" spans="1:12" ht="23.25">
      <c r="A21" s="2" t="s">
        <v>25</v>
      </c>
      <c r="B21" s="9">
        <f>[20]Sheet1!$E$38</f>
        <v>37590</v>
      </c>
      <c r="D21" s="23"/>
      <c r="E21" s="23"/>
      <c r="F21" s="23"/>
      <c r="G21" s="23"/>
      <c r="H21" s="23"/>
      <c r="I21" s="24"/>
      <c r="J21" s="24"/>
    </row>
    <row r="22" spans="1:12" ht="23.25">
      <c r="A22" s="2" t="s">
        <v>26</v>
      </c>
      <c r="B22" s="9">
        <f>[21]Sheet1!$E$38</f>
        <v>56312</v>
      </c>
      <c r="D22" s="23"/>
      <c r="E22" s="23"/>
      <c r="F22" s="23"/>
      <c r="G22" s="23"/>
      <c r="H22" s="23"/>
      <c r="J22" s="24"/>
    </row>
    <row r="23" spans="1:12" ht="23.25">
      <c r="A23" s="2" t="s">
        <v>27</v>
      </c>
      <c r="B23" s="9">
        <f>[22]Sheet1!$E$38</f>
        <v>0</v>
      </c>
      <c r="D23" s="23"/>
      <c r="E23" s="23"/>
      <c r="F23" s="23"/>
      <c r="G23" s="23"/>
      <c r="H23" s="23"/>
      <c r="I23" s="30"/>
      <c r="J23" s="24"/>
    </row>
    <row r="24" spans="1:12" ht="23.25">
      <c r="A24" s="2" t="s">
        <v>28</v>
      </c>
      <c r="B24" s="9">
        <f>[23]Sheet1!$E$38</f>
        <v>0</v>
      </c>
      <c r="I24" s="24"/>
      <c r="J24" s="24"/>
    </row>
    <row r="25" spans="1:12" ht="23.25">
      <c r="A25" s="2" t="s">
        <v>29</v>
      </c>
      <c r="B25" s="9">
        <f>[24]Sheet1!$E$38</f>
        <v>0</v>
      </c>
      <c r="G25" s="7"/>
      <c r="I25" s="24"/>
      <c r="J25" s="24"/>
    </row>
    <row r="26" spans="1:12" ht="23.25">
      <c r="A26" s="2" t="s">
        <v>183</v>
      </c>
      <c r="B26" s="9">
        <f>[25]Sheet1!$E$38</f>
        <v>190</v>
      </c>
      <c r="G26" s="7"/>
      <c r="I26" s="13"/>
      <c r="J26" s="13"/>
    </row>
    <row r="27" spans="1:12" ht="23.25">
      <c r="A27" s="2" t="s">
        <v>71</v>
      </c>
      <c r="B27" s="9">
        <f>[26]Sheet1!$E$38</f>
        <v>89003</v>
      </c>
      <c r="I27" s="8"/>
      <c r="J27" s="13"/>
    </row>
    <row r="28" spans="1:12" ht="23.25">
      <c r="A28" s="2"/>
      <c r="B28" s="9"/>
      <c r="I28" s="8"/>
      <c r="J28" s="13"/>
    </row>
    <row r="29" spans="1:12" ht="23.25">
      <c r="A29" s="2"/>
      <c r="B29" s="9"/>
      <c r="I29" s="11"/>
      <c r="J29" s="13"/>
    </row>
    <row r="30" spans="1:12" ht="23.25">
      <c r="A30" s="2" t="s">
        <v>72</v>
      </c>
      <c r="B30" s="9">
        <f>[27]Sheet1!$E$38</f>
        <v>26956</v>
      </c>
      <c r="I30" s="11"/>
      <c r="J30" s="8"/>
    </row>
    <row r="31" spans="1:12" ht="23.25">
      <c r="B31" s="1">
        <f>SUM(B1:B30)</f>
        <v>963522</v>
      </c>
      <c r="I31" s="7"/>
    </row>
    <row r="32" spans="1:12" ht="23.25">
      <c r="B32" s="1">
        <f>[28]Sheet5!$G$1</f>
        <v>1339053</v>
      </c>
    </row>
    <row r="34" spans="1:2" ht="21">
      <c r="A34" s="4" t="s">
        <v>14</v>
      </c>
      <c r="B34" s="5">
        <f>B32-B31</f>
        <v>375531</v>
      </c>
    </row>
    <row r="43" spans="1:2">
      <c r="A43" s="12"/>
      <c r="B43" s="12"/>
    </row>
    <row r="44" spans="1:2">
      <c r="A44" s="7"/>
      <c r="B44" s="7"/>
    </row>
    <row r="49" spans="1:2">
      <c r="A49" s="7"/>
      <c r="B49" s="7"/>
    </row>
  </sheetData>
  <conditionalFormatting sqref="J22">
    <cfRule type="cellIs" dxfId="7" priority="5" operator="greaterThan">
      <formula>0</formula>
    </cfRule>
    <cfRule type="cellIs" dxfId="6" priority="6" operator="lessThan">
      <formula>0</formula>
    </cfRule>
  </conditionalFormatting>
  <conditionalFormatting sqref="J23">
    <cfRule type="cellIs" dxfId="5" priority="1" operator="greaterThan">
      <formula>0</formula>
    </cfRule>
    <cfRule type="cellIs" dxfId="4" priority="2" operator="lessThan">
      <formula>0</formula>
    </cfRule>
  </conditionalFormatting>
  <pageMargins left="0.7" right="0.7" top="0.75" bottom="0.75" header="0.3" footer="0.3"/>
  <pageSetup paperSize="9" orientation="portrait" verticalDpi="0" r:id="rId1"/>
  <webPublishItems count="1">
    <webPublishItem id="14351" divId="main_14351" sourceType="sheet" destinationFile="E:\UPDATE\WEBSITE\2084377289testbysam\IMPORTANT\main.htm" autoRepublish="1"/>
  </webPublishItems>
</worksheet>
</file>

<file path=xl/worksheets/sheet10.xml><?xml version="1.0" encoding="utf-8"?>
<worksheet xmlns="http://schemas.openxmlformats.org/spreadsheetml/2006/main" xmlns:r="http://schemas.openxmlformats.org/officeDocument/2006/relationships">
  <dimension ref="A3:B22"/>
  <sheetViews>
    <sheetView workbookViewId="0">
      <selection activeCell="A3" sqref="A3:B22"/>
    </sheetView>
  </sheetViews>
  <sheetFormatPr defaultRowHeight="15"/>
  <cols>
    <col min="1" max="1" width="22.7109375" customWidth="1"/>
  </cols>
  <sheetData>
    <row r="3" spans="1:2">
      <c r="A3" s="52">
        <v>9992</v>
      </c>
      <c r="B3" t="s">
        <v>206</v>
      </c>
    </row>
    <row r="4" spans="1:2">
      <c r="A4" s="52">
        <v>7610</v>
      </c>
      <c r="B4" t="s">
        <v>206</v>
      </c>
    </row>
    <row r="5" spans="1:2">
      <c r="A5">
        <v>9234</v>
      </c>
      <c r="B5" t="s">
        <v>206</v>
      </c>
    </row>
    <row r="6" spans="1:2">
      <c r="A6">
        <v>9236</v>
      </c>
      <c r="B6" t="s">
        <v>206</v>
      </c>
    </row>
    <row r="7" spans="1:2">
      <c r="A7">
        <v>9234</v>
      </c>
      <c r="B7" t="s">
        <v>206</v>
      </c>
    </row>
    <row r="8" spans="1:2">
      <c r="A8">
        <v>9408</v>
      </c>
      <c r="B8" t="s">
        <v>206</v>
      </c>
    </row>
    <row r="9" spans="1:2">
      <c r="A9">
        <v>7516</v>
      </c>
      <c r="B9" t="s">
        <v>206</v>
      </c>
    </row>
    <row r="10" spans="1:2">
      <c r="A10">
        <v>7517</v>
      </c>
      <c r="B10" t="s">
        <v>206</v>
      </c>
    </row>
    <row r="11" spans="1:2">
      <c r="A11">
        <v>7518</v>
      </c>
      <c r="B11" t="s">
        <v>206</v>
      </c>
    </row>
    <row r="12" spans="1:2">
      <c r="A12">
        <v>5539</v>
      </c>
      <c r="B12" t="s">
        <v>206</v>
      </c>
    </row>
    <row r="13" spans="1:2">
      <c r="A13">
        <v>5540</v>
      </c>
      <c r="B13" t="s">
        <v>206</v>
      </c>
    </row>
    <row r="14" spans="1:2">
      <c r="A14">
        <v>5541</v>
      </c>
      <c r="B14" t="s">
        <v>206</v>
      </c>
    </row>
    <row r="15" spans="1:2">
      <c r="A15">
        <v>5620</v>
      </c>
      <c r="B15" t="s">
        <v>206</v>
      </c>
    </row>
    <row r="16" spans="1:2">
      <c r="A16">
        <v>6428</v>
      </c>
      <c r="B16" t="s">
        <v>206</v>
      </c>
    </row>
    <row r="17" spans="1:2">
      <c r="A17">
        <v>8885</v>
      </c>
      <c r="B17" t="s">
        <v>206</v>
      </c>
    </row>
    <row r="18" spans="1:2">
      <c r="A18">
        <v>7667</v>
      </c>
      <c r="B18" t="s">
        <v>206</v>
      </c>
    </row>
    <row r="19" spans="1:2">
      <c r="A19">
        <v>10604</v>
      </c>
      <c r="B19" t="s">
        <v>206</v>
      </c>
    </row>
    <row r="20" spans="1:2">
      <c r="A20">
        <v>10097</v>
      </c>
      <c r="B20" t="s">
        <v>206</v>
      </c>
    </row>
    <row r="21" spans="1:2">
      <c r="A21">
        <v>8596</v>
      </c>
      <c r="B21" t="s">
        <v>206</v>
      </c>
    </row>
    <row r="22" spans="1:2">
      <c r="A22">
        <v>7636</v>
      </c>
      <c r="B22" t="s">
        <v>206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40"/>
  <sheetViews>
    <sheetView workbookViewId="0">
      <selection sqref="A1:B39"/>
    </sheetView>
  </sheetViews>
  <sheetFormatPr defaultRowHeight="15"/>
  <cols>
    <col min="1" max="1" width="26.5703125" customWidth="1"/>
  </cols>
  <sheetData>
    <row r="1" spans="1:5" ht="18.75">
      <c r="A1" s="11" t="s">
        <v>134</v>
      </c>
      <c r="B1" s="11"/>
      <c r="C1" s="25"/>
      <c r="D1" s="25"/>
      <c r="E1" s="26"/>
    </row>
    <row r="2" spans="1:5">
      <c r="A2" s="8" t="s">
        <v>119</v>
      </c>
      <c r="B2" s="8">
        <v>20</v>
      </c>
      <c r="C2" s="8">
        <v>470</v>
      </c>
      <c r="D2" s="8">
        <v>1360</v>
      </c>
    </row>
    <row r="3" spans="1:5">
      <c r="A3" s="8" t="s">
        <v>120</v>
      </c>
      <c r="B3" s="8">
        <v>20</v>
      </c>
      <c r="C3" s="8">
        <v>730</v>
      </c>
      <c r="D3" s="8">
        <v>2120</v>
      </c>
      <c r="E3" t="s">
        <v>174</v>
      </c>
    </row>
    <row r="4" spans="1:5">
      <c r="A4" s="8" t="s">
        <v>118</v>
      </c>
      <c r="B4" s="8">
        <v>20</v>
      </c>
      <c r="C4" s="8">
        <v>680</v>
      </c>
      <c r="D4" s="8">
        <v>1970</v>
      </c>
      <c r="E4" t="s">
        <v>174</v>
      </c>
    </row>
    <row r="5" spans="1:5">
      <c r="A5" s="8" t="s">
        <v>119</v>
      </c>
      <c r="B5" s="8">
        <v>20</v>
      </c>
      <c r="C5" s="8">
        <v>630</v>
      </c>
      <c r="D5" s="8">
        <v>1830</v>
      </c>
      <c r="E5" t="s">
        <v>174</v>
      </c>
    </row>
    <row r="6" spans="1:5">
      <c r="A6" s="8" t="s">
        <v>121</v>
      </c>
      <c r="B6" s="8">
        <v>20</v>
      </c>
      <c r="C6" s="8">
        <v>420</v>
      </c>
      <c r="D6" s="8">
        <v>1220</v>
      </c>
      <c r="E6" s="34" t="s">
        <v>175</v>
      </c>
    </row>
    <row r="7" spans="1:5">
      <c r="A7" s="8" t="s">
        <v>122</v>
      </c>
      <c r="B7" s="8">
        <v>20</v>
      </c>
      <c r="C7" s="8">
        <v>420</v>
      </c>
      <c r="D7" s="8">
        <v>1320</v>
      </c>
      <c r="E7" t="s">
        <v>174</v>
      </c>
    </row>
    <row r="8" spans="1:5">
      <c r="A8" s="8" t="s">
        <v>143</v>
      </c>
      <c r="B8" s="8">
        <v>6</v>
      </c>
      <c r="C8" s="8">
        <v>1045</v>
      </c>
      <c r="D8" s="8">
        <v>3030</v>
      </c>
    </row>
    <row r="9" spans="1:5">
      <c r="A9" s="8"/>
      <c r="B9" s="8"/>
      <c r="C9" s="8"/>
      <c r="D9" s="8"/>
    </row>
    <row r="10" spans="1:5">
      <c r="A10" s="11" t="s">
        <v>104</v>
      </c>
      <c r="B10" s="11"/>
      <c r="C10" s="8"/>
      <c r="D10" s="8"/>
    </row>
    <row r="11" spans="1:5">
      <c r="A11" s="13" t="s">
        <v>209</v>
      </c>
      <c r="B11" s="13">
        <v>8</v>
      </c>
      <c r="C11" s="8">
        <v>635</v>
      </c>
      <c r="D11" s="8"/>
    </row>
    <row r="12" spans="1:5">
      <c r="A12" s="8" t="s">
        <v>111</v>
      </c>
      <c r="B12" s="8">
        <v>8</v>
      </c>
      <c r="C12" s="8">
        <v>660</v>
      </c>
      <c r="D12" s="8"/>
    </row>
    <row r="13" spans="1:5">
      <c r="A13" s="8" t="s">
        <v>147</v>
      </c>
      <c r="B13" s="8">
        <v>8</v>
      </c>
      <c r="C13" s="8">
        <v>970</v>
      </c>
      <c r="D13" s="8">
        <v>2820</v>
      </c>
    </row>
    <row r="14" spans="1:5">
      <c r="A14" s="8" t="s">
        <v>210</v>
      </c>
      <c r="B14" s="8">
        <v>8</v>
      </c>
      <c r="C14" s="8">
        <v>800</v>
      </c>
      <c r="D14" s="8"/>
    </row>
    <row r="15" spans="1:5">
      <c r="A15" s="8"/>
      <c r="B15" s="8"/>
      <c r="C15" s="8"/>
      <c r="D15" s="8"/>
    </row>
    <row r="16" spans="1:5">
      <c r="A16" s="11" t="s">
        <v>125</v>
      </c>
      <c r="B16" s="11"/>
      <c r="C16" s="8"/>
      <c r="D16" s="8"/>
    </row>
    <row r="17" spans="1:4">
      <c r="A17" s="8" t="s">
        <v>179</v>
      </c>
      <c r="B17" s="8">
        <v>4</v>
      </c>
      <c r="C17" s="8">
        <v>7400</v>
      </c>
    </row>
    <row r="18" spans="1:4">
      <c r="A18" s="8"/>
      <c r="B18" s="8"/>
      <c r="C18" s="8"/>
      <c r="D18" s="8"/>
    </row>
    <row r="19" spans="1:4">
      <c r="A19" s="11" t="s">
        <v>207</v>
      </c>
      <c r="B19" s="11"/>
      <c r="C19" s="8"/>
      <c r="D19" s="8"/>
    </row>
    <row r="20" spans="1:4">
      <c r="A20" s="8" t="s">
        <v>208</v>
      </c>
      <c r="B20" s="8">
        <v>6</v>
      </c>
      <c r="C20" s="8"/>
      <c r="D20" s="8"/>
    </row>
    <row r="21" spans="1:4">
      <c r="A21" s="8" t="s">
        <v>215</v>
      </c>
      <c r="B21" s="8">
        <v>6</v>
      </c>
      <c r="C21" s="8"/>
      <c r="D21" s="8"/>
    </row>
    <row r="23" spans="1:4">
      <c r="A23" s="11" t="s">
        <v>135</v>
      </c>
      <c r="B23" s="11"/>
      <c r="C23" s="8"/>
      <c r="D23" s="8"/>
    </row>
    <row r="24" spans="1:4">
      <c r="A24" s="8" t="s">
        <v>113</v>
      </c>
      <c r="B24" s="8">
        <v>21</v>
      </c>
      <c r="C24" s="8">
        <v>290</v>
      </c>
      <c r="D24" s="8"/>
    </row>
    <row r="25" spans="1:4">
      <c r="A25" s="8" t="s">
        <v>139</v>
      </c>
      <c r="B25" s="8">
        <v>4</v>
      </c>
      <c r="C25" s="8">
        <v>425</v>
      </c>
      <c r="D25" s="8"/>
    </row>
    <row r="26" spans="1:4">
      <c r="A26" s="8" t="s">
        <v>211</v>
      </c>
      <c r="B26" s="8">
        <v>4</v>
      </c>
      <c r="C26" s="8">
        <v>475</v>
      </c>
      <c r="D26" s="8"/>
    </row>
    <row r="27" spans="1:4">
      <c r="A27" s="8" t="s">
        <v>212</v>
      </c>
      <c r="B27" s="8">
        <v>4</v>
      </c>
      <c r="C27" s="8"/>
      <c r="D27" s="8"/>
    </row>
    <row r="28" spans="1:4">
      <c r="A28" s="8" t="s">
        <v>213</v>
      </c>
      <c r="B28" s="8">
        <v>4</v>
      </c>
      <c r="C28" s="8"/>
      <c r="D28" s="8"/>
    </row>
    <row r="29" spans="1:4">
      <c r="A29" s="8"/>
      <c r="B29" s="8"/>
      <c r="C29" s="8"/>
      <c r="D29" s="8"/>
    </row>
    <row r="30" spans="1:4">
      <c r="A30" s="11" t="s">
        <v>112</v>
      </c>
      <c r="B30" s="11"/>
    </row>
    <row r="31" spans="1:4">
      <c r="A31" s="8" t="s">
        <v>117</v>
      </c>
      <c r="B31" s="8">
        <v>40</v>
      </c>
      <c r="C31" s="8">
        <v>150</v>
      </c>
      <c r="D31" s="8">
        <v>440</v>
      </c>
    </row>
    <row r="32" spans="1:4">
      <c r="A32" s="8" t="s">
        <v>116</v>
      </c>
      <c r="B32" s="8">
        <v>40</v>
      </c>
      <c r="C32" s="8">
        <v>170</v>
      </c>
      <c r="D32" s="8">
        <v>500</v>
      </c>
    </row>
    <row r="33" spans="1:5">
      <c r="A33" s="8" t="s">
        <v>115</v>
      </c>
      <c r="B33" s="8">
        <v>20</v>
      </c>
      <c r="C33" s="8">
        <v>205</v>
      </c>
      <c r="D33" s="8">
        <v>610</v>
      </c>
      <c r="E33" s="34" t="s">
        <v>176</v>
      </c>
    </row>
    <row r="34" spans="1:5">
      <c r="A34" s="8" t="s">
        <v>114</v>
      </c>
      <c r="B34" s="8">
        <v>20</v>
      </c>
      <c r="C34" s="8">
        <v>275</v>
      </c>
      <c r="D34" s="8">
        <v>800</v>
      </c>
    </row>
    <row r="35" spans="1:5">
      <c r="A35" s="8" t="s">
        <v>177</v>
      </c>
      <c r="B35" s="8">
        <v>20</v>
      </c>
      <c r="C35" s="8">
        <v>305</v>
      </c>
      <c r="D35" s="8">
        <v>900</v>
      </c>
      <c r="E35" s="34" t="s">
        <v>176</v>
      </c>
    </row>
    <row r="36" spans="1:5">
      <c r="A36" s="8" t="s">
        <v>124</v>
      </c>
      <c r="B36" s="8">
        <v>20</v>
      </c>
      <c r="C36" s="8">
        <v>325</v>
      </c>
      <c r="D36" s="8">
        <v>960</v>
      </c>
    </row>
    <row r="37" spans="1:5">
      <c r="A37" s="8" t="s">
        <v>123</v>
      </c>
      <c r="B37" s="8">
        <v>8</v>
      </c>
      <c r="C37" s="8">
        <v>775</v>
      </c>
      <c r="E37" s="34" t="s">
        <v>176</v>
      </c>
    </row>
    <row r="38" spans="1:5">
      <c r="A38" s="8" t="s">
        <v>214</v>
      </c>
      <c r="B38" s="8">
        <v>4</v>
      </c>
      <c r="C38" s="8"/>
      <c r="E38" s="34"/>
    </row>
    <row r="39" spans="1:5">
      <c r="E39" s="34" t="s">
        <v>176</v>
      </c>
    </row>
    <row r="40" spans="1:5">
      <c r="E40" s="34" t="s">
        <v>176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18"/>
  <sheetViews>
    <sheetView workbookViewId="0">
      <selection activeCell="D11" sqref="D11"/>
    </sheetView>
  </sheetViews>
  <sheetFormatPr defaultRowHeight="15"/>
  <cols>
    <col min="1" max="1" width="33.140625" customWidth="1"/>
    <col min="2" max="2" width="9.140625" customWidth="1"/>
  </cols>
  <sheetData>
    <row r="1" spans="1:2">
      <c r="A1" t="s">
        <v>220</v>
      </c>
      <c r="B1">
        <v>200000</v>
      </c>
    </row>
    <row r="2" spans="1:2">
      <c r="A2" t="s">
        <v>216</v>
      </c>
      <c r="B2">
        <v>198000</v>
      </c>
    </row>
    <row r="3" spans="1:2">
      <c r="A3" t="s">
        <v>217</v>
      </c>
      <c r="B3">
        <v>7200</v>
      </c>
    </row>
    <row r="6" spans="1:2">
      <c r="B6">
        <f>SUM(B1:B5)</f>
        <v>405200</v>
      </c>
    </row>
    <row r="11" spans="1:2" ht="28.5">
      <c r="A11" s="53" t="s">
        <v>225</v>
      </c>
    </row>
    <row r="12" spans="1:2">
      <c r="A12" t="s">
        <v>221</v>
      </c>
      <c r="B12" t="s">
        <v>222</v>
      </c>
    </row>
    <row r="13" spans="1:2">
      <c r="A13" t="s">
        <v>218</v>
      </c>
      <c r="B13" t="s">
        <v>223</v>
      </c>
    </row>
    <row r="14" spans="1:2">
      <c r="A14" t="s">
        <v>219</v>
      </c>
      <c r="B14" t="s">
        <v>224</v>
      </c>
    </row>
    <row r="18" spans="1:1" ht="28.5">
      <c r="A18" s="53" t="s">
        <v>226</v>
      </c>
    </row>
  </sheetData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21"/>
  <sheetViews>
    <sheetView workbookViewId="0">
      <selection activeCell="M1" sqref="M1"/>
    </sheetView>
  </sheetViews>
  <sheetFormatPr defaultRowHeight="15"/>
  <cols>
    <col min="1" max="1" width="19.140625" customWidth="1"/>
    <col min="2" max="2" width="24.28515625" customWidth="1"/>
    <col min="3" max="4" width="13" customWidth="1"/>
    <col min="13" max="13" width="13.42578125" customWidth="1"/>
  </cols>
  <sheetData>
    <row r="1" spans="1:6">
      <c r="B1" s="11" t="s">
        <v>70</v>
      </c>
      <c r="C1" s="11" t="s">
        <v>227</v>
      </c>
      <c r="D1" s="11" t="s">
        <v>24</v>
      </c>
    </row>
    <row r="2" spans="1:6">
      <c r="A2" s="52" t="s">
        <v>71</v>
      </c>
      <c r="B2" s="8">
        <f>D2-C2</f>
        <v>81064</v>
      </c>
      <c r="C2" s="8"/>
      <c r="D2" s="8">
        <f>SUM(111971-30907)</f>
        <v>81064</v>
      </c>
      <c r="F2" t="s">
        <v>231</v>
      </c>
    </row>
    <row r="3" spans="1:6">
      <c r="A3" s="52" t="s">
        <v>228</v>
      </c>
      <c r="B3" s="8">
        <f t="shared" ref="B3:B8" si="0">D3-C3</f>
        <v>11545</v>
      </c>
      <c r="C3" s="8"/>
      <c r="D3" s="8">
        <f>SUM(21820-10275)</f>
        <v>11545</v>
      </c>
      <c r="F3" t="s">
        <v>231</v>
      </c>
    </row>
    <row r="4" spans="1:6">
      <c r="A4" s="52" t="s">
        <v>15</v>
      </c>
      <c r="B4" s="8">
        <f>D4-C4</f>
        <v>168597</v>
      </c>
      <c r="C4" s="8"/>
      <c r="D4" s="8">
        <f>SUM(332329-50000-13732-100000)</f>
        <v>168597</v>
      </c>
      <c r="F4" t="s">
        <v>231</v>
      </c>
    </row>
    <row r="5" spans="1:6">
      <c r="A5" s="52" t="s">
        <v>229</v>
      </c>
      <c r="B5" s="8">
        <f t="shared" si="0"/>
        <v>19317</v>
      </c>
      <c r="C5" s="8">
        <v>15051</v>
      </c>
      <c r="D5" s="8">
        <f>SUM(134368-50000-50000)</f>
        <v>34368</v>
      </c>
      <c r="F5" t="s">
        <v>231</v>
      </c>
    </row>
    <row r="6" spans="1:6">
      <c r="A6" s="52" t="s">
        <v>230</v>
      </c>
      <c r="B6" s="8">
        <f t="shared" si="0"/>
        <v>26956</v>
      </c>
      <c r="C6" s="8"/>
      <c r="D6" s="8">
        <v>26956</v>
      </c>
      <c r="F6" t="s">
        <v>231</v>
      </c>
    </row>
    <row r="7" spans="1:6">
      <c r="A7" s="52" t="s">
        <v>4</v>
      </c>
      <c r="B7" s="8">
        <f t="shared" si="0"/>
        <v>87289</v>
      </c>
      <c r="C7" s="8"/>
      <c r="D7" s="8">
        <f>SUM(121344-34055)</f>
        <v>87289</v>
      </c>
      <c r="F7" t="s">
        <v>231</v>
      </c>
    </row>
    <row r="8" spans="1:6">
      <c r="A8" s="52" t="s">
        <v>154</v>
      </c>
      <c r="B8" s="8">
        <f t="shared" si="0"/>
        <v>0</v>
      </c>
      <c r="C8" s="8">
        <v>41009</v>
      </c>
      <c r="D8" s="8">
        <f>SUM(70386-29377)</f>
        <v>41009</v>
      </c>
      <c r="F8" t="s">
        <v>231</v>
      </c>
    </row>
    <row r="9" spans="1:6">
      <c r="A9" s="52" t="s">
        <v>70</v>
      </c>
      <c r="B9" s="8">
        <f>D9-C9</f>
        <v>200000</v>
      </c>
      <c r="C9" s="8"/>
      <c r="D9" s="8">
        <v>200000</v>
      </c>
    </row>
    <row r="10" spans="1:6">
      <c r="A10" s="52"/>
    </row>
    <row r="11" spans="1:6" ht="23.25">
      <c r="A11" s="52"/>
      <c r="B11" s="54">
        <f>SUM(B2:B10)</f>
        <v>594768</v>
      </c>
      <c r="C11" s="54">
        <f>SUM(C2:C10)</f>
        <v>56060</v>
      </c>
      <c r="D11" s="54">
        <f>SUM(D2:D10)</f>
        <v>650828</v>
      </c>
      <c r="E11" s="1"/>
      <c r="F11" s="1"/>
    </row>
    <row r="12" spans="1:6">
      <c r="A12" s="52"/>
    </row>
    <row r="13" spans="1:6">
      <c r="A13" s="52"/>
    </row>
    <row r="14" spans="1:6">
      <c r="A14" s="52"/>
    </row>
    <row r="15" spans="1:6">
      <c r="A15" s="52"/>
    </row>
    <row r="16" spans="1:6">
      <c r="A16" s="52"/>
    </row>
    <row r="17" spans="2:4">
      <c r="B17" t="s">
        <v>232</v>
      </c>
      <c r="C17">
        <v>215000</v>
      </c>
      <c r="D17" t="s">
        <v>30</v>
      </c>
    </row>
    <row r="18" spans="2:4">
      <c r="B18" t="s">
        <v>233</v>
      </c>
      <c r="C18" s="7">
        <f>B11-C17-100000</f>
        <v>279768</v>
      </c>
    </row>
    <row r="20" spans="2:4">
      <c r="B20" t="s">
        <v>235</v>
      </c>
      <c r="C20">
        <f>SUM(31307+3000)</f>
        <v>34307</v>
      </c>
    </row>
    <row r="21" spans="2:4">
      <c r="B21" t="s">
        <v>234</v>
      </c>
      <c r="C21" s="7">
        <f>C11-C20</f>
        <v>21753</v>
      </c>
    </row>
  </sheetData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15"/>
  <sheetViews>
    <sheetView workbookViewId="0">
      <selection activeCell="G32" sqref="G32"/>
    </sheetView>
  </sheetViews>
  <sheetFormatPr defaultRowHeight="15"/>
  <cols>
    <col min="1" max="1" width="34" customWidth="1"/>
    <col min="2" max="2" width="19.42578125" customWidth="1"/>
    <col min="3" max="3" width="22.140625" customWidth="1"/>
    <col min="4" max="4" width="16.140625" customWidth="1"/>
  </cols>
  <sheetData>
    <row r="1" spans="1:4">
      <c r="A1" t="s">
        <v>255</v>
      </c>
      <c r="B1">
        <v>50000</v>
      </c>
      <c r="C1" s="14">
        <v>45218</v>
      </c>
    </row>
    <row r="2" spans="1:4">
      <c r="A2" t="s">
        <v>255</v>
      </c>
      <c r="B2">
        <v>50000</v>
      </c>
      <c r="C2" s="14">
        <v>45304</v>
      </c>
    </row>
    <row r="3" spans="1:4">
      <c r="A3" t="s">
        <v>256</v>
      </c>
      <c r="B3">
        <v>40000</v>
      </c>
      <c r="C3" s="14">
        <v>45311</v>
      </c>
    </row>
    <row r="4" spans="1:4">
      <c r="A4" t="s">
        <v>257</v>
      </c>
      <c r="B4">
        <v>1300</v>
      </c>
      <c r="C4" s="14">
        <v>45301</v>
      </c>
      <c r="D4" t="s">
        <v>259</v>
      </c>
    </row>
    <row r="5" spans="1:4">
      <c r="A5" t="s">
        <v>258</v>
      </c>
      <c r="B5">
        <v>1300</v>
      </c>
      <c r="C5" s="14">
        <v>45317</v>
      </c>
      <c r="D5" t="s">
        <v>259</v>
      </c>
    </row>
    <row r="6" spans="1:4">
      <c r="A6" t="s">
        <v>261</v>
      </c>
      <c r="B6">
        <v>236</v>
      </c>
      <c r="C6" s="14">
        <v>45315</v>
      </c>
      <c r="D6" t="s">
        <v>260</v>
      </c>
    </row>
    <row r="7" spans="1:4">
      <c r="A7" t="s">
        <v>261</v>
      </c>
      <c r="B7">
        <v>118</v>
      </c>
      <c r="C7" s="14">
        <v>45315</v>
      </c>
      <c r="D7" t="s">
        <v>260</v>
      </c>
    </row>
    <row r="8" spans="1:4">
      <c r="A8" t="s">
        <v>263</v>
      </c>
      <c r="B8">
        <v>5900</v>
      </c>
      <c r="C8" s="14">
        <v>45322</v>
      </c>
    </row>
    <row r="9" spans="1:4">
      <c r="A9" s="12" t="s">
        <v>262</v>
      </c>
      <c r="B9" s="12">
        <v>4882</v>
      </c>
      <c r="C9" s="22">
        <v>45346</v>
      </c>
      <c r="D9" s="12"/>
    </row>
    <row r="10" spans="1:4">
      <c r="A10" s="12" t="s">
        <v>264</v>
      </c>
      <c r="B10" s="12">
        <v>4764</v>
      </c>
      <c r="C10" s="14">
        <v>45338</v>
      </c>
    </row>
    <row r="11" spans="1:4">
      <c r="B11" s="12">
        <v>530</v>
      </c>
      <c r="C11" s="14">
        <v>45339</v>
      </c>
      <c r="D11" t="s">
        <v>265</v>
      </c>
    </row>
    <row r="12" spans="1:4">
      <c r="A12" t="s">
        <v>266</v>
      </c>
      <c r="B12" s="12">
        <v>40970</v>
      </c>
      <c r="C12" s="14">
        <v>45362</v>
      </c>
      <c r="D12" t="s">
        <v>267</v>
      </c>
    </row>
    <row r="15" spans="1:4">
      <c r="B15" s="7">
        <f>SUM(B1:B12)</f>
        <v>200000</v>
      </c>
      <c r="C15" t="s">
        <v>24</v>
      </c>
    </row>
  </sheetData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S25"/>
  <sheetViews>
    <sheetView tabSelected="1" workbookViewId="0">
      <selection activeCell="D20" sqref="D20"/>
    </sheetView>
  </sheetViews>
  <sheetFormatPr defaultRowHeight="15"/>
  <cols>
    <col min="1" max="1" width="23.7109375" customWidth="1"/>
    <col min="3" max="3" width="11.42578125" customWidth="1"/>
    <col min="12" max="12" width="20.7109375" customWidth="1"/>
    <col min="18" max="18" width="17" customWidth="1"/>
  </cols>
  <sheetData>
    <row r="1" spans="1:19">
      <c r="A1" s="11" t="s">
        <v>272</v>
      </c>
      <c r="B1" s="11" t="s">
        <v>270</v>
      </c>
      <c r="C1" s="11" t="s">
        <v>271</v>
      </c>
      <c r="D1" s="11" t="s">
        <v>24</v>
      </c>
      <c r="F1" s="11" t="s">
        <v>285</v>
      </c>
      <c r="G1" s="11" t="s">
        <v>286</v>
      </c>
    </row>
    <row r="2" spans="1:19">
      <c r="A2" s="7" t="s">
        <v>15</v>
      </c>
      <c r="D2" s="8">
        <f>SUM(B2+C2)</f>
        <v>0</v>
      </c>
      <c r="R2" t="s">
        <v>287</v>
      </c>
      <c r="S2">
        <v>5250</v>
      </c>
    </row>
    <row r="3" spans="1:19">
      <c r="A3" s="7" t="s">
        <v>9</v>
      </c>
      <c r="D3" s="8"/>
      <c r="R3" t="s">
        <v>288</v>
      </c>
      <c r="S3">
        <v>41408</v>
      </c>
    </row>
    <row r="4" spans="1:19">
      <c r="A4" s="7" t="s">
        <v>230</v>
      </c>
      <c r="B4" s="8">
        <v>38878</v>
      </c>
      <c r="C4" s="8"/>
      <c r="D4" s="8">
        <f>SUM(B4)</f>
        <v>38878</v>
      </c>
      <c r="M4" s="58"/>
      <c r="R4" t="s">
        <v>289</v>
      </c>
      <c r="S4">
        <v>20730</v>
      </c>
    </row>
    <row r="5" spans="1:19">
      <c r="A5" s="7" t="s">
        <v>71</v>
      </c>
      <c r="B5" s="8"/>
      <c r="C5" s="8"/>
      <c r="D5" s="8">
        <f>SUM(B5+C5)</f>
        <v>0</v>
      </c>
      <c r="G5">
        <v>21715</v>
      </c>
      <c r="R5" t="s">
        <v>290</v>
      </c>
      <c r="S5">
        <v>13960</v>
      </c>
    </row>
    <row r="6" spans="1:19">
      <c r="A6" s="7" t="s">
        <v>4</v>
      </c>
      <c r="B6" s="8">
        <f>SUM(97685-49000)</f>
        <v>48685</v>
      </c>
      <c r="C6" s="8"/>
      <c r="D6" s="8">
        <f>SUM(B6+C6)</f>
        <v>48685</v>
      </c>
      <c r="G6">
        <v>35106</v>
      </c>
      <c r="R6" t="s">
        <v>291</v>
      </c>
      <c r="S6">
        <v>28419</v>
      </c>
    </row>
    <row r="7" spans="1:19">
      <c r="A7" s="7" t="s">
        <v>268</v>
      </c>
      <c r="B7" s="8"/>
      <c r="C7" s="8"/>
      <c r="D7" s="8">
        <f>SUM(B7+C7)</f>
        <v>0</v>
      </c>
    </row>
    <row r="8" spans="1:19">
      <c r="A8" s="7" t="s">
        <v>154</v>
      </c>
      <c r="B8" s="8"/>
      <c r="C8" s="8"/>
      <c r="D8" s="8">
        <f>C8+B8</f>
        <v>0</v>
      </c>
      <c r="G8">
        <v>14537</v>
      </c>
    </row>
    <row r="9" spans="1:19">
      <c r="A9" s="7" t="s">
        <v>269</v>
      </c>
      <c r="B9" s="8"/>
      <c r="C9" s="8"/>
      <c r="D9" s="8">
        <f>SUM(B9+C9)</f>
        <v>0</v>
      </c>
    </row>
    <row r="10" spans="1:19">
      <c r="A10" s="7" t="s">
        <v>70</v>
      </c>
      <c r="B10" s="8">
        <v>250000</v>
      </c>
      <c r="C10" s="8"/>
      <c r="D10" s="8">
        <f>B10</f>
        <v>250000</v>
      </c>
      <c r="L10" t="s">
        <v>4</v>
      </c>
    </row>
    <row r="11" spans="1:19">
      <c r="A11" s="7" t="s">
        <v>275</v>
      </c>
      <c r="B11" s="8"/>
      <c r="C11" s="8"/>
      <c r="D11" s="8">
        <f>B11-C11</f>
        <v>0</v>
      </c>
      <c r="L11" t="s">
        <v>282</v>
      </c>
    </row>
    <row r="12" spans="1:19">
      <c r="A12" s="7" t="s">
        <v>276</v>
      </c>
      <c r="B12" s="8"/>
      <c r="C12" s="8"/>
      <c r="D12" s="8">
        <f>C12+B12</f>
        <v>0</v>
      </c>
      <c r="F12" s="8">
        <v>4860</v>
      </c>
      <c r="K12" s="58"/>
      <c r="L12" t="s">
        <v>283</v>
      </c>
      <c r="M12">
        <v>16000</v>
      </c>
    </row>
    <row r="13" spans="1:19">
      <c r="A13" s="7" t="s">
        <v>2</v>
      </c>
      <c r="B13" s="8"/>
      <c r="C13" s="8"/>
      <c r="D13" s="8">
        <f>B13+C13</f>
        <v>0</v>
      </c>
      <c r="K13" s="58"/>
      <c r="M13" s="7">
        <f>SUM(M10:M12)</f>
        <v>16000</v>
      </c>
    </row>
    <row r="14" spans="1:19">
      <c r="A14" s="56"/>
      <c r="B14" s="57">
        <f>SUM(B2:B13)</f>
        <v>337563</v>
      </c>
      <c r="C14" s="57">
        <f>SUM(C2:C12)</f>
        <v>0</v>
      </c>
      <c r="D14" s="56"/>
    </row>
    <row r="15" spans="1:19">
      <c r="L15" t="s">
        <v>284</v>
      </c>
      <c r="M15">
        <v>23103</v>
      </c>
    </row>
    <row r="16" spans="1:19">
      <c r="M16">
        <f>M13-M15</f>
        <v>-7103</v>
      </c>
    </row>
    <row r="17" spans="2:7">
      <c r="C17" t="s">
        <v>24</v>
      </c>
      <c r="D17" s="7">
        <f>SUM(D2:D13)</f>
        <v>337563</v>
      </c>
    </row>
    <row r="18" spans="2:7">
      <c r="B18" t="s">
        <v>274</v>
      </c>
      <c r="D18">
        <f>C14</f>
        <v>0</v>
      </c>
      <c r="F18">
        <f>D18-C14</f>
        <v>0</v>
      </c>
      <c r="G18" t="s">
        <v>280</v>
      </c>
    </row>
    <row r="19" spans="2:7">
      <c r="B19" t="s">
        <v>273</v>
      </c>
      <c r="D19">
        <f>SUM(110000)</f>
        <v>110000</v>
      </c>
      <c r="F19">
        <f>B14-D19+D20</f>
        <v>279810</v>
      </c>
      <c r="G19" t="s">
        <v>281</v>
      </c>
    </row>
    <row r="20" spans="2:7">
      <c r="B20" t="s">
        <v>279</v>
      </c>
      <c r="D20">
        <f>SUM(48895+3352)</f>
        <v>52247</v>
      </c>
    </row>
    <row r="21" spans="2:7">
      <c r="D21">
        <f>SUM(D17-D18-D19-D20)</f>
        <v>175316</v>
      </c>
    </row>
    <row r="24" spans="2:7">
      <c r="C24" t="s">
        <v>278</v>
      </c>
      <c r="D24">
        <f ca="1">DATE(2024,5,14)-TODAY()</f>
        <v>3</v>
      </c>
    </row>
    <row r="25" spans="2:7">
      <c r="C25" t="s">
        <v>277</v>
      </c>
      <c r="D25">
        <f ca="1">D21/D24</f>
        <v>58438.666666666664</v>
      </c>
    </row>
  </sheetData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4"/>
  <sheetViews>
    <sheetView workbookViewId="0">
      <selection activeCell="B31" sqref="B31"/>
    </sheetView>
  </sheetViews>
  <sheetFormatPr defaultRowHeight="15"/>
  <cols>
    <col min="1" max="1" width="22.28515625" customWidth="1"/>
    <col min="2" max="2" width="15.42578125" customWidth="1"/>
    <col min="3" max="3" width="30.5703125" customWidth="1"/>
    <col min="4" max="4" width="38.7109375" customWidth="1"/>
    <col min="5" max="5" width="29.85546875" customWidth="1"/>
    <col min="8" max="8" width="12.140625" bestFit="1" customWidth="1"/>
  </cols>
  <sheetData>
    <row r="1" spans="1:8" ht="26.25">
      <c r="C1" s="20" t="s">
        <v>85</v>
      </c>
    </row>
    <row r="2" spans="1:8">
      <c r="A2" t="s">
        <v>73</v>
      </c>
      <c r="B2" s="8">
        <v>55000</v>
      </c>
      <c r="C2" s="15">
        <v>44281</v>
      </c>
    </row>
    <row r="3" spans="1:8">
      <c r="A3" t="s">
        <v>74</v>
      </c>
      <c r="B3" s="8">
        <v>10000</v>
      </c>
      <c r="C3" s="8"/>
      <c r="D3" t="s">
        <v>78</v>
      </c>
    </row>
    <row r="4" spans="1:8">
      <c r="A4" s="12" t="s">
        <v>75</v>
      </c>
      <c r="B4" s="13">
        <v>1800</v>
      </c>
      <c r="C4" s="13"/>
      <c r="D4" t="s">
        <v>78</v>
      </c>
    </row>
    <row r="5" spans="1:8">
      <c r="A5" t="s">
        <v>76</v>
      </c>
      <c r="B5" s="8">
        <v>30</v>
      </c>
      <c r="C5" s="8"/>
      <c r="D5" t="s">
        <v>78</v>
      </c>
    </row>
    <row r="6" spans="1:8">
      <c r="A6" t="s">
        <v>70</v>
      </c>
      <c r="B6" s="8">
        <v>2000</v>
      </c>
      <c r="C6" s="15">
        <v>44653</v>
      </c>
      <c r="D6" t="s">
        <v>78</v>
      </c>
    </row>
    <row r="7" spans="1:8">
      <c r="A7" t="s">
        <v>77</v>
      </c>
      <c r="B7" s="13">
        <v>120</v>
      </c>
      <c r="C7" s="15">
        <v>44669</v>
      </c>
      <c r="D7" t="s">
        <v>78</v>
      </c>
    </row>
    <row r="8" spans="1:8">
      <c r="A8" t="s">
        <v>79</v>
      </c>
      <c r="B8" s="13">
        <v>250</v>
      </c>
      <c r="C8" s="8"/>
      <c r="D8" t="s">
        <v>82</v>
      </c>
    </row>
    <row r="9" spans="1:8">
      <c r="A9" t="s">
        <v>80</v>
      </c>
      <c r="B9" s="13">
        <v>100</v>
      </c>
      <c r="C9" s="8"/>
      <c r="D9" t="s">
        <v>82</v>
      </c>
    </row>
    <row r="10" spans="1:8">
      <c r="A10" t="s">
        <v>81</v>
      </c>
      <c r="B10" s="13">
        <v>1506</v>
      </c>
      <c r="C10" s="8"/>
      <c r="D10" t="s">
        <v>82</v>
      </c>
    </row>
    <row r="11" spans="1:8">
      <c r="A11" t="s">
        <v>81</v>
      </c>
      <c r="B11" s="13">
        <v>862</v>
      </c>
      <c r="C11" s="8"/>
      <c r="D11" t="s">
        <v>82</v>
      </c>
    </row>
    <row r="12" spans="1:8">
      <c r="A12" t="s">
        <v>83</v>
      </c>
      <c r="B12" s="13">
        <v>570</v>
      </c>
      <c r="C12" s="8"/>
    </row>
    <row r="13" spans="1:8">
      <c r="A13" t="s">
        <v>70</v>
      </c>
      <c r="B13" s="13">
        <v>400</v>
      </c>
      <c r="C13" s="8"/>
      <c r="H13" s="17"/>
    </row>
    <row r="14" spans="1:8">
      <c r="A14" t="s">
        <v>70</v>
      </c>
      <c r="B14" s="13">
        <v>10000</v>
      </c>
      <c r="C14" s="15">
        <v>44706</v>
      </c>
      <c r="D14" s="7"/>
    </row>
    <row r="15" spans="1:8">
      <c r="A15" t="s">
        <v>70</v>
      </c>
      <c r="B15" s="13">
        <v>5000</v>
      </c>
      <c r="C15" s="15">
        <v>44357</v>
      </c>
      <c r="H15" s="16"/>
    </row>
    <row r="16" spans="1:8">
      <c r="A16" t="s">
        <v>70</v>
      </c>
      <c r="B16" s="13">
        <v>15000</v>
      </c>
      <c r="C16" s="15">
        <v>44794</v>
      </c>
    </row>
    <row r="17" spans="1:8">
      <c r="A17" t="s">
        <v>70</v>
      </c>
      <c r="B17" s="13">
        <v>10000</v>
      </c>
      <c r="C17" s="15">
        <v>44735</v>
      </c>
    </row>
    <row r="18" spans="1:8">
      <c r="A18" s="14" t="s">
        <v>70</v>
      </c>
      <c r="B18" s="13">
        <v>500</v>
      </c>
      <c r="C18" s="15">
        <v>44743</v>
      </c>
      <c r="H18" t="s">
        <v>30</v>
      </c>
    </row>
    <row r="19" spans="1:8">
      <c r="A19" t="s">
        <v>70</v>
      </c>
      <c r="B19" s="13">
        <v>12000</v>
      </c>
      <c r="C19" s="15">
        <v>44767</v>
      </c>
    </row>
    <row r="20" spans="1:8">
      <c r="A20" t="s">
        <v>84</v>
      </c>
      <c r="B20" s="13">
        <v>2000</v>
      </c>
      <c r="C20" s="15">
        <v>44814</v>
      </c>
    </row>
    <row r="21" spans="1:8">
      <c r="A21" t="s">
        <v>70</v>
      </c>
      <c r="B21" s="13">
        <v>15000</v>
      </c>
      <c r="C21" s="15">
        <v>44827</v>
      </c>
    </row>
    <row r="22" spans="1:8">
      <c r="A22" t="s">
        <v>70</v>
      </c>
      <c r="B22" s="13">
        <v>15000</v>
      </c>
      <c r="C22" s="15">
        <v>44855</v>
      </c>
    </row>
    <row r="23" spans="1:8">
      <c r="A23" t="s">
        <v>70</v>
      </c>
      <c r="B23" s="13">
        <v>10000</v>
      </c>
      <c r="C23" s="15">
        <v>44875</v>
      </c>
      <c r="D23" t="s">
        <v>99</v>
      </c>
    </row>
    <row r="24" spans="1:8">
      <c r="A24" t="s">
        <v>70</v>
      </c>
      <c r="B24" s="13">
        <v>5000</v>
      </c>
      <c r="C24" s="15">
        <v>44885</v>
      </c>
      <c r="D24" t="s">
        <v>99</v>
      </c>
    </row>
    <row r="25" spans="1:8">
      <c r="A25" t="s">
        <v>70</v>
      </c>
      <c r="B25" s="13">
        <v>5000</v>
      </c>
      <c r="C25" s="15">
        <v>44916</v>
      </c>
    </row>
    <row r="26" spans="1:8">
      <c r="A26" t="s">
        <v>70</v>
      </c>
      <c r="B26" s="13">
        <v>10000</v>
      </c>
      <c r="C26" s="15">
        <v>44921</v>
      </c>
    </row>
    <row r="27" spans="1:8">
      <c r="A27" t="s">
        <v>70</v>
      </c>
      <c r="B27" s="13">
        <v>300</v>
      </c>
      <c r="C27" s="15">
        <v>44925</v>
      </c>
    </row>
    <row r="28" spans="1:8">
      <c r="A28" t="s">
        <v>70</v>
      </c>
      <c r="B28" s="13">
        <v>2000</v>
      </c>
      <c r="C28" s="15">
        <v>44938</v>
      </c>
    </row>
    <row r="29" spans="1:8">
      <c r="A29" t="s">
        <v>70</v>
      </c>
      <c r="B29" s="13">
        <v>12000</v>
      </c>
      <c r="C29" s="15">
        <v>44585</v>
      </c>
    </row>
    <row r="30" spans="1:8">
      <c r="A30" t="s">
        <v>94</v>
      </c>
      <c r="B30" s="13">
        <v>6000</v>
      </c>
    </row>
    <row r="31" spans="1:8">
      <c r="A31" t="s">
        <v>98</v>
      </c>
      <c r="B31" s="13">
        <v>6838</v>
      </c>
    </row>
    <row r="32" spans="1:8">
      <c r="B32" s="13"/>
    </row>
    <row r="33" spans="1:4">
      <c r="B33" s="7">
        <f>SUM(B2:B31)</f>
        <v>214276</v>
      </c>
    </row>
    <row r="34" spans="1:4">
      <c r="B34" s="12"/>
    </row>
    <row r="40" spans="1:4">
      <c r="A40" s="11" t="s">
        <v>31</v>
      </c>
      <c r="B40" s="11" t="s">
        <v>32</v>
      </c>
      <c r="C40" s="11" t="s">
        <v>33</v>
      </c>
      <c r="D40" s="11" t="s">
        <v>34</v>
      </c>
    </row>
    <row r="41" spans="1:4">
      <c r="A41" t="s">
        <v>35</v>
      </c>
      <c r="C41" s="8">
        <v>6985</v>
      </c>
    </row>
    <row r="42" spans="1:4">
      <c r="A42" t="s">
        <v>36</v>
      </c>
      <c r="C42" s="8">
        <f>SUM(55000+570+400+10000+5000+15000+10000+500+12000+2000+15000+15000+6000+16668+7350)</f>
        <v>170488</v>
      </c>
      <c r="D42" t="s">
        <v>45</v>
      </c>
    </row>
    <row r="43" spans="1:4">
      <c r="A43" t="s">
        <v>37</v>
      </c>
      <c r="C43" s="8">
        <f>8100+500+3360+2900+1328+200+500+1300</f>
        <v>18188</v>
      </c>
    </row>
    <row r="44" spans="1:4">
      <c r="A44" t="s">
        <v>38</v>
      </c>
      <c r="C44" s="8">
        <v>11200</v>
      </c>
    </row>
    <row r="45" spans="1:4">
      <c r="A45" t="s">
        <v>39</v>
      </c>
      <c r="C45" s="8">
        <v>3627</v>
      </c>
      <c r="D45" t="s">
        <v>40</v>
      </c>
    </row>
    <row r="46" spans="1:4">
      <c r="A46" t="s">
        <v>41</v>
      </c>
      <c r="C46" s="8">
        <f>7000+5300</f>
        <v>12300</v>
      </c>
    </row>
    <row r="47" spans="1:4">
      <c r="A47" t="s">
        <v>42</v>
      </c>
      <c r="C47" s="8">
        <v>700</v>
      </c>
    </row>
    <row r="48" spans="1:4">
      <c r="B48" s="4" t="s">
        <v>24</v>
      </c>
      <c r="C48" s="11">
        <f>SUM(C41:C47)</f>
        <v>223488</v>
      </c>
    </row>
    <row r="53" spans="3:4">
      <c r="C53" t="s">
        <v>44</v>
      </c>
      <c r="D53">
        <f>H73-I73</f>
        <v>0</v>
      </c>
    </row>
    <row r="54" spans="3:4">
      <c r="C54" t="s">
        <v>43</v>
      </c>
      <c r="D54">
        <f>C48</f>
        <v>223488</v>
      </c>
    </row>
    <row r="55" spans="3:4">
      <c r="D55">
        <f>D53-D54</f>
        <v>-223488</v>
      </c>
    </row>
    <row r="56" spans="3:4">
      <c r="D56">
        <f>16500+800+600+20+230+5000</f>
        <v>23150</v>
      </c>
    </row>
    <row r="57" spans="3:4">
      <c r="C57" t="s">
        <v>46</v>
      </c>
      <c r="D57" t="s">
        <v>47</v>
      </c>
    </row>
    <row r="73" spans="8:9">
      <c r="H73" s="7">
        <f>SUM(H40:H72)</f>
        <v>0</v>
      </c>
      <c r="I73" s="7">
        <f>SUM(I40:I72)</f>
        <v>0</v>
      </c>
    </row>
    <row r="74" spans="8:9">
      <c r="I74" s="7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04"/>
  <sheetViews>
    <sheetView workbookViewId="0">
      <selection activeCell="A54" sqref="A54"/>
    </sheetView>
  </sheetViews>
  <sheetFormatPr defaultRowHeight="15"/>
  <cols>
    <col min="1" max="1" width="26.140625" customWidth="1"/>
    <col min="2" max="2" width="18.85546875" customWidth="1"/>
    <col min="3" max="3" width="28.7109375" customWidth="1"/>
    <col min="4" max="4" width="18" customWidth="1"/>
    <col min="5" max="5" width="30.7109375" customWidth="1"/>
    <col min="6" max="6" width="14.85546875" customWidth="1"/>
  </cols>
  <sheetData>
    <row r="1" spans="1:6">
      <c r="B1" s="7" t="s">
        <v>240</v>
      </c>
    </row>
    <row r="2" spans="1:6">
      <c r="C2" s="14"/>
    </row>
    <row r="4" spans="1:6">
      <c r="B4" s="7" t="s">
        <v>238</v>
      </c>
    </row>
    <row r="5" spans="1:6">
      <c r="A5" t="s">
        <v>70</v>
      </c>
      <c r="B5">
        <v>1035</v>
      </c>
      <c r="C5" s="14">
        <v>45097</v>
      </c>
      <c r="D5" s="14" t="s">
        <v>239</v>
      </c>
    </row>
    <row r="7" spans="1:6">
      <c r="A7" s="11"/>
      <c r="B7" s="11" t="s">
        <v>35</v>
      </c>
      <c r="C7" s="11"/>
      <c r="D7" s="11"/>
      <c r="E7" s="11"/>
      <c r="F7" s="8"/>
    </row>
    <row r="8" spans="1:6">
      <c r="A8" s="8" t="s">
        <v>70</v>
      </c>
      <c r="B8" s="8">
        <v>6985</v>
      </c>
      <c r="C8" s="15">
        <v>44828</v>
      </c>
      <c r="D8" s="15"/>
      <c r="E8" s="8"/>
      <c r="F8" s="8"/>
    </row>
    <row r="9" spans="1:6">
      <c r="A9" s="8"/>
      <c r="B9" s="8"/>
      <c r="C9" s="15"/>
      <c r="D9" s="15"/>
      <c r="E9" s="8"/>
      <c r="F9" s="8"/>
    </row>
    <row r="10" spans="1:6">
      <c r="A10" s="8"/>
      <c r="B10" s="8"/>
      <c r="C10" s="8"/>
      <c r="D10" s="15"/>
      <c r="E10" s="8"/>
      <c r="F10" s="8"/>
    </row>
    <row r="11" spans="1:6">
      <c r="A11" s="8"/>
      <c r="B11" s="11" t="s">
        <v>86</v>
      </c>
      <c r="C11" s="8"/>
      <c r="D11" s="15"/>
      <c r="E11" s="8"/>
      <c r="F11" s="8"/>
    </row>
    <row r="12" spans="1:6">
      <c r="A12" s="8" t="s">
        <v>70</v>
      </c>
      <c r="B12" s="8">
        <v>8100</v>
      </c>
      <c r="C12" s="8"/>
      <c r="D12" s="15"/>
      <c r="E12" s="8"/>
      <c r="F12" s="8"/>
    </row>
    <row r="13" spans="1:6">
      <c r="A13" s="8" t="s">
        <v>70</v>
      </c>
      <c r="B13" s="8">
        <v>500</v>
      </c>
      <c r="C13" s="8"/>
      <c r="D13" s="15"/>
      <c r="E13" s="8"/>
      <c r="F13" s="8"/>
    </row>
    <row r="14" spans="1:6">
      <c r="A14" s="8" t="s">
        <v>70</v>
      </c>
      <c r="B14" s="8">
        <v>3360</v>
      </c>
      <c r="C14" s="8"/>
      <c r="D14" s="15"/>
      <c r="E14" s="8"/>
      <c r="F14" s="8"/>
    </row>
    <row r="15" spans="1:6">
      <c r="A15" s="8" t="s">
        <v>70</v>
      </c>
      <c r="B15" s="8">
        <v>2900</v>
      </c>
      <c r="C15" s="8"/>
      <c r="D15" s="15"/>
      <c r="E15" s="8"/>
      <c r="F15" s="8"/>
    </row>
    <row r="16" spans="1:6">
      <c r="A16" s="8" t="s">
        <v>88</v>
      </c>
      <c r="B16" s="8">
        <v>500</v>
      </c>
      <c r="C16" s="8"/>
      <c r="D16" s="15"/>
      <c r="E16" s="8"/>
      <c r="F16" s="8"/>
    </row>
    <row r="17" spans="1:6">
      <c r="A17" s="8" t="s">
        <v>70</v>
      </c>
      <c r="B17" s="8">
        <v>1328</v>
      </c>
      <c r="C17" s="8"/>
      <c r="D17" s="15"/>
      <c r="E17" s="8"/>
      <c r="F17" s="8"/>
    </row>
    <row r="18" spans="1:6">
      <c r="A18" s="8" t="s">
        <v>70</v>
      </c>
      <c r="B18" s="8">
        <v>500</v>
      </c>
      <c r="C18" s="8"/>
      <c r="D18" s="15"/>
      <c r="E18" s="8"/>
      <c r="F18" s="8"/>
    </row>
    <row r="19" spans="1:6">
      <c r="A19" s="8" t="s">
        <v>70</v>
      </c>
      <c r="B19" s="8">
        <v>800</v>
      </c>
      <c r="C19" s="8"/>
      <c r="D19" s="15"/>
      <c r="E19" s="8"/>
      <c r="F19" s="8"/>
    </row>
    <row r="20" spans="1:6">
      <c r="A20" s="8" t="s">
        <v>70</v>
      </c>
      <c r="B20" s="8">
        <v>150</v>
      </c>
      <c r="C20" s="8"/>
      <c r="D20" s="15"/>
      <c r="E20" s="8"/>
      <c r="F20" s="8"/>
    </row>
    <row r="21" spans="1:6">
      <c r="A21" s="8"/>
      <c r="B21" s="8"/>
      <c r="C21" s="8"/>
      <c r="D21" s="15"/>
      <c r="E21" s="8" t="s">
        <v>96</v>
      </c>
      <c r="F21" s="8">
        <f>B104</f>
        <v>61154</v>
      </c>
    </row>
    <row r="22" spans="1:6">
      <c r="A22" s="8"/>
      <c r="B22" s="11" t="s">
        <v>91</v>
      </c>
      <c r="C22" s="8"/>
      <c r="D22" s="15"/>
      <c r="E22" s="8" t="s">
        <v>97</v>
      </c>
      <c r="F22" s="8">
        <f>SUM(B8:B9,B12:B19,B23,B26,B20,B29:B30,B33,B36,B5,B2)</f>
        <v>56085</v>
      </c>
    </row>
    <row r="23" spans="1:6">
      <c r="A23" s="8" t="s">
        <v>70</v>
      </c>
      <c r="B23" s="8">
        <v>11200</v>
      </c>
      <c r="C23" s="8"/>
      <c r="D23" s="8"/>
      <c r="F23" s="8"/>
    </row>
    <row r="24" spans="1:6">
      <c r="A24" s="8"/>
      <c r="B24" s="11"/>
      <c r="C24" s="11"/>
      <c r="D24" s="11"/>
      <c r="E24" s="8"/>
      <c r="F24" s="11">
        <f>SUM(F21:F22)</f>
        <v>117239</v>
      </c>
    </row>
    <row r="25" spans="1:6">
      <c r="A25" s="8"/>
      <c r="B25" s="11" t="s">
        <v>39</v>
      </c>
      <c r="C25" s="8"/>
      <c r="D25" s="8"/>
      <c r="E25" s="8"/>
      <c r="F25" s="11"/>
    </row>
    <row r="26" spans="1:6">
      <c r="A26" s="8" t="s">
        <v>87</v>
      </c>
      <c r="B26" s="8">
        <v>3627</v>
      </c>
      <c r="C26" s="8"/>
      <c r="D26" s="8"/>
    </row>
    <row r="27" spans="1:6">
      <c r="A27" s="8"/>
      <c r="B27" s="8"/>
      <c r="C27" s="8"/>
      <c r="D27" s="8"/>
      <c r="F27" s="19"/>
    </row>
    <row r="28" spans="1:6">
      <c r="A28" s="8"/>
      <c r="B28" s="11" t="s">
        <v>89</v>
      </c>
      <c r="C28" s="8"/>
      <c r="D28" s="8"/>
    </row>
    <row r="29" spans="1:6">
      <c r="A29" s="8" t="s">
        <v>90</v>
      </c>
      <c r="B29" s="8">
        <v>7000</v>
      </c>
      <c r="C29" s="8"/>
      <c r="D29" s="8"/>
    </row>
    <row r="30" spans="1:6">
      <c r="A30" s="8" t="s">
        <v>90</v>
      </c>
      <c r="B30" s="8">
        <v>5300</v>
      </c>
      <c r="C30" s="8"/>
      <c r="D30" s="8"/>
    </row>
    <row r="31" spans="1:6">
      <c r="A31" s="11"/>
      <c r="B31" s="8"/>
      <c r="C31" s="8"/>
      <c r="D31" s="8"/>
    </row>
    <row r="32" spans="1:6">
      <c r="A32" s="8"/>
      <c r="B32" s="11" t="s">
        <v>92</v>
      </c>
      <c r="C32" s="8"/>
      <c r="D32" s="8"/>
    </row>
    <row r="33" spans="1:4">
      <c r="A33" s="8"/>
      <c r="B33" s="8"/>
      <c r="C33" s="8"/>
      <c r="D33" s="8"/>
    </row>
    <row r="34" spans="1:4">
      <c r="A34" s="8"/>
      <c r="B34" s="8"/>
      <c r="C34" s="8"/>
      <c r="D34" s="8"/>
    </row>
    <row r="35" spans="1:4">
      <c r="A35" s="8"/>
      <c r="B35" s="11" t="s">
        <v>93</v>
      </c>
      <c r="C35" s="8"/>
      <c r="D35" s="8"/>
    </row>
    <row r="36" spans="1:4">
      <c r="A36" s="8" t="s">
        <v>95</v>
      </c>
      <c r="B36" s="8">
        <v>2800</v>
      </c>
      <c r="C36" s="15">
        <v>44906</v>
      </c>
      <c r="D36" s="8"/>
    </row>
    <row r="37" spans="1:4">
      <c r="A37" s="8"/>
      <c r="B37" s="8"/>
      <c r="C37" s="8"/>
      <c r="D37" s="8"/>
    </row>
    <row r="38" spans="1:4">
      <c r="B38" s="7" t="s">
        <v>85</v>
      </c>
    </row>
    <row r="39" spans="1:4">
      <c r="A39" s="12" t="s">
        <v>73</v>
      </c>
      <c r="B39" s="13">
        <v>55000</v>
      </c>
      <c r="C39" s="21">
        <v>44281</v>
      </c>
      <c r="D39" s="12"/>
    </row>
    <row r="40" spans="1:4">
      <c r="A40" s="12" t="s">
        <v>74</v>
      </c>
      <c r="B40" s="13">
        <v>10000</v>
      </c>
      <c r="C40" s="13"/>
      <c r="D40" s="12" t="s">
        <v>78</v>
      </c>
    </row>
    <row r="41" spans="1:4">
      <c r="A41" s="12" t="s">
        <v>75</v>
      </c>
      <c r="B41" s="13">
        <v>1800</v>
      </c>
      <c r="C41" s="13"/>
      <c r="D41" s="12" t="s">
        <v>78</v>
      </c>
    </row>
    <row r="42" spans="1:4">
      <c r="A42" s="12" t="s">
        <v>76</v>
      </c>
      <c r="B42" s="13">
        <v>30</v>
      </c>
      <c r="C42" s="13"/>
      <c r="D42" s="12" t="s">
        <v>78</v>
      </c>
    </row>
    <row r="43" spans="1:4">
      <c r="A43" s="12" t="s">
        <v>70</v>
      </c>
      <c r="B43" s="13">
        <v>2000</v>
      </c>
      <c r="C43" s="21">
        <v>44653</v>
      </c>
      <c r="D43" s="12" t="s">
        <v>78</v>
      </c>
    </row>
    <row r="44" spans="1:4">
      <c r="A44" s="12" t="s">
        <v>77</v>
      </c>
      <c r="B44" s="13">
        <v>120</v>
      </c>
      <c r="C44" s="21">
        <v>44669</v>
      </c>
      <c r="D44" s="12" t="s">
        <v>78</v>
      </c>
    </row>
    <row r="45" spans="1:4">
      <c r="A45" s="12" t="s">
        <v>79</v>
      </c>
      <c r="B45" s="13">
        <v>250</v>
      </c>
      <c r="C45" s="13"/>
      <c r="D45" s="12" t="s">
        <v>82</v>
      </c>
    </row>
    <row r="46" spans="1:4">
      <c r="A46" s="12" t="s">
        <v>80</v>
      </c>
      <c r="B46" s="13">
        <v>100</v>
      </c>
      <c r="C46" s="13"/>
      <c r="D46" s="12" t="s">
        <v>82</v>
      </c>
    </row>
    <row r="47" spans="1:4">
      <c r="A47" s="12" t="s">
        <v>81</v>
      </c>
      <c r="B47" s="13">
        <v>1506</v>
      </c>
      <c r="C47" s="13"/>
      <c r="D47" s="12" t="s">
        <v>82</v>
      </c>
    </row>
    <row r="48" spans="1:4">
      <c r="A48" s="12" t="s">
        <v>81</v>
      </c>
      <c r="B48" s="13">
        <v>862</v>
      </c>
      <c r="C48" s="13"/>
      <c r="D48" s="12" t="s">
        <v>82</v>
      </c>
    </row>
    <row r="49" spans="1:4">
      <c r="A49" s="12" t="s">
        <v>83</v>
      </c>
      <c r="B49" s="13">
        <v>570</v>
      </c>
      <c r="C49" s="13"/>
      <c r="D49" s="12"/>
    </row>
    <row r="50" spans="1:4">
      <c r="A50" s="12" t="s">
        <v>70</v>
      </c>
      <c r="B50" s="13">
        <v>400</v>
      </c>
      <c r="C50" s="13"/>
      <c r="D50" s="12"/>
    </row>
    <row r="51" spans="1:4">
      <c r="A51" s="12" t="s">
        <v>70</v>
      </c>
      <c r="B51" s="13">
        <v>10000</v>
      </c>
      <c r="C51" s="21">
        <v>44706</v>
      </c>
      <c r="D51" s="12"/>
    </row>
    <row r="52" spans="1:4">
      <c r="A52" s="12" t="s">
        <v>70</v>
      </c>
      <c r="B52" s="13">
        <v>5000</v>
      </c>
      <c r="C52" s="21">
        <v>44357</v>
      </c>
      <c r="D52" s="12"/>
    </row>
    <row r="53" spans="1:4">
      <c r="A53" s="12" t="s">
        <v>70</v>
      </c>
      <c r="B53" s="13">
        <v>15000</v>
      </c>
      <c r="C53" s="21">
        <v>44794</v>
      </c>
      <c r="D53" s="12"/>
    </row>
    <row r="54" spans="1:4">
      <c r="A54" s="12" t="s">
        <v>70</v>
      </c>
      <c r="B54" s="13">
        <v>10000</v>
      </c>
      <c r="C54" s="21">
        <v>44735</v>
      </c>
      <c r="D54" s="12"/>
    </row>
    <row r="55" spans="1:4">
      <c r="A55" s="22" t="s">
        <v>70</v>
      </c>
      <c r="B55" s="13">
        <v>500</v>
      </c>
      <c r="C55" s="21">
        <v>44743</v>
      </c>
      <c r="D55" s="12"/>
    </row>
    <row r="56" spans="1:4">
      <c r="A56" s="12" t="s">
        <v>70</v>
      </c>
      <c r="B56" s="13">
        <v>12000</v>
      </c>
      <c r="C56" s="21">
        <v>44767</v>
      </c>
      <c r="D56" s="12"/>
    </row>
    <row r="57" spans="1:4">
      <c r="A57" s="12" t="s">
        <v>84</v>
      </c>
      <c r="B57" s="13">
        <v>2000</v>
      </c>
      <c r="C57" s="21">
        <v>44814</v>
      </c>
      <c r="D57" s="12"/>
    </row>
    <row r="58" spans="1:4">
      <c r="A58" s="12" t="s">
        <v>70</v>
      </c>
      <c r="B58" s="13">
        <v>15000</v>
      </c>
      <c r="C58" s="21">
        <v>44827</v>
      </c>
      <c r="D58" s="12"/>
    </row>
    <row r="59" spans="1:4">
      <c r="A59" s="12" t="s">
        <v>70</v>
      </c>
      <c r="B59" s="13">
        <v>15000</v>
      </c>
      <c r="C59" s="21">
        <v>44855</v>
      </c>
      <c r="D59" s="12"/>
    </row>
    <row r="60" spans="1:4">
      <c r="A60" s="12" t="s">
        <v>70</v>
      </c>
      <c r="B60" s="13">
        <v>10000</v>
      </c>
      <c r="C60" s="21">
        <v>44875</v>
      </c>
      <c r="D60" s="12" t="s">
        <v>99</v>
      </c>
    </row>
    <row r="61" spans="1:4">
      <c r="A61" s="12" t="s">
        <v>70</v>
      </c>
      <c r="B61" s="13">
        <v>5000</v>
      </c>
      <c r="C61" s="21">
        <v>44885</v>
      </c>
      <c r="D61" s="12" t="s">
        <v>99</v>
      </c>
    </row>
    <row r="62" spans="1:4">
      <c r="A62" s="12" t="s">
        <v>70</v>
      </c>
      <c r="B62" s="13">
        <v>5000</v>
      </c>
      <c r="C62" s="21">
        <v>44916</v>
      </c>
      <c r="D62" s="12"/>
    </row>
    <row r="63" spans="1:4">
      <c r="A63" s="12" t="s">
        <v>70</v>
      </c>
      <c r="B63" s="13">
        <v>10000</v>
      </c>
      <c r="C63" s="21">
        <v>44921</v>
      </c>
      <c r="D63" s="12"/>
    </row>
    <row r="64" spans="1:4">
      <c r="A64" s="12" t="s">
        <v>70</v>
      </c>
      <c r="B64" s="13">
        <v>300</v>
      </c>
      <c r="C64" s="21">
        <v>44925</v>
      </c>
      <c r="D64" s="12"/>
    </row>
    <row r="65" spans="1:4">
      <c r="A65" s="12" t="s">
        <v>70</v>
      </c>
      <c r="B65" s="13">
        <v>2000</v>
      </c>
      <c r="C65" s="21">
        <v>44938</v>
      </c>
      <c r="D65" s="12"/>
    </row>
    <row r="66" spans="1:4">
      <c r="A66" s="12" t="s">
        <v>70</v>
      </c>
      <c r="B66" s="13">
        <v>12000</v>
      </c>
      <c r="C66" s="21">
        <v>44585</v>
      </c>
      <c r="D66" s="12"/>
    </row>
    <row r="67" spans="1:4">
      <c r="A67" s="12" t="s">
        <v>94</v>
      </c>
      <c r="B67" s="13">
        <v>6000</v>
      </c>
      <c r="C67" s="12"/>
      <c r="D67" s="12"/>
    </row>
    <row r="68" spans="1:4">
      <c r="A68" s="12" t="s">
        <v>98</v>
      </c>
      <c r="B68" s="13">
        <v>6838</v>
      </c>
      <c r="C68" s="12"/>
      <c r="D68" s="12"/>
    </row>
    <row r="69" spans="1:4">
      <c r="A69" s="12" t="s">
        <v>103</v>
      </c>
      <c r="B69" s="13">
        <v>1700</v>
      </c>
      <c r="C69" s="22">
        <v>44967</v>
      </c>
      <c r="D69" s="12"/>
    </row>
    <row r="70" spans="1:4">
      <c r="A70" s="12" t="s">
        <v>103</v>
      </c>
      <c r="B70" s="13">
        <v>3300</v>
      </c>
      <c r="C70" s="22">
        <v>44973</v>
      </c>
      <c r="D70" s="12"/>
    </row>
    <row r="71" spans="1:4">
      <c r="A71" s="12" t="s">
        <v>103</v>
      </c>
      <c r="B71" s="13">
        <v>10000</v>
      </c>
      <c r="C71" s="14">
        <v>44981</v>
      </c>
    </row>
    <row r="72" spans="1:4">
      <c r="A72" s="12" t="s">
        <v>70</v>
      </c>
      <c r="B72" s="13">
        <v>3000</v>
      </c>
      <c r="C72" s="14">
        <v>44992</v>
      </c>
    </row>
    <row r="73" spans="1:4">
      <c r="A73" s="12" t="s">
        <v>70</v>
      </c>
      <c r="B73" s="13">
        <v>10000</v>
      </c>
      <c r="C73" s="14">
        <v>45005</v>
      </c>
    </row>
    <row r="74" spans="1:4">
      <c r="A74" s="12" t="s">
        <v>70</v>
      </c>
      <c r="B74" s="13">
        <v>11000</v>
      </c>
      <c r="C74" s="14">
        <v>45019</v>
      </c>
    </row>
    <row r="75" spans="1:4">
      <c r="A75" s="12" t="s">
        <v>138</v>
      </c>
      <c r="B75" s="13">
        <v>229</v>
      </c>
      <c r="C75" s="14">
        <v>45023</v>
      </c>
    </row>
    <row r="76" spans="1:4">
      <c r="A76" s="12" t="s">
        <v>70</v>
      </c>
      <c r="B76" s="13">
        <v>5000</v>
      </c>
      <c r="C76" s="14">
        <v>45040</v>
      </c>
    </row>
    <row r="77" spans="1:4">
      <c r="A77" s="12" t="s">
        <v>70</v>
      </c>
      <c r="B77" s="13">
        <v>100</v>
      </c>
      <c r="C77" s="14">
        <v>45062</v>
      </c>
    </row>
    <row r="78" spans="1:4">
      <c r="A78" s="12" t="s">
        <v>70</v>
      </c>
      <c r="B78" s="13">
        <v>2000</v>
      </c>
      <c r="C78" s="14">
        <v>45065</v>
      </c>
    </row>
    <row r="79" spans="1:4">
      <c r="A79" s="12" t="s">
        <v>70</v>
      </c>
      <c r="B79" s="13">
        <v>10000</v>
      </c>
      <c r="C79" s="14">
        <v>45079</v>
      </c>
    </row>
    <row r="80" spans="1:4">
      <c r="A80" s="12" t="s">
        <v>70</v>
      </c>
      <c r="B80" s="13">
        <v>150</v>
      </c>
      <c r="C80" s="14">
        <v>45079</v>
      </c>
    </row>
    <row r="81" spans="1:4">
      <c r="A81" s="12" t="s">
        <v>70</v>
      </c>
      <c r="B81" s="13">
        <v>2000</v>
      </c>
      <c r="C81" s="14">
        <v>45093</v>
      </c>
    </row>
    <row r="82" spans="1:4">
      <c r="A82" t="s">
        <v>180</v>
      </c>
      <c r="B82" s="13">
        <v>2026</v>
      </c>
      <c r="C82" s="14" t="s">
        <v>181</v>
      </c>
    </row>
    <row r="83" spans="1:4">
      <c r="A83" t="s">
        <v>70</v>
      </c>
      <c r="B83" s="13">
        <v>11000</v>
      </c>
      <c r="C83" s="14">
        <v>45113</v>
      </c>
    </row>
    <row r="84" spans="1:4">
      <c r="A84" t="s">
        <v>70</v>
      </c>
      <c r="B84" s="13">
        <v>5000</v>
      </c>
      <c r="C84" s="14">
        <v>45132</v>
      </c>
    </row>
    <row r="85" spans="1:4">
      <c r="A85" t="s">
        <v>70</v>
      </c>
      <c r="B85" s="13">
        <v>15000</v>
      </c>
      <c r="C85" s="14">
        <v>45142</v>
      </c>
    </row>
    <row r="86" spans="1:4">
      <c r="A86" t="s">
        <v>70</v>
      </c>
      <c r="B86" s="13">
        <v>5000</v>
      </c>
      <c r="C86" s="14">
        <v>45160</v>
      </c>
    </row>
    <row r="87" spans="1:4">
      <c r="A87" t="s">
        <v>70</v>
      </c>
      <c r="B87" s="13">
        <v>15000</v>
      </c>
      <c r="C87" s="14">
        <v>45178</v>
      </c>
    </row>
    <row r="88" spans="1:4">
      <c r="A88" t="s">
        <v>70</v>
      </c>
      <c r="B88" s="13">
        <v>10000</v>
      </c>
      <c r="C88" s="14">
        <v>45213</v>
      </c>
    </row>
    <row r="89" spans="1:4">
      <c r="A89" t="s">
        <v>70</v>
      </c>
      <c r="B89" s="13">
        <v>12000</v>
      </c>
      <c r="C89" s="14">
        <v>45242</v>
      </c>
    </row>
    <row r="90" spans="1:4">
      <c r="A90" t="s">
        <v>70</v>
      </c>
      <c r="B90" s="13">
        <v>1300</v>
      </c>
      <c r="C90" s="14">
        <v>45266</v>
      </c>
      <c r="D90" t="s">
        <v>236</v>
      </c>
    </row>
    <row r="91" spans="1:4">
      <c r="A91" t="s">
        <v>70</v>
      </c>
      <c r="B91" s="13">
        <v>550</v>
      </c>
      <c r="C91" s="14">
        <v>45268</v>
      </c>
      <c r="D91" t="s">
        <v>237</v>
      </c>
    </row>
    <row r="92" spans="1:4">
      <c r="A92" t="s">
        <v>70</v>
      </c>
      <c r="B92" s="13">
        <v>10000</v>
      </c>
      <c r="C92" s="14">
        <v>45276</v>
      </c>
    </row>
    <row r="93" spans="1:4">
      <c r="A93" t="s">
        <v>70</v>
      </c>
      <c r="B93" s="13">
        <v>5000</v>
      </c>
      <c r="C93" s="14">
        <v>45304</v>
      </c>
    </row>
    <row r="94" spans="1:4">
      <c r="A94" t="s">
        <v>70</v>
      </c>
      <c r="B94" s="13">
        <v>5000</v>
      </c>
      <c r="C94" s="14">
        <v>45318</v>
      </c>
    </row>
    <row r="95" spans="1:4">
      <c r="A95" t="s">
        <v>70</v>
      </c>
      <c r="B95" s="13">
        <v>10000</v>
      </c>
      <c r="C95" s="14">
        <v>45332</v>
      </c>
    </row>
    <row r="96" spans="1:4">
      <c r="A96" t="s">
        <v>70</v>
      </c>
      <c r="B96" s="13">
        <v>10000</v>
      </c>
      <c r="C96" s="14">
        <v>45369</v>
      </c>
    </row>
    <row r="97" spans="1:3">
      <c r="A97" t="s">
        <v>70</v>
      </c>
      <c r="B97" s="13">
        <v>15000</v>
      </c>
      <c r="C97" s="14">
        <v>45394</v>
      </c>
    </row>
    <row r="98" spans="1:3">
      <c r="A98" t="s">
        <v>100</v>
      </c>
      <c r="B98" s="11">
        <f>SUM(B39:B97)</f>
        <v>404631</v>
      </c>
    </row>
    <row r="99" spans="1:3">
      <c r="A99" t="s">
        <v>101</v>
      </c>
      <c r="B99" s="13">
        <v>185956</v>
      </c>
      <c r="C99" t="s">
        <v>155</v>
      </c>
    </row>
    <row r="100" spans="1:3">
      <c r="B100" s="13">
        <v>76944</v>
      </c>
      <c r="C100" t="s">
        <v>182</v>
      </c>
    </row>
    <row r="101" spans="1:3">
      <c r="B101" s="13"/>
    </row>
    <row r="102" spans="1:3">
      <c r="A102" t="s">
        <v>102</v>
      </c>
      <c r="B102" s="11">
        <f>B98-B99-B100</f>
        <v>141731</v>
      </c>
    </row>
    <row r="103" spans="1:3">
      <c r="A103" t="s">
        <v>243</v>
      </c>
      <c r="B103" s="13">
        <v>80577</v>
      </c>
      <c r="C103" t="s">
        <v>244</v>
      </c>
    </row>
    <row r="104" spans="1:3">
      <c r="B104" s="11">
        <f>B102-B103</f>
        <v>61154</v>
      </c>
      <c r="C104" t="s">
        <v>245</v>
      </c>
    </row>
  </sheetData>
  <conditionalFormatting sqref="F7:F22">
    <cfRule type="containsText" dxfId="3" priority="1" operator="containsText" text="NOT YET">
      <formula>NOT(ISERROR(SEARCH("NOT YET",F7)))</formula>
    </cfRule>
    <cfRule type="containsText" dxfId="2" priority="2" operator="containsText" text="RECIVED">
      <formula>NOT(ISERROR(SEARCH("RECIVED",F7)))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52"/>
  <sheetViews>
    <sheetView workbookViewId="0">
      <selection activeCell="B32" sqref="B32"/>
    </sheetView>
  </sheetViews>
  <sheetFormatPr defaultRowHeight="15"/>
  <cols>
    <col min="1" max="2" width="23.28515625" customWidth="1"/>
    <col min="3" max="3" width="31.28515625" customWidth="1"/>
    <col min="4" max="4" width="18.5703125" customWidth="1"/>
    <col min="5" max="5" width="20.85546875" customWidth="1"/>
    <col min="6" max="6" width="32.140625" customWidth="1"/>
  </cols>
  <sheetData>
    <row r="1" spans="1:14" ht="18.75">
      <c r="A1" s="26" t="s">
        <v>130</v>
      </c>
      <c r="B1" s="26"/>
      <c r="C1" s="26" t="s">
        <v>131</v>
      </c>
      <c r="D1" s="26" t="s">
        <v>132</v>
      </c>
      <c r="E1" s="26" t="s">
        <v>133</v>
      </c>
      <c r="F1" s="26"/>
      <c r="K1" s="7"/>
      <c r="M1" s="11"/>
    </row>
    <row r="2" spans="1:14" ht="18.75">
      <c r="A2" s="11" t="s">
        <v>134</v>
      </c>
      <c r="B2" s="11"/>
      <c r="C2" s="25"/>
      <c r="D2" s="25"/>
      <c r="E2" s="26"/>
      <c r="F2" s="26"/>
      <c r="K2" s="7"/>
      <c r="M2" s="11"/>
    </row>
    <row r="3" spans="1:14">
      <c r="A3" s="8" t="s">
        <v>119</v>
      </c>
      <c r="B3" s="8">
        <v>20</v>
      </c>
      <c r="C3" s="8">
        <v>470</v>
      </c>
      <c r="D3" s="8">
        <v>1360</v>
      </c>
      <c r="N3" s="8"/>
    </row>
    <row r="4" spans="1:14">
      <c r="A4" s="8" t="s">
        <v>120</v>
      </c>
      <c r="B4" s="8">
        <v>20</v>
      </c>
      <c r="C4" s="8">
        <v>730</v>
      </c>
      <c r="D4" s="8">
        <v>2120</v>
      </c>
      <c r="E4" t="s">
        <v>174</v>
      </c>
      <c r="N4" s="8"/>
    </row>
    <row r="5" spans="1:14">
      <c r="A5" s="8" t="s">
        <v>118</v>
      </c>
      <c r="B5" s="8">
        <v>20</v>
      </c>
      <c r="C5" s="8">
        <v>680</v>
      </c>
      <c r="D5" s="8">
        <v>1970</v>
      </c>
      <c r="E5" t="s">
        <v>174</v>
      </c>
      <c r="N5" s="8"/>
    </row>
    <row r="6" spans="1:14">
      <c r="A6" s="8" t="s">
        <v>119</v>
      </c>
      <c r="B6" s="8">
        <v>20</v>
      </c>
      <c r="C6" s="8">
        <v>630</v>
      </c>
      <c r="D6" s="8">
        <v>1830</v>
      </c>
      <c r="E6" t="s">
        <v>174</v>
      </c>
      <c r="N6" s="8"/>
    </row>
    <row r="7" spans="1:14">
      <c r="A7" s="8" t="s">
        <v>121</v>
      </c>
      <c r="B7" s="8">
        <v>20</v>
      </c>
      <c r="C7" s="8">
        <v>420</v>
      </c>
      <c r="D7" s="8">
        <v>1220</v>
      </c>
      <c r="E7" s="34" t="s">
        <v>175</v>
      </c>
      <c r="N7" s="8"/>
    </row>
    <row r="8" spans="1:14">
      <c r="A8" s="8" t="s">
        <v>122</v>
      </c>
      <c r="B8" s="8">
        <v>20</v>
      </c>
      <c r="C8" s="8">
        <v>440</v>
      </c>
      <c r="D8" s="8">
        <v>1320</v>
      </c>
      <c r="E8" t="s">
        <v>174</v>
      </c>
      <c r="N8" s="8"/>
    </row>
    <row r="9" spans="1:14">
      <c r="A9" s="8" t="s">
        <v>136</v>
      </c>
      <c r="B9" s="8">
        <v>4</v>
      </c>
      <c r="C9" s="8">
        <v>1015</v>
      </c>
      <c r="D9" s="8">
        <v>2950</v>
      </c>
      <c r="N9" s="8"/>
    </row>
    <row r="10" spans="1:14">
      <c r="A10" s="8" t="s">
        <v>143</v>
      </c>
      <c r="B10" s="8">
        <v>4</v>
      </c>
      <c r="C10" s="8">
        <v>1045</v>
      </c>
      <c r="D10" s="8">
        <v>3030</v>
      </c>
      <c r="N10" s="8"/>
    </row>
    <row r="11" spans="1:14">
      <c r="A11" s="8"/>
      <c r="B11" s="8"/>
      <c r="C11" s="8"/>
      <c r="D11" s="8"/>
    </row>
    <row r="12" spans="1:14">
      <c r="A12" s="11" t="s">
        <v>104</v>
      </c>
      <c r="B12" s="11"/>
      <c r="C12" s="8"/>
      <c r="D12" s="8"/>
    </row>
    <row r="13" spans="1:14">
      <c r="A13" s="8" t="s">
        <v>105</v>
      </c>
      <c r="B13" s="8">
        <v>4</v>
      </c>
      <c r="C13" s="8">
        <v>940</v>
      </c>
      <c r="D13" s="8">
        <v>2730</v>
      </c>
    </row>
    <row r="14" spans="1:14">
      <c r="A14" s="8" t="s">
        <v>107</v>
      </c>
      <c r="B14" s="8"/>
      <c r="C14" s="8">
        <v>1030</v>
      </c>
      <c r="D14" s="8"/>
    </row>
    <row r="15" spans="1:14">
      <c r="A15" s="8" t="s">
        <v>108</v>
      </c>
      <c r="B15" s="8"/>
      <c r="C15" s="8">
        <v>850</v>
      </c>
      <c r="D15" s="8"/>
    </row>
    <row r="16" spans="1:14">
      <c r="A16" s="8" t="s">
        <v>109</v>
      </c>
      <c r="B16" s="8"/>
      <c r="C16" s="8">
        <v>925</v>
      </c>
      <c r="D16" s="8"/>
    </row>
    <row r="17" spans="1:4">
      <c r="A17" s="8" t="s">
        <v>110</v>
      </c>
      <c r="B17" s="8"/>
      <c r="C17" s="8">
        <v>735</v>
      </c>
      <c r="D17" s="8"/>
    </row>
    <row r="18" spans="1:4">
      <c r="A18" s="8" t="s">
        <v>111</v>
      </c>
      <c r="B18" s="8">
        <v>4</v>
      </c>
      <c r="C18" s="8">
        <v>660</v>
      </c>
      <c r="D18" s="8"/>
    </row>
    <row r="19" spans="1:4">
      <c r="A19" s="8" t="s">
        <v>106</v>
      </c>
      <c r="B19" s="8"/>
      <c r="C19" s="8">
        <v>825</v>
      </c>
      <c r="D19" s="8"/>
    </row>
    <row r="20" spans="1:4">
      <c r="A20" s="8" t="s">
        <v>146</v>
      </c>
      <c r="B20" s="8">
        <v>4</v>
      </c>
      <c r="C20" s="8">
        <v>915</v>
      </c>
      <c r="D20" s="8">
        <v>915</v>
      </c>
    </row>
    <row r="21" spans="1:4">
      <c r="A21" s="8" t="s">
        <v>147</v>
      </c>
      <c r="B21" s="8">
        <v>4</v>
      </c>
      <c r="C21" s="8">
        <v>970</v>
      </c>
      <c r="D21" s="8">
        <v>2820</v>
      </c>
    </row>
    <row r="22" spans="1:4">
      <c r="A22" s="8" t="s">
        <v>148</v>
      </c>
      <c r="B22" s="8">
        <v>4</v>
      </c>
      <c r="C22" s="8">
        <v>1060</v>
      </c>
      <c r="D22" s="8"/>
    </row>
    <row r="23" spans="1:4">
      <c r="A23" s="8" t="s">
        <v>178</v>
      </c>
      <c r="B23" s="8"/>
      <c r="C23" s="8">
        <v>850</v>
      </c>
      <c r="D23" s="8">
        <v>2460</v>
      </c>
    </row>
    <row r="24" spans="1:4">
      <c r="A24" s="8"/>
      <c r="B24" s="8"/>
      <c r="C24" s="8"/>
      <c r="D24" s="8"/>
    </row>
    <row r="25" spans="1:4">
      <c r="A25" s="11" t="s">
        <v>125</v>
      </c>
      <c r="B25" s="11"/>
      <c r="C25" s="8"/>
      <c r="D25" s="8"/>
    </row>
    <row r="26" spans="1:4">
      <c r="A26" s="8" t="s">
        <v>126</v>
      </c>
      <c r="B26" s="8">
        <v>1825</v>
      </c>
      <c r="C26" s="8">
        <v>2100</v>
      </c>
    </row>
    <row r="27" spans="1:4">
      <c r="A27" s="8" t="s">
        <v>179</v>
      </c>
      <c r="B27" s="8">
        <v>2525</v>
      </c>
      <c r="C27" s="8">
        <v>7400</v>
      </c>
    </row>
    <row r="28" spans="1:4">
      <c r="A28" s="8"/>
      <c r="B28" s="8"/>
      <c r="C28" s="8"/>
      <c r="D28" s="8"/>
    </row>
    <row r="29" spans="1:4">
      <c r="A29" s="11" t="s">
        <v>207</v>
      </c>
      <c r="B29" s="11"/>
      <c r="C29" s="8"/>
      <c r="D29" s="8"/>
    </row>
    <row r="30" spans="1:4">
      <c r="A30" s="8" t="s">
        <v>127</v>
      </c>
      <c r="B30" s="8"/>
      <c r="C30" s="8"/>
      <c r="D30" s="8"/>
    </row>
    <row r="31" spans="1:4">
      <c r="A31" s="8" t="s">
        <v>137</v>
      </c>
      <c r="B31" s="8">
        <v>4</v>
      </c>
      <c r="C31" s="8">
        <v>750</v>
      </c>
      <c r="D31" s="8"/>
    </row>
    <row r="32" spans="1:4">
      <c r="A32" s="8" t="s">
        <v>140</v>
      </c>
      <c r="B32" s="8">
        <v>4</v>
      </c>
      <c r="C32" s="8">
        <v>825</v>
      </c>
      <c r="D32" s="8"/>
    </row>
    <row r="33" spans="1:13">
      <c r="A33" s="8" t="s">
        <v>141</v>
      </c>
      <c r="B33" s="8">
        <v>4</v>
      </c>
      <c r="C33" s="8">
        <v>450</v>
      </c>
      <c r="D33" s="8"/>
    </row>
    <row r="34" spans="1:13">
      <c r="A34" s="8" t="s">
        <v>142</v>
      </c>
      <c r="B34" s="8">
        <v>4</v>
      </c>
      <c r="C34" s="8">
        <v>675</v>
      </c>
      <c r="D34" s="8"/>
    </row>
    <row r="35" spans="1:13">
      <c r="A35" s="8" t="s">
        <v>144</v>
      </c>
      <c r="B35" s="8">
        <v>15</v>
      </c>
      <c r="C35" s="8">
        <v>450</v>
      </c>
      <c r="D35" s="8"/>
    </row>
    <row r="36" spans="1:13">
      <c r="A36" s="8" t="s">
        <v>208</v>
      </c>
      <c r="B36" s="8">
        <v>6</v>
      </c>
      <c r="C36" s="8">
        <v>960</v>
      </c>
      <c r="D36" s="8"/>
    </row>
    <row r="38" spans="1:13">
      <c r="A38" s="11" t="s">
        <v>135</v>
      </c>
      <c r="B38" s="11"/>
      <c r="C38" s="8"/>
      <c r="D38" s="8"/>
    </row>
    <row r="39" spans="1:13">
      <c r="A39" s="8" t="s">
        <v>113</v>
      </c>
      <c r="B39" s="8">
        <v>21</v>
      </c>
      <c r="C39" s="8">
        <v>290</v>
      </c>
      <c r="D39" s="8"/>
    </row>
    <row r="40" spans="1:13">
      <c r="A40" s="8" t="s">
        <v>139</v>
      </c>
      <c r="B40" s="8">
        <v>4</v>
      </c>
      <c r="C40" s="8">
        <v>425</v>
      </c>
      <c r="D40" s="8"/>
    </row>
    <row r="41" spans="1:13">
      <c r="A41" s="8"/>
      <c r="B41" s="8"/>
      <c r="C41" s="8"/>
      <c r="D41" s="8"/>
    </row>
    <row r="42" spans="1:13">
      <c r="A42" s="11" t="s">
        <v>112</v>
      </c>
      <c r="B42" s="11"/>
    </row>
    <row r="43" spans="1:13">
      <c r="A43" s="8" t="s">
        <v>117</v>
      </c>
      <c r="B43" s="8">
        <v>40</v>
      </c>
      <c r="C43" s="8">
        <v>150</v>
      </c>
      <c r="D43" s="8">
        <v>440</v>
      </c>
      <c r="E43" s="34" t="s">
        <v>176</v>
      </c>
    </row>
    <row r="44" spans="1:13">
      <c r="A44" s="8" t="s">
        <v>116</v>
      </c>
      <c r="B44" s="8">
        <v>40</v>
      </c>
      <c r="C44" s="8">
        <v>170</v>
      </c>
      <c r="D44" s="8">
        <v>500</v>
      </c>
      <c r="J44" s="11"/>
      <c r="K44" s="8"/>
      <c r="L44" s="8"/>
      <c r="M44" s="8"/>
    </row>
    <row r="45" spans="1:13">
      <c r="A45" s="8" t="s">
        <v>115</v>
      </c>
      <c r="B45" s="8">
        <v>20</v>
      </c>
      <c r="C45" s="8">
        <v>205</v>
      </c>
      <c r="D45" s="8">
        <v>610</v>
      </c>
      <c r="E45" s="34" t="s">
        <v>176</v>
      </c>
      <c r="L45" s="8"/>
    </row>
    <row r="46" spans="1:13">
      <c r="A46" s="8" t="s">
        <v>114</v>
      </c>
      <c r="B46" s="8">
        <v>20</v>
      </c>
      <c r="C46" s="8">
        <v>275</v>
      </c>
      <c r="D46" s="8">
        <v>800</v>
      </c>
      <c r="L46" s="8"/>
    </row>
    <row r="47" spans="1:13">
      <c r="A47" s="8" t="s">
        <v>177</v>
      </c>
      <c r="B47" s="8">
        <v>20</v>
      </c>
      <c r="C47" s="8">
        <v>305</v>
      </c>
      <c r="D47" s="8">
        <v>900</v>
      </c>
      <c r="E47" s="34" t="s">
        <v>176</v>
      </c>
      <c r="L47" s="8"/>
    </row>
    <row r="48" spans="1:13">
      <c r="A48" s="8" t="s">
        <v>124</v>
      </c>
      <c r="B48" s="8">
        <v>20</v>
      </c>
      <c r="C48" s="8">
        <v>325</v>
      </c>
      <c r="D48" s="8">
        <v>960</v>
      </c>
      <c r="E48" s="34" t="s">
        <v>176</v>
      </c>
      <c r="L48" s="8"/>
    </row>
    <row r="49" spans="1:12">
      <c r="A49" s="8" t="s">
        <v>123</v>
      </c>
      <c r="B49" s="8">
        <v>8</v>
      </c>
      <c r="C49" s="8">
        <v>795</v>
      </c>
      <c r="E49" s="34" t="s">
        <v>176</v>
      </c>
      <c r="L49" s="8"/>
    </row>
    <row r="50" spans="1:12">
      <c r="A50" s="8" t="s">
        <v>145</v>
      </c>
      <c r="B50" s="8">
        <v>4</v>
      </c>
      <c r="C50" s="8">
        <v>495</v>
      </c>
      <c r="E50" s="34" t="s">
        <v>176</v>
      </c>
      <c r="L50" s="8"/>
    </row>
    <row r="51" spans="1:12">
      <c r="J51" s="8"/>
      <c r="L51" s="8"/>
    </row>
    <row r="52" spans="1:12">
      <c r="A52" s="8"/>
      <c r="B52" s="8"/>
      <c r="C52" s="8"/>
    </row>
  </sheetData>
  <sortState ref="A20:A24">
    <sortCondition ref="A20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42"/>
  <sheetViews>
    <sheetView topLeftCell="A19" workbookViewId="0">
      <selection activeCell="F3" sqref="F3"/>
    </sheetView>
  </sheetViews>
  <sheetFormatPr defaultRowHeight="15"/>
  <cols>
    <col min="1" max="1" width="21.7109375" customWidth="1"/>
    <col min="2" max="2" width="45.28515625" customWidth="1"/>
    <col min="3" max="4" width="33.85546875" customWidth="1"/>
    <col min="5" max="5" width="34.42578125" customWidth="1"/>
  </cols>
  <sheetData>
    <row r="1" spans="1:5">
      <c r="B1" s="11" t="s">
        <v>149</v>
      </c>
      <c r="C1" s="11" t="s">
        <v>150</v>
      </c>
      <c r="D1" s="11"/>
    </row>
    <row r="2" spans="1:5">
      <c r="A2" s="14">
        <v>45031</v>
      </c>
      <c r="B2" s="8">
        <v>1561</v>
      </c>
      <c r="C2" s="8">
        <v>633108</v>
      </c>
      <c r="D2" s="4" t="s">
        <v>152</v>
      </c>
      <c r="E2" s="8">
        <f>SUM(B2:B556)</f>
        <v>625933</v>
      </c>
    </row>
    <row r="3" spans="1:5">
      <c r="A3" s="14">
        <v>45034</v>
      </c>
      <c r="B3" s="8">
        <v>6800</v>
      </c>
      <c r="D3" s="4" t="s">
        <v>153</v>
      </c>
      <c r="E3" s="32">
        <f>E2*1.1</f>
        <v>688526.3</v>
      </c>
    </row>
    <row r="4" spans="1:5">
      <c r="A4" s="14">
        <v>45030</v>
      </c>
      <c r="B4" s="8">
        <v>8245</v>
      </c>
      <c r="D4" s="4" t="s">
        <v>151</v>
      </c>
      <c r="E4" s="8">
        <v>656560</v>
      </c>
    </row>
    <row r="5" spans="1:5">
      <c r="A5" s="14">
        <v>45031</v>
      </c>
      <c r="B5" s="8">
        <v>9176</v>
      </c>
      <c r="E5" s="33">
        <f>E4-E3</f>
        <v>-31966.300000000047</v>
      </c>
    </row>
    <row r="6" spans="1:5">
      <c r="A6" s="14">
        <v>45034</v>
      </c>
      <c r="B6" s="8">
        <v>7621</v>
      </c>
    </row>
    <row r="7" spans="1:5">
      <c r="A7" s="14">
        <v>45031</v>
      </c>
      <c r="B7" s="8">
        <v>3001</v>
      </c>
    </row>
    <row r="8" spans="1:5">
      <c r="A8" s="14">
        <v>45033</v>
      </c>
      <c r="B8" s="8">
        <v>6886</v>
      </c>
    </row>
    <row r="9" spans="1:5">
      <c r="A9" s="14">
        <v>45034</v>
      </c>
      <c r="B9" s="8">
        <v>23075</v>
      </c>
    </row>
    <row r="10" spans="1:5">
      <c r="A10" s="14">
        <v>45035</v>
      </c>
      <c r="B10" s="8">
        <v>14075</v>
      </c>
    </row>
    <row r="11" spans="1:5">
      <c r="A11" s="14">
        <v>45031</v>
      </c>
      <c r="B11" s="8">
        <v>25000</v>
      </c>
    </row>
    <row r="12" spans="1:5">
      <c r="A12" s="14">
        <v>45034</v>
      </c>
      <c r="B12" s="8">
        <v>4346</v>
      </c>
    </row>
    <row r="13" spans="1:5">
      <c r="A13" s="14">
        <v>45040</v>
      </c>
      <c r="B13" s="8">
        <v>16225</v>
      </c>
    </row>
    <row r="14" spans="1:5">
      <c r="A14" s="14">
        <v>45043</v>
      </c>
      <c r="B14" s="8">
        <v>4346</v>
      </c>
    </row>
    <row r="15" spans="1:5">
      <c r="A15" s="14"/>
      <c r="B15" s="8"/>
    </row>
    <row r="16" spans="1:5">
      <c r="A16" s="14">
        <v>45048</v>
      </c>
      <c r="B16" s="8">
        <v>6107</v>
      </c>
    </row>
    <row r="17" spans="1:2">
      <c r="A17" s="14">
        <v>45048</v>
      </c>
      <c r="B17" s="8">
        <v>32705</v>
      </c>
    </row>
    <row r="18" spans="1:2">
      <c r="A18" s="14">
        <v>45052</v>
      </c>
      <c r="B18" s="8">
        <v>3200</v>
      </c>
    </row>
    <row r="19" spans="1:2">
      <c r="A19" s="14">
        <v>45052</v>
      </c>
      <c r="B19" s="8">
        <v>21646</v>
      </c>
    </row>
    <row r="20" spans="1:2">
      <c r="A20" s="14">
        <v>45052</v>
      </c>
      <c r="B20" s="8">
        <v>6093</v>
      </c>
    </row>
    <row r="21" spans="1:2">
      <c r="A21" s="14">
        <v>45052</v>
      </c>
      <c r="B21" s="8">
        <v>2016</v>
      </c>
    </row>
    <row r="22" spans="1:2">
      <c r="A22" s="14">
        <v>45051</v>
      </c>
      <c r="B22" s="8">
        <v>2464</v>
      </c>
    </row>
    <row r="23" spans="1:2">
      <c r="A23" s="14">
        <v>45050</v>
      </c>
      <c r="B23" s="8">
        <v>8028</v>
      </c>
    </row>
    <row r="24" spans="1:2">
      <c r="A24" s="14">
        <v>45068</v>
      </c>
      <c r="B24" s="8">
        <v>2001</v>
      </c>
    </row>
    <row r="25" spans="1:2">
      <c r="A25" s="14">
        <v>45066</v>
      </c>
      <c r="B25" s="8">
        <v>32792</v>
      </c>
    </row>
    <row r="26" spans="1:2">
      <c r="A26" s="14">
        <v>45065</v>
      </c>
      <c r="B26" s="8">
        <v>20772</v>
      </c>
    </row>
    <row r="27" spans="1:2">
      <c r="A27" s="14">
        <v>45066</v>
      </c>
      <c r="B27" s="8">
        <v>20408</v>
      </c>
    </row>
    <row r="28" spans="1:2">
      <c r="A28" s="14">
        <v>45066</v>
      </c>
      <c r="B28" s="8">
        <v>18068</v>
      </c>
    </row>
    <row r="29" spans="1:2">
      <c r="A29" s="14">
        <v>45066</v>
      </c>
      <c r="B29" s="8">
        <v>45897</v>
      </c>
    </row>
    <row r="30" spans="1:2">
      <c r="A30" s="14">
        <v>45068</v>
      </c>
      <c r="B30" s="8">
        <v>18256</v>
      </c>
    </row>
    <row r="31" spans="1:2">
      <c r="A31" s="14">
        <v>45064</v>
      </c>
      <c r="B31" s="8">
        <v>3000</v>
      </c>
    </row>
    <row r="32" spans="1:2">
      <c r="A32" s="14">
        <v>45064</v>
      </c>
      <c r="B32" s="8">
        <v>3000</v>
      </c>
    </row>
    <row r="33" spans="1:2">
      <c r="A33" s="14">
        <v>45066</v>
      </c>
      <c r="B33" s="8">
        <v>14414</v>
      </c>
    </row>
    <row r="34" spans="1:2">
      <c r="A34" s="14">
        <v>45063</v>
      </c>
      <c r="B34" s="8">
        <v>4150</v>
      </c>
    </row>
    <row r="35" spans="1:2">
      <c r="A35" s="14">
        <v>45087</v>
      </c>
      <c r="B35" s="8">
        <v>15865</v>
      </c>
    </row>
    <row r="36" spans="1:2">
      <c r="A36" s="14">
        <v>45080</v>
      </c>
      <c r="B36" s="8">
        <v>2016</v>
      </c>
    </row>
    <row r="37" spans="1:2">
      <c r="A37" s="14">
        <v>45063</v>
      </c>
      <c r="B37" s="8">
        <v>2888</v>
      </c>
    </row>
    <row r="38" spans="1:2">
      <c r="A38" s="14">
        <v>45062</v>
      </c>
      <c r="B38" s="8">
        <v>4000</v>
      </c>
    </row>
    <row r="39" spans="1:2">
      <c r="A39" s="14">
        <v>45086</v>
      </c>
      <c r="B39" s="8">
        <v>10031</v>
      </c>
    </row>
    <row r="40" spans="1:2">
      <c r="A40" s="14">
        <v>45087</v>
      </c>
      <c r="B40" s="8">
        <v>7000</v>
      </c>
    </row>
    <row r="41" spans="1:2">
      <c r="A41" s="14">
        <v>45087</v>
      </c>
      <c r="B41" s="8">
        <v>7000</v>
      </c>
    </row>
    <row r="42" spans="1:2">
      <c r="A42" s="14">
        <v>45084</v>
      </c>
      <c r="B42" s="8">
        <v>24780</v>
      </c>
    </row>
    <row r="43" spans="1:2">
      <c r="A43" s="14">
        <v>45085</v>
      </c>
      <c r="B43" s="8">
        <v>23785</v>
      </c>
    </row>
    <row r="44" spans="1:2">
      <c r="A44" s="14">
        <v>45094</v>
      </c>
      <c r="B44" s="8">
        <v>30133</v>
      </c>
    </row>
    <row r="45" spans="1:2">
      <c r="A45" s="14">
        <v>45092</v>
      </c>
      <c r="B45" s="8">
        <v>13000</v>
      </c>
    </row>
    <row r="46" spans="1:2">
      <c r="A46" s="35">
        <v>45097</v>
      </c>
      <c r="B46" s="8">
        <v>18717</v>
      </c>
    </row>
    <row r="47" spans="1:2">
      <c r="A47" s="14">
        <v>45100</v>
      </c>
      <c r="B47" s="8">
        <v>2500</v>
      </c>
    </row>
    <row r="48" spans="1:2">
      <c r="A48" s="14">
        <v>45100</v>
      </c>
      <c r="B48" s="8">
        <v>1202</v>
      </c>
    </row>
    <row r="49" spans="1:2">
      <c r="A49" s="14">
        <v>45104</v>
      </c>
      <c r="B49" s="8">
        <v>2123</v>
      </c>
    </row>
    <row r="50" spans="1:2">
      <c r="A50" s="14">
        <v>45105</v>
      </c>
      <c r="B50" s="8">
        <v>15887</v>
      </c>
    </row>
    <row r="51" spans="1:2">
      <c r="A51" s="14">
        <v>45093</v>
      </c>
      <c r="B51" s="8">
        <v>4213</v>
      </c>
    </row>
    <row r="52" spans="1:2">
      <c r="A52" s="14">
        <v>45100</v>
      </c>
      <c r="B52" s="8">
        <v>14469</v>
      </c>
    </row>
    <row r="53" spans="1:2">
      <c r="A53" s="14">
        <v>45105</v>
      </c>
      <c r="B53" s="8">
        <v>15421</v>
      </c>
    </row>
    <row r="54" spans="1:2">
      <c r="A54" s="14">
        <v>45107</v>
      </c>
      <c r="B54" s="8">
        <v>15529</v>
      </c>
    </row>
    <row r="55" spans="1:2">
      <c r="A55" s="14"/>
      <c r="B55" s="8"/>
    </row>
    <row r="56" spans="1:2">
      <c r="A56" s="14"/>
      <c r="B56" s="8"/>
    </row>
    <row r="57" spans="1:2">
      <c r="B57" s="8"/>
    </row>
    <row r="58" spans="1:2">
      <c r="B58" s="8"/>
    </row>
    <row r="59" spans="1:2">
      <c r="B59" s="8"/>
    </row>
    <row r="60" spans="1:2">
      <c r="B60" s="8"/>
    </row>
    <row r="61" spans="1:2">
      <c r="B61" s="8"/>
    </row>
    <row r="62" spans="1:2">
      <c r="B62" s="8"/>
    </row>
    <row r="63" spans="1:2">
      <c r="B63" s="8"/>
    </row>
    <row r="64" spans="1:2">
      <c r="B64" s="8"/>
    </row>
    <row r="65" spans="2:2">
      <c r="B65" s="8"/>
    </row>
    <row r="66" spans="2:2">
      <c r="B66" s="8"/>
    </row>
    <row r="67" spans="2:2">
      <c r="B67" s="8"/>
    </row>
    <row r="68" spans="2:2">
      <c r="B68" s="8"/>
    </row>
    <row r="69" spans="2:2">
      <c r="B69" s="8"/>
    </row>
    <row r="70" spans="2:2">
      <c r="B70" s="8"/>
    </row>
    <row r="71" spans="2:2">
      <c r="B71" s="8"/>
    </row>
    <row r="72" spans="2:2">
      <c r="B72" s="8"/>
    </row>
    <row r="73" spans="2:2">
      <c r="B73" s="8"/>
    </row>
    <row r="74" spans="2:2">
      <c r="B74" s="8"/>
    </row>
    <row r="75" spans="2:2">
      <c r="B75" s="8"/>
    </row>
    <row r="76" spans="2:2">
      <c r="B76" s="8"/>
    </row>
    <row r="77" spans="2:2">
      <c r="B77" s="8"/>
    </row>
    <row r="78" spans="2:2">
      <c r="B78" s="8"/>
    </row>
    <row r="79" spans="2:2">
      <c r="B79" s="8"/>
    </row>
    <row r="80" spans="2:2">
      <c r="B80" s="8"/>
    </row>
    <row r="81" spans="2:2">
      <c r="B81" s="8"/>
    </row>
    <row r="82" spans="2:2">
      <c r="B82" s="8"/>
    </row>
    <row r="83" spans="2:2">
      <c r="B83" s="8"/>
    </row>
    <row r="84" spans="2:2">
      <c r="B84" s="8"/>
    </row>
    <row r="85" spans="2:2">
      <c r="B85" s="8"/>
    </row>
    <row r="86" spans="2:2">
      <c r="B86" s="8"/>
    </row>
    <row r="87" spans="2:2">
      <c r="B87" s="8"/>
    </row>
    <row r="88" spans="2:2">
      <c r="B88" s="8"/>
    </row>
    <row r="89" spans="2:2">
      <c r="B89" s="8"/>
    </row>
    <row r="90" spans="2:2">
      <c r="B90" s="8"/>
    </row>
    <row r="91" spans="2:2">
      <c r="B91" s="8"/>
    </row>
    <row r="92" spans="2:2">
      <c r="B92" s="8"/>
    </row>
    <row r="93" spans="2:2">
      <c r="B93" s="8"/>
    </row>
    <row r="94" spans="2:2">
      <c r="B94" s="8"/>
    </row>
    <row r="95" spans="2:2">
      <c r="B95" s="8"/>
    </row>
    <row r="96" spans="2:2">
      <c r="B96" s="8"/>
    </row>
    <row r="97" spans="2:2">
      <c r="B97" s="8"/>
    </row>
    <row r="98" spans="2:2">
      <c r="B98" s="8"/>
    </row>
    <row r="99" spans="2:2">
      <c r="B99" s="8"/>
    </row>
    <row r="100" spans="2:2">
      <c r="B100" s="8"/>
    </row>
    <row r="101" spans="2:2">
      <c r="B101" s="8"/>
    </row>
    <row r="102" spans="2:2">
      <c r="B102" s="8"/>
    </row>
    <row r="103" spans="2:2">
      <c r="B103" s="8"/>
    </row>
    <row r="104" spans="2:2">
      <c r="B104" s="8"/>
    </row>
    <row r="105" spans="2:2">
      <c r="B105" s="8"/>
    </row>
    <row r="106" spans="2:2">
      <c r="B106" s="8"/>
    </row>
    <row r="107" spans="2:2">
      <c r="B107" s="8"/>
    </row>
    <row r="108" spans="2:2">
      <c r="B108" s="8"/>
    </row>
    <row r="109" spans="2:2">
      <c r="B109" s="8"/>
    </row>
    <row r="110" spans="2:2">
      <c r="B110" s="8"/>
    </row>
    <row r="111" spans="2:2">
      <c r="B111" s="8"/>
    </row>
    <row r="112" spans="2:2">
      <c r="B112" s="8"/>
    </row>
    <row r="113" spans="2:2">
      <c r="B113" s="8"/>
    </row>
    <row r="114" spans="2:2">
      <c r="B114" s="8"/>
    </row>
    <row r="115" spans="2:2">
      <c r="B115" s="8"/>
    </row>
    <row r="116" spans="2:2">
      <c r="B116" s="8"/>
    </row>
    <row r="117" spans="2:2">
      <c r="B117" s="8"/>
    </row>
    <row r="118" spans="2:2">
      <c r="B118" s="8"/>
    </row>
    <row r="119" spans="2:2">
      <c r="B119" s="8"/>
    </row>
    <row r="120" spans="2:2">
      <c r="B120" s="8"/>
    </row>
    <row r="121" spans="2:2">
      <c r="B121" s="8"/>
    </row>
    <row r="122" spans="2:2">
      <c r="B122" s="8"/>
    </row>
    <row r="123" spans="2:2">
      <c r="B123" s="8"/>
    </row>
    <row r="124" spans="2:2">
      <c r="B124" s="8"/>
    </row>
    <row r="125" spans="2:2">
      <c r="B125" s="8"/>
    </row>
    <row r="126" spans="2:2">
      <c r="B126" s="8"/>
    </row>
    <row r="127" spans="2:2">
      <c r="B127" s="8"/>
    </row>
    <row r="128" spans="2:2">
      <c r="B128" s="8"/>
    </row>
    <row r="129" spans="2:2">
      <c r="B129" s="8"/>
    </row>
    <row r="130" spans="2:2">
      <c r="B130" s="8"/>
    </row>
    <row r="131" spans="2:2">
      <c r="B131" s="8"/>
    </row>
    <row r="132" spans="2:2">
      <c r="B132" s="8"/>
    </row>
    <row r="133" spans="2:2">
      <c r="B133" s="8"/>
    </row>
    <row r="134" spans="2:2">
      <c r="B134" s="8"/>
    </row>
    <row r="135" spans="2:2">
      <c r="B135" s="8"/>
    </row>
    <row r="136" spans="2:2">
      <c r="B136" s="8"/>
    </row>
    <row r="137" spans="2:2">
      <c r="B137" s="8"/>
    </row>
    <row r="138" spans="2:2">
      <c r="B138" s="8"/>
    </row>
    <row r="139" spans="2:2">
      <c r="B139" s="8"/>
    </row>
    <row r="140" spans="2:2">
      <c r="B140" s="8"/>
    </row>
    <row r="141" spans="2:2">
      <c r="B141" s="8"/>
    </row>
    <row r="142" spans="2:2">
      <c r="B142" s="8"/>
    </row>
  </sheetData>
  <conditionalFormatting sqref="F5">
    <cfRule type="aboveAverage" priority="3"/>
  </conditionalFormatting>
  <conditionalFormatting sqref="E5">
    <cfRule type="cellIs" dxfId="1" priority="2" operator="greaterThan">
      <formula>0</formula>
    </cfRule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T41"/>
  <sheetViews>
    <sheetView topLeftCell="A13" workbookViewId="0">
      <selection activeCell="I18" sqref="I18"/>
    </sheetView>
  </sheetViews>
  <sheetFormatPr defaultRowHeight="15"/>
  <cols>
    <col min="1" max="1" width="26.7109375" style="8" customWidth="1"/>
    <col min="2" max="2" width="23.7109375" style="8" customWidth="1"/>
    <col min="3" max="4" width="28.140625" style="8" customWidth="1"/>
    <col min="5" max="5" width="25.5703125" style="8" customWidth="1"/>
    <col min="6" max="6" width="22.28515625" style="8" customWidth="1"/>
    <col min="7" max="7" width="22.42578125" style="8" customWidth="1"/>
    <col min="8" max="8" width="9.140625" style="8"/>
    <col min="9" max="9" width="16.85546875" style="8" customWidth="1"/>
    <col min="10" max="10" width="17.28515625" style="8" customWidth="1"/>
    <col min="11" max="11" width="17" style="8" customWidth="1"/>
    <col min="12" max="12" width="11.5703125" style="8" bestFit="1" customWidth="1"/>
    <col min="13" max="16384" width="9.140625" style="8"/>
  </cols>
  <sheetData>
    <row r="1" spans="1:20" ht="33.75">
      <c r="A1"/>
      <c r="B1" s="37" t="s">
        <v>184</v>
      </c>
      <c r="D1" s="37" t="s">
        <v>187</v>
      </c>
      <c r="F1" s="37" t="s">
        <v>188</v>
      </c>
      <c r="G1"/>
      <c r="H1"/>
    </row>
    <row r="2" spans="1:20">
      <c r="A2"/>
      <c r="B2" s="8" t="s">
        <v>185</v>
      </c>
      <c r="C2" s="8" t="s">
        <v>186</v>
      </c>
      <c r="D2" s="8" t="s">
        <v>185</v>
      </c>
      <c r="E2" s="8" t="s">
        <v>186</v>
      </c>
      <c r="F2" s="8" t="s">
        <v>185</v>
      </c>
      <c r="G2" s="8" t="s">
        <v>186</v>
      </c>
      <c r="H2"/>
      <c r="T2" s="8" t="s">
        <v>203</v>
      </c>
    </row>
    <row r="3" spans="1:20" ht="23.25">
      <c r="A3" s="36">
        <v>45113</v>
      </c>
      <c r="B3" s="38">
        <v>0.48055555555555557</v>
      </c>
      <c r="C3" s="38">
        <v>0.875</v>
      </c>
      <c r="D3" s="38">
        <v>0.47013888888888888</v>
      </c>
      <c r="E3" s="38">
        <v>0.36180555555555555</v>
      </c>
      <c r="F3" s="38">
        <v>7.2222222222222229E-2</v>
      </c>
      <c r="G3" s="38">
        <v>0.375</v>
      </c>
      <c r="H3" s="17"/>
      <c r="I3" s="50">
        <f>IF(S3&gt;T3,S3-T3,0)</f>
        <v>1.9444444444444431E-2</v>
      </c>
      <c r="J3" s="45"/>
      <c r="K3" s="47"/>
      <c r="L3" s="45"/>
      <c r="M3" s="44"/>
      <c r="N3" s="44"/>
      <c r="O3" s="45"/>
      <c r="P3" s="44"/>
      <c r="Q3" s="44"/>
      <c r="R3" s="44"/>
      <c r="S3" s="50">
        <f>C3-B3</f>
        <v>0.39444444444444443</v>
      </c>
      <c r="T3" s="51">
        <v>0.375</v>
      </c>
    </row>
    <row r="4" spans="1:20" ht="23.25">
      <c r="A4" s="36">
        <v>45114</v>
      </c>
      <c r="B4" s="38">
        <v>0.46875</v>
      </c>
      <c r="C4" s="38">
        <v>0.88888888888888884</v>
      </c>
      <c r="D4" s="38">
        <v>0.46875</v>
      </c>
      <c r="E4" s="38">
        <v>0.3888888888888889</v>
      </c>
      <c r="F4" s="38">
        <v>0.45833333333333331</v>
      </c>
      <c r="G4" s="38">
        <v>0.3888888888888889</v>
      </c>
      <c r="H4" s="17"/>
      <c r="I4" s="50">
        <f>IF(S4&gt;T4,S4-T4,0)</f>
        <v>4.513888888888884E-2</v>
      </c>
      <c r="J4" s="45"/>
      <c r="K4" s="47"/>
      <c r="L4" s="45"/>
      <c r="M4" s="44"/>
      <c r="N4" s="44"/>
      <c r="O4" s="44"/>
      <c r="P4" s="44"/>
      <c r="Q4" s="44"/>
      <c r="R4" s="44"/>
      <c r="S4" s="50">
        <f>C4-B4</f>
        <v>0.42013888888888884</v>
      </c>
      <c r="T4" s="51">
        <v>0.375</v>
      </c>
    </row>
    <row r="5" spans="1:20" ht="23.25">
      <c r="A5" s="36">
        <v>45115</v>
      </c>
      <c r="B5" s="38">
        <v>0.47638888888888892</v>
      </c>
      <c r="C5" s="38">
        <v>0.77083333333333337</v>
      </c>
      <c r="D5" s="38">
        <v>0.4597222222222222</v>
      </c>
      <c r="E5" s="38">
        <v>0.375</v>
      </c>
      <c r="F5" s="38">
        <v>0.45833333333333331</v>
      </c>
      <c r="G5" s="38">
        <v>0.3888888888888889</v>
      </c>
      <c r="H5" s="17"/>
      <c r="I5" s="50">
        <f>IF(S5&gt;T5,S5-T5,)</f>
        <v>0</v>
      </c>
      <c r="J5" s="45"/>
      <c r="K5" s="48"/>
      <c r="L5" s="43"/>
      <c r="M5" s="44"/>
      <c r="N5" s="44"/>
      <c r="O5" s="44"/>
      <c r="P5" s="44"/>
      <c r="Q5" s="44"/>
      <c r="R5" s="44"/>
      <c r="S5" s="50">
        <f>C5-B5</f>
        <v>0.29444444444444445</v>
      </c>
      <c r="T5" s="51">
        <v>0.375</v>
      </c>
    </row>
    <row r="6" spans="1:20" ht="23.25">
      <c r="A6" s="36">
        <v>45116</v>
      </c>
      <c r="B6" s="38">
        <v>0.47916666666666669</v>
      </c>
      <c r="C6" s="38">
        <v>0.625</v>
      </c>
      <c r="D6" s="38">
        <v>0.47916666666666669</v>
      </c>
      <c r="E6" s="38">
        <v>0.125</v>
      </c>
      <c r="F6" s="38">
        <v>0.47916666666666669</v>
      </c>
      <c r="G6" s="38">
        <v>0.125</v>
      </c>
      <c r="H6" s="17"/>
      <c r="I6" s="50">
        <f t="shared" ref="I6:I28" si="0">IF(S6&gt;T6,S6-T6,0)</f>
        <v>0</v>
      </c>
      <c r="J6" s="45"/>
      <c r="K6" s="47"/>
      <c r="L6" s="45"/>
      <c r="M6" s="44"/>
      <c r="N6" s="44"/>
      <c r="O6" s="44"/>
      <c r="P6" s="44"/>
      <c r="Q6" s="44"/>
      <c r="R6" s="44"/>
      <c r="S6" s="50">
        <f t="shared" ref="S6:S13" si="1">C6-B6</f>
        <v>0.14583333333333331</v>
      </c>
      <c r="T6" s="51">
        <v>0.375</v>
      </c>
    </row>
    <row r="7" spans="1:20" ht="23.25">
      <c r="A7" s="36">
        <v>45117</v>
      </c>
      <c r="B7" s="38">
        <v>0.47916666666666669</v>
      </c>
      <c r="C7" s="38">
        <v>0.88888888888888884</v>
      </c>
      <c r="D7" s="38">
        <v>0.47916666666666669</v>
      </c>
      <c r="E7" s="38">
        <v>0.38541666666666669</v>
      </c>
      <c r="F7" s="38">
        <v>0.47916666666666669</v>
      </c>
      <c r="G7" s="38">
        <v>0.3888888888888889</v>
      </c>
      <c r="H7" s="17"/>
      <c r="I7" s="50">
        <f t="shared" si="0"/>
        <v>3.4722222222222154E-2</v>
      </c>
      <c r="J7" s="45"/>
      <c r="K7" s="47"/>
      <c r="L7" s="45"/>
      <c r="M7" s="44"/>
      <c r="N7" s="44"/>
      <c r="O7" s="44"/>
      <c r="P7" s="44"/>
      <c r="Q7" s="44"/>
      <c r="R7" s="44"/>
      <c r="S7" s="50">
        <f t="shared" si="1"/>
        <v>0.40972222222222215</v>
      </c>
      <c r="T7" s="51">
        <v>0.375</v>
      </c>
    </row>
    <row r="8" spans="1:20" ht="23.25">
      <c r="A8" s="36">
        <v>45118</v>
      </c>
      <c r="B8" s="38">
        <v>0.47222222222222227</v>
      </c>
      <c r="C8" s="38">
        <v>0.88888888888888884</v>
      </c>
      <c r="D8" s="38">
        <v>0.47222222222222227</v>
      </c>
      <c r="E8" s="38">
        <v>0.39583333333333331</v>
      </c>
      <c r="F8" s="38">
        <v>0.45833333333333331</v>
      </c>
      <c r="G8" s="38">
        <v>0.3972222222222222</v>
      </c>
      <c r="H8" s="17"/>
      <c r="I8" s="50">
        <f t="shared" si="0"/>
        <v>4.1666666666666574E-2</v>
      </c>
      <c r="J8" s="45"/>
      <c r="K8" s="45"/>
      <c r="L8" s="46"/>
      <c r="M8" s="44"/>
      <c r="N8" s="44"/>
      <c r="O8" s="44"/>
      <c r="P8" s="44"/>
      <c r="Q8" s="44"/>
      <c r="R8" s="44"/>
      <c r="S8" s="50">
        <f t="shared" si="1"/>
        <v>0.41666666666666657</v>
      </c>
      <c r="T8" s="51">
        <v>0.375</v>
      </c>
    </row>
    <row r="9" spans="1:20" ht="23.25">
      <c r="A9" s="36">
        <v>45119</v>
      </c>
      <c r="B9" s="38">
        <v>0.47916666666666669</v>
      </c>
      <c r="C9" s="38">
        <v>0.89722222222222225</v>
      </c>
      <c r="D9" s="38">
        <v>0.47916666666666669</v>
      </c>
      <c r="E9" s="38">
        <v>0.3972222222222222</v>
      </c>
      <c r="F9" s="38">
        <v>0.5</v>
      </c>
      <c r="G9" s="38">
        <v>0.3972222222222222</v>
      </c>
      <c r="H9" s="17"/>
      <c r="I9" s="50">
        <f t="shared" si="0"/>
        <v>4.3055555555555569E-2</v>
      </c>
      <c r="J9" s="45"/>
      <c r="K9" s="45"/>
      <c r="L9" s="45"/>
      <c r="M9" s="44" t="s">
        <v>30</v>
      </c>
      <c r="N9" s="44"/>
      <c r="O9" s="44"/>
      <c r="P9" s="44"/>
      <c r="Q9" s="44"/>
      <c r="R9" s="44"/>
      <c r="S9" s="50">
        <f t="shared" si="1"/>
        <v>0.41805555555555557</v>
      </c>
      <c r="T9" s="51">
        <v>0.375</v>
      </c>
    </row>
    <row r="10" spans="1:20" ht="23.25">
      <c r="A10" s="36">
        <v>45120</v>
      </c>
      <c r="B10" s="38">
        <v>0.48055555555555557</v>
      </c>
      <c r="C10" s="38">
        <v>0.89583333333333337</v>
      </c>
      <c r="D10" s="38">
        <v>0.48055555555555557</v>
      </c>
      <c r="E10" s="38">
        <v>0.89583333333333337</v>
      </c>
      <c r="F10" s="38">
        <v>0.52777777777777779</v>
      </c>
      <c r="G10" s="38">
        <v>0.91666666666666663</v>
      </c>
      <c r="H10" s="17"/>
      <c r="I10" s="50">
        <f t="shared" si="0"/>
        <v>4.0277777777777801E-2</v>
      </c>
      <c r="J10" s="45"/>
      <c r="K10" s="45"/>
      <c r="L10" s="45"/>
      <c r="M10" s="44"/>
      <c r="N10" s="44"/>
      <c r="O10" s="44"/>
      <c r="P10" s="44"/>
      <c r="Q10" s="44"/>
      <c r="R10" s="44"/>
      <c r="S10" s="50">
        <f t="shared" si="1"/>
        <v>0.4152777777777778</v>
      </c>
      <c r="T10" s="51">
        <v>0.375</v>
      </c>
    </row>
    <row r="11" spans="1:20" ht="23.25">
      <c r="A11" s="36">
        <v>45121</v>
      </c>
      <c r="B11" s="38">
        <v>0.48472222222222222</v>
      </c>
      <c r="C11" s="38">
        <v>0.88194444444444453</v>
      </c>
      <c r="D11" s="38">
        <v>0.48472222222222222</v>
      </c>
      <c r="E11" s="38">
        <v>0.88194444444444453</v>
      </c>
      <c r="F11" s="38">
        <v>0.45833333333333331</v>
      </c>
      <c r="G11" s="38">
        <v>0.8847222222222223</v>
      </c>
      <c r="H11" s="17"/>
      <c r="I11" s="50">
        <f t="shared" si="0"/>
        <v>2.222222222222231E-2</v>
      </c>
      <c r="J11" s="45"/>
      <c r="K11" s="45"/>
      <c r="L11" s="45"/>
      <c r="M11" s="44"/>
      <c r="N11" s="44"/>
      <c r="O11" s="44"/>
      <c r="P11" s="44"/>
      <c r="Q11" s="44"/>
      <c r="R11" s="44"/>
      <c r="S11" s="50">
        <f t="shared" si="1"/>
        <v>0.39722222222222231</v>
      </c>
      <c r="T11" s="51">
        <v>0.375</v>
      </c>
    </row>
    <row r="12" spans="1:20" ht="23.25">
      <c r="A12" s="36">
        <v>45122</v>
      </c>
      <c r="B12" s="38">
        <v>0.48125000000000001</v>
      </c>
      <c r="C12" s="38">
        <v>0.89444444444444438</v>
      </c>
      <c r="D12" s="38">
        <v>0.48125000000000001</v>
      </c>
      <c r="E12" s="38" t="s">
        <v>204</v>
      </c>
      <c r="F12" s="38">
        <v>0.45833333333333331</v>
      </c>
      <c r="G12" s="38">
        <v>0.89444444444444438</v>
      </c>
      <c r="H12" s="17"/>
      <c r="I12" s="50">
        <f t="shared" si="0"/>
        <v>0.41319444444444436</v>
      </c>
      <c r="J12" s="45"/>
      <c r="K12" s="45"/>
      <c r="L12" s="45"/>
      <c r="M12" s="44"/>
      <c r="N12" s="44"/>
      <c r="O12" s="44"/>
      <c r="P12" s="44"/>
      <c r="Q12" s="44"/>
      <c r="R12" s="44"/>
      <c r="S12" s="44">
        <f t="shared" si="1"/>
        <v>0.41319444444444436</v>
      </c>
    </row>
    <row r="13" spans="1:20" ht="23.25">
      <c r="A13" s="36">
        <v>45123</v>
      </c>
      <c r="B13" s="38">
        <v>0.52708333333333335</v>
      </c>
      <c r="C13" s="38">
        <v>0.65138888888888891</v>
      </c>
      <c r="D13" s="38" t="s">
        <v>205</v>
      </c>
      <c r="E13" s="38" t="s">
        <v>205</v>
      </c>
      <c r="F13" s="38">
        <v>0.5</v>
      </c>
      <c r="G13" s="38">
        <v>0.65138888888888891</v>
      </c>
      <c r="H13" s="17"/>
      <c r="I13" s="50">
        <f t="shared" si="0"/>
        <v>0.12430555555555556</v>
      </c>
      <c r="J13" s="45"/>
      <c r="K13" s="45"/>
      <c r="L13" s="45"/>
      <c r="M13" s="44"/>
      <c r="N13" s="44"/>
      <c r="O13" s="44"/>
      <c r="P13" s="44"/>
      <c r="Q13" s="44"/>
      <c r="R13" s="44"/>
      <c r="S13" s="44">
        <f t="shared" si="1"/>
        <v>0.12430555555555556</v>
      </c>
    </row>
    <row r="14" spans="1:20" ht="23.25">
      <c r="A14" s="36">
        <v>45124</v>
      </c>
      <c r="B14" s="38">
        <v>0.48125000000000001</v>
      </c>
      <c r="C14" s="38"/>
      <c r="D14" s="38" t="s">
        <v>205</v>
      </c>
      <c r="E14" s="38" t="s">
        <v>205</v>
      </c>
      <c r="F14" s="38">
        <v>0.95833333333333337</v>
      </c>
      <c r="G14" s="38"/>
      <c r="H14" s="17"/>
      <c r="I14" s="50">
        <f t="shared" si="0"/>
        <v>0</v>
      </c>
      <c r="J14" s="45"/>
      <c r="K14" s="45"/>
      <c r="L14" s="45"/>
      <c r="M14" s="44"/>
      <c r="N14" s="44"/>
      <c r="O14" s="44"/>
      <c r="P14" s="44"/>
      <c r="Q14" s="44"/>
      <c r="R14" s="44"/>
      <c r="S14" s="44"/>
    </row>
    <row r="15" spans="1:20" ht="23.25">
      <c r="A15" s="36">
        <v>45125</v>
      </c>
      <c r="B15" s="38"/>
      <c r="C15" s="38"/>
      <c r="D15" s="38"/>
      <c r="E15" s="38"/>
      <c r="F15" s="38"/>
      <c r="G15" s="38"/>
      <c r="H15" s="44"/>
      <c r="I15" s="50">
        <f t="shared" si="0"/>
        <v>0</v>
      </c>
      <c r="J15" s="45"/>
      <c r="K15" s="45"/>
      <c r="L15" s="45"/>
      <c r="M15" s="44"/>
      <c r="N15" s="44"/>
      <c r="O15" s="44"/>
      <c r="P15" s="44"/>
      <c r="Q15" s="44"/>
      <c r="R15" s="44"/>
      <c r="S15" s="44"/>
    </row>
    <row r="16" spans="1:20" ht="23.25">
      <c r="A16" s="36">
        <v>45126</v>
      </c>
      <c r="B16" s="38"/>
      <c r="C16" s="38"/>
      <c r="D16" s="38"/>
      <c r="E16" s="38"/>
      <c r="F16" s="38"/>
      <c r="G16" s="38"/>
      <c r="H16" s="44"/>
      <c r="I16" s="50">
        <f t="shared" si="0"/>
        <v>0</v>
      </c>
      <c r="J16" s="45"/>
      <c r="K16" s="45"/>
      <c r="L16" s="45"/>
      <c r="M16" s="44"/>
      <c r="N16" s="44"/>
      <c r="O16" s="44"/>
      <c r="P16" s="44"/>
      <c r="Q16" s="44"/>
      <c r="R16" s="44"/>
      <c r="S16" s="44"/>
    </row>
    <row r="17" spans="1:19" ht="23.25">
      <c r="A17" s="36">
        <v>45127</v>
      </c>
      <c r="B17" s="38"/>
      <c r="C17" s="38"/>
      <c r="D17" s="38"/>
      <c r="E17" s="38"/>
      <c r="F17" s="38"/>
      <c r="G17" s="38"/>
      <c r="H17" s="44"/>
      <c r="I17" s="50">
        <f t="shared" si="0"/>
        <v>0</v>
      </c>
      <c r="J17" s="45"/>
      <c r="K17" s="45"/>
      <c r="L17" s="45"/>
      <c r="M17" s="44"/>
      <c r="N17" s="44"/>
      <c r="O17" s="44"/>
      <c r="P17" s="44"/>
      <c r="Q17" s="44"/>
      <c r="R17" s="44"/>
      <c r="S17" s="44"/>
    </row>
    <row r="18" spans="1:19" ht="23.25">
      <c r="A18" s="36">
        <v>45128</v>
      </c>
      <c r="B18" s="38"/>
      <c r="C18" s="38"/>
      <c r="D18" s="38"/>
      <c r="E18" s="38"/>
      <c r="F18" s="38"/>
      <c r="G18" s="38"/>
      <c r="H18" s="44"/>
      <c r="I18" s="50">
        <f t="shared" si="0"/>
        <v>0</v>
      </c>
      <c r="J18" s="45"/>
      <c r="K18" s="45"/>
      <c r="L18" s="45"/>
      <c r="M18" s="44"/>
      <c r="N18" s="44"/>
      <c r="O18" s="44"/>
      <c r="P18" s="44"/>
      <c r="Q18" s="44"/>
      <c r="R18" s="44"/>
      <c r="S18" s="44"/>
    </row>
    <row r="19" spans="1:19" ht="23.25">
      <c r="A19" s="36">
        <v>45129</v>
      </c>
      <c r="B19" s="38"/>
      <c r="C19" s="38"/>
      <c r="D19" s="38"/>
      <c r="E19" s="38"/>
      <c r="F19" s="38"/>
      <c r="G19" s="38"/>
      <c r="H19" s="44"/>
      <c r="I19" s="50">
        <f t="shared" si="0"/>
        <v>0</v>
      </c>
      <c r="J19" s="45"/>
      <c r="K19" s="45"/>
      <c r="L19" s="45"/>
      <c r="M19" s="44"/>
      <c r="N19" s="44"/>
      <c r="O19" s="44"/>
      <c r="P19" s="44"/>
      <c r="Q19" s="44"/>
      <c r="R19" s="44"/>
      <c r="S19" s="44"/>
    </row>
    <row r="20" spans="1:19" ht="23.25">
      <c r="A20" s="36">
        <v>45130</v>
      </c>
      <c r="B20" s="38"/>
      <c r="C20" s="38"/>
      <c r="D20" s="38"/>
      <c r="E20" s="38"/>
      <c r="F20" s="38"/>
      <c r="G20" s="38"/>
      <c r="H20" s="44"/>
      <c r="I20" s="50">
        <f t="shared" si="0"/>
        <v>0</v>
      </c>
      <c r="J20" s="45"/>
      <c r="K20" s="45"/>
      <c r="L20" s="45"/>
      <c r="M20" s="44"/>
      <c r="N20" s="44"/>
      <c r="O20" s="44"/>
      <c r="P20" s="44"/>
      <c r="Q20" s="44"/>
      <c r="R20" s="44"/>
      <c r="S20" s="44"/>
    </row>
    <row r="21" spans="1:19" ht="23.25">
      <c r="A21" s="36">
        <v>45131</v>
      </c>
      <c r="B21" s="38"/>
      <c r="C21" s="38"/>
      <c r="D21" s="38"/>
      <c r="E21" s="38"/>
      <c r="F21" s="38"/>
      <c r="G21" s="38"/>
      <c r="H21" s="44"/>
      <c r="I21" s="50">
        <f t="shared" si="0"/>
        <v>0</v>
      </c>
      <c r="J21" s="45"/>
      <c r="K21" s="45"/>
      <c r="L21" s="45"/>
      <c r="M21" s="44"/>
      <c r="N21" s="44"/>
      <c r="O21" s="44"/>
      <c r="P21" s="44"/>
      <c r="Q21" s="44"/>
      <c r="R21" s="44"/>
      <c r="S21" s="44"/>
    </row>
    <row r="22" spans="1:19" ht="23.25">
      <c r="A22" s="36">
        <v>45132</v>
      </c>
      <c r="B22" s="38"/>
      <c r="C22" s="38"/>
      <c r="D22" s="38"/>
      <c r="E22" s="38"/>
      <c r="F22" s="38"/>
      <c r="G22" s="38"/>
      <c r="H22" s="44"/>
      <c r="I22" s="50">
        <f t="shared" si="0"/>
        <v>0</v>
      </c>
      <c r="J22" s="45"/>
      <c r="K22" s="45"/>
      <c r="L22" s="45"/>
      <c r="M22" s="44"/>
      <c r="N22" s="44"/>
      <c r="O22" s="44"/>
      <c r="P22" s="44"/>
      <c r="Q22" s="44"/>
      <c r="R22" s="44"/>
      <c r="S22" s="44"/>
    </row>
    <row r="23" spans="1:19" ht="23.25">
      <c r="A23" s="36">
        <v>45133</v>
      </c>
      <c r="B23" s="38"/>
      <c r="C23" s="38"/>
      <c r="D23" s="38"/>
      <c r="E23" s="38"/>
      <c r="F23" s="38"/>
      <c r="G23" s="38"/>
      <c r="H23" s="44"/>
      <c r="I23" s="50">
        <f t="shared" si="0"/>
        <v>0</v>
      </c>
      <c r="J23" s="45"/>
      <c r="K23" s="45"/>
      <c r="L23" s="45"/>
      <c r="M23" s="44"/>
      <c r="N23" s="44"/>
      <c r="O23" s="44"/>
      <c r="P23" s="44"/>
      <c r="Q23" s="44"/>
      <c r="R23" s="44"/>
      <c r="S23" s="44"/>
    </row>
    <row r="24" spans="1:19" ht="23.25">
      <c r="A24" s="36">
        <v>45134</v>
      </c>
      <c r="B24" s="38"/>
      <c r="C24" s="38"/>
      <c r="D24" s="38"/>
      <c r="E24" s="38"/>
      <c r="F24" s="38"/>
      <c r="G24" s="38"/>
      <c r="H24" s="44"/>
      <c r="I24" s="50">
        <f t="shared" si="0"/>
        <v>0</v>
      </c>
      <c r="J24" s="45"/>
      <c r="K24" s="45"/>
      <c r="L24" s="45"/>
      <c r="M24" s="44"/>
      <c r="N24" s="44"/>
      <c r="O24" s="44"/>
      <c r="P24" s="44"/>
      <c r="Q24" s="44"/>
      <c r="R24" s="44"/>
      <c r="S24" s="44"/>
    </row>
    <row r="25" spans="1:19" ht="23.25">
      <c r="A25" s="36">
        <v>45135</v>
      </c>
      <c r="B25" s="38"/>
      <c r="C25" s="38"/>
      <c r="D25" s="38"/>
      <c r="E25" s="38"/>
      <c r="F25" s="38"/>
      <c r="G25" s="38"/>
      <c r="H25" s="44"/>
      <c r="I25" s="50">
        <f t="shared" si="0"/>
        <v>0</v>
      </c>
      <c r="J25" s="45"/>
      <c r="K25" s="45"/>
      <c r="L25" s="45"/>
      <c r="M25" s="44"/>
      <c r="N25" s="44"/>
      <c r="O25" s="44"/>
      <c r="P25" s="44"/>
      <c r="Q25" s="44"/>
      <c r="R25" s="44"/>
      <c r="S25" s="44"/>
    </row>
    <row r="26" spans="1:19" ht="23.25">
      <c r="A26" s="36">
        <v>45136</v>
      </c>
      <c r="B26" s="38"/>
      <c r="C26" s="38"/>
      <c r="D26" s="38"/>
      <c r="E26" s="38"/>
      <c r="F26" s="38"/>
      <c r="G26" s="38"/>
      <c r="H26" s="44"/>
      <c r="I26" s="50">
        <f t="shared" si="0"/>
        <v>0</v>
      </c>
      <c r="J26" s="45"/>
      <c r="K26" s="45"/>
      <c r="L26" s="45"/>
      <c r="M26" s="44"/>
      <c r="N26" s="44"/>
      <c r="O26" s="44"/>
      <c r="P26" s="44"/>
      <c r="Q26" s="44"/>
      <c r="R26" s="44"/>
      <c r="S26" s="44"/>
    </row>
    <row r="27" spans="1:19" ht="23.25">
      <c r="A27" s="36">
        <v>45137</v>
      </c>
      <c r="B27" s="38"/>
      <c r="C27" s="38"/>
      <c r="D27" s="38"/>
      <c r="E27" s="38"/>
      <c r="F27" s="38"/>
      <c r="G27" s="38"/>
      <c r="H27" s="44"/>
      <c r="I27" s="50">
        <f t="shared" si="0"/>
        <v>0</v>
      </c>
      <c r="J27" s="45"/>
      <c r="K27" s="45"/>
      <c r="L27" s="45"/>
      <c r="M27" s="44"/>
      <c r="N27" s="44"/>
      <c r="O27" s="44"/>
      <c r="P27" s="44"/>
      <c r="Q27" s="44"/>
      <c r="R27" s="44"/>
      <c r="S27" s="44"/>
    </row>
    <row r="28" spans="1:19" ht="23.25">
      <c r="A28" s="36">
        <v>45138</v>
      </c>
      <c r="B28" s="38"/>
      <c r="C28" s="38"/>
      <c r="D28" s="38"/>
      <c r="E28" s="38"/>
      <c r="F28" s="38"/>
      <c r="G28" s="38"/>
      <c r="H28" s="44"/>
      <c r="I28" s="50">
        <f t="shared" si="0"/>
        <v>0</v>
      </c>
      <c r="J28" s="45"/>
      <c r="K28" s="45"/>
      <c r="L28" s="45"/>
      <c r="M28" s="44"/>
      <c r="N28" s="44"/>
      <c r="O28" s="44"/>
      <c r="P28" s="44"/>
      <c r="Q28" s="44"/>
      <c r="R28" s="44"/>
      <c r="S28" s="44"/>
    </row>
    <row r="29" spans="1:19" ht="23.25">
      <c r="A29" s="36"/>
      <c r="B29" s="49"/>
      <c r="C29" s="49"/>
      <c r="D29" s="39"/>
      <c r="E29" s="39"/>
      <c r="F29" s="39"/>
      <c r="G29" s="39"/>
    </row>
    <row r="30" spans="1:19">
      <c r="A30" s="14"/>
      <c r="B30"/>
      <c r="C30"/>
    </row>
    <row r="31" spans="1:19">
      <c r="A31" s="14"/>
      <c r="B31"/>
      <c r="C31"/>
    </row>
    <row r="32" spans="1:19">
      <c r="A32" s="14"/>
      <c r="B32"/>
      <c r="C32"/>
    </row>
    <row r="33" spans="1:3">
      <c r="A33"/>
      <c r="B33"/>
      <c r="C33"/>
    </row>
    <row r="34" spans="1:3">
      <c r="A34"/>
      <c r="B34"/>
      <c r="C34"/>
    </row>
    <row r="35" spans="1:3">
      <c r="A35"/>
      <c r="B35"/>
      <c r="C35"/>
    </row>
    <row r="36" spans="1:3">
      <c r="A36"/>
      <c r="B36"/>
      <c r="C36"/>
    </row>
    <row r="37" spans="1:3">
      <c r="A37"/>
      <c r="B37"/>
      <c r="C37"/>
    </row>
    <row r="38" spans="1:3">
      <c r="A38"/>
      <c r="B38"/>
      <c r="C38"/>
    </row>
    <row r="39" spans="1:3">
      <c r="A39"/>
      <c r="B39"/>
      <c r="C39"/>
    </row>
    <row r="40" spans="1:3">
      <c r="A40"/>
      <c r="B40"/>
      <c r="C40"/>
    </row>
    <row r="41" spans="1:3">
      <c r="A41"/>
      <c r="B41"/>
      <c r="C41"/>
    </row>
  </sheetData>
  <pageMargins left="0.70866141732283472" right="0.70866141732283472" top="0.74803149606299213" bottom="0.74803149606299213" header="0.31496062992125984" footer="0.31496062992125984"/>
  <pageSetup paperSize="9" scale="70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A3" sqref="A3:B14"/>
    </sheetView>
  </sheetViews>
  <sheetFormatPr defaultRowHeight="15"/>
  <cols>
    <col min="1" max="1" width="32.28515625" customWidth="1"/>
    <col min="2" max="2" width="38.28515625" customWidth="1"/>
    <col min="3" max="3" width="25.7109375" customWidth="1"/>
  </cols>
  <sheetData>
    <row r="1" spans="1:10">
      <c r="A1" t="s">
        <v>13</v>
      </c>
      <c r="B1" t="s">
        <v>156</v>
      </c>
    </row>
    <row r="2" spans="1:10">
      <c r="A2" t="s">
        <v>13</v>
      </c>
      <c r="B2" t="s">
        <v>157</v>
      </c>
    </row>
    <row r="3" spans="1:10">
      <c r="A3" t="s">
        <v>13</v>
      </c>
      <c r="B3" t="s">
        <v>158</v>
      </c>
    </row>
    <row r="4" spans="1:10">
      <c r="A4" t="s">
        <v>13</v>
      </c>
      <c r="B4" t="s">
        <v>159</v>
      </c>
    </row>
    <row r="5" spans="1:10">
      <c r="A5" t="s">
        <v>13</v>
      </c>
      <c r="B5" t="s">
        <v>166</v>
      </c>
    </row>
    <row r="6" spans="1:10">
      <c r="A6" t="s">
        <v>13</v>
      </c>
      <c r="B6" t="s">
        <v>167</v>
      </c>
    </row>
    <row r="7" spans="1:10">
      <c r="A7" t="s">
        <v>13</v>
      </c>
      <c r="B7" t="s">
        <v>168</v>
      </c>
    </row>
    <row r="8" spans="1:10">
      <c r="A8" t="s">
        <v>13</v>
      </c>
      <c r="B8" t="s">
        <v>169</v>
      </c>
    </row>
    <row r="9" spans="1:10">
      <c r="A9" t="s">
        <v>171</v>
      </c>
      <c r="B9" t="s">
        <v>172</v>
      </c>
      <c r="I9">
        <v>52</v>
      </c>
      <c r="J9" t="s">
        <v>160</v>
      </c>
    </row>
    <row r="10" spans="1:10">
      <c r="A10" t="s">
        <v>171</v>
      </c>
      <c r="B10" t="s">
        <v>173</v>
      </c>
      <c r="I10" t="s">
        <v>170</v>
      </c>
      <c r="J10" t="s">
        <v>161</v>
      </c>
    </row>
    <row r="11" spans="1:10">
      <c r="A11" t="s">
        <v>161</v>
      </c>
      <c r="B11" t="s">
        <v>162</v>
      </c>
    </row>
    <row r="12" spans="1:10">
      <c r="A12" t="s">
        <v>161</v>
      </c>
      <c r="B12" t="s">
        <v>163</v>
      </c>
    </row>
    <row r="13" spans="1:10">
      <c r="A13" t="s">
        <v>161</v>
      </c>
      <c r="B13" t="s">
        <v>164</v>
      </c>
    </row>
    <row r="14" spans="1:10">
      <c r="A14" t="s">
        <v>161</v>
      </c>
      <c r="B14" t="s">
        <v>165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8"/>
  <sheetViews>
    <sheetView workbookViewId="0">
      <selection activeCell="G28" sqref="G28"/>
    </sheetView>
  </sheetViews>
  <sheetFormatPr defaultRowHeight="15"/>
  <cols>
    <col min="1" max="1" width="31" customWidth="1"/>
    <col min="6" max="6" width="31" customWidth="1"/>
    <col min="7" max="7" width="9.28515625" customWidth="1"/>
    <col min="8" max="8" width="43.28515625" customWidth="1"/>
  </cols>
  <sheetData>
    <row r="1" spans="1:8">
      <c r="A1" t="s">
        <v>48</v>
      </c>
      <c r="B1">
        <v>6900</v>
      </c>
    </row>
    <row r="2" spans="1:8">
      <c r="A2" t="s">
        <v>49</v>
      </c>
      <c r="B2">
        <v>2000</v>
      </c>
      <c r="F2" s="7" t="s">
        <v>59</v>
      </c>
    </row>
    <row r="3" spans="1:8">
      <c r="B3" s="7">
        <f>SUM(B1:B2)</f>
        <v>8900</v>
      </c>
      <c r="F3" s="18" t="s">
        <v>55</v>
      </c>
      <c r="G3" s="18">
        <v>280</v>
      </c>
    </row>
    <row r="4" spans="1:8">
      <c r="F4" s="18" t="s">
        <v>56</v>
      </c>
      <c r="G4" s="18">
        <v>150</v>
      </c>
    </row>
    <row r="5" spans="1:8">
      <c r="A5" t="s">
        <v>50</v>
      </c>
      <c r="B5">
        <v>4450</v>
      </c>
      <c r="F5" s="18" t="s">
        <v>57</v>
      </c>
      <c r="G5" s="18">
        <v>60</v>
      </c>
    </row>
    <row r="6" spans="1:8">
      <c r="A6" t="s">
        <v>51</v>
      </c>
      <c r="B6">
        <v>4450</v>
      </c>
      <c r="F6" s="18" t="s">
        <v>58</v>
      </c>
      <c r="G6" s="18">
        <v>500</v>
      </c>
    </row>
    <row r="7" spans="1:8">
      <c r="B7" s="7">
        <f>SUM(B5:B6)</f>
        <v>8900</v>
      </c>
      <c r="F7" s="18" t="s">
        <v>60</v>
      </c>
      <c r="G7" s="18">
        <v>611</v>
      </c>
    </row>
    <row r="8" spans="1:8">
      <c r="F8" s="18" t="s">
        <v>61</v>
      </c>
      <c r="G8" s="18">
        <v>594</v>
      </c>
    </row>
    <row r="9" spans="1:8">
      <c r="A9" t="s">
        <v>54</v>
      </c>
      <c r="B9" s="7">
        <v>5000</v>
      </c>
      <c r="F9" s="18" t="s">
        <v>41</v>
      </c>
      <c r="G9" s="18">
        <f>4450-2000</f>
        <v>2450</v>
      </c>
      <c r="H9" t="s">
        <v>62</v>
      </c>
    </row>
    <row r="10" spans="1:8">
      <c r="F10" s="18"/>
      <c r="G10" s="19">
        <f>SUM(G3:G9)</f>
        <v>4645</v>
      </c>
    </row>
    <row r="11" spans="1:8">
      <c r="A11" t="s">
        <v>52</v>
      </c>
      <c r="B11">
        <v>2500</v>
      </c>
      <c r="F11" s="18"/>
      <c r="G11" s="18"/>
    </row>
    <row r="12" spans="1:8">
      <c r="A12" t="s">
        <v>53</v>
      </c>
      <c r="B12">
        <v>2500</v>
      </c>
      <c r="F12" s="19" t="s">
        <v>63</v>
      </c>
      <c r="G12" s="18"/>
    </row>
    <row r="13" spans="1:8">
      <c r="F13" s="18" t="s">
        <v>41</v>
      </c>
      <c r="G13" s="10">
        <v>4450</v>
      </c>
    </row>
    <row r="14" spans="1:8">
      <c r="F14" s="18" t="s">
        <v>69</v>
      </c>
      <c r="G14" s="10">
        <v>470</v>
      </c>
    </row>
    <row r="15" spans="1:8">
      <c r="F15" s="18"/>
      <c r="G15" s="19">
        <f>SUM(G13:G14)</f>
        <v>4920</v>
      </c>
    </row>
    <row r="16" spans="1:8">
      <c r="F16" s="18"/>
      <c r="G16" s="18"/>
    </row>
    <row r="17" spans="6:7">
      <c r="F17" s="19" t="s">
        <v>64</v>
      </c>
      <c r="G17" s="18"/>
    </row>
    <row r="18" spans="6:7">
      <c r="F18" s="18" t="s">
        <v>65</v>
      </c>
      <c r="G18" s="10">
        <f>G19</f>
        <v>600</v>
      </c>
    </row>
    <row r="19" spans="6:7">
      <c r="F19" s="18"/>
      <c r="G19" s="19">
        <v>600</v>
      </c>
    </row>
    <row r="20" spans="6:7">
      <c r="F20" s="19" t="s">
        <v>66</v>
      </c>
      <c r="G20" s="18"/>
    </row>
    <row r="21" spans="6:7">
      <c r="F21" s="18" t="s">
        <v>68</v>
      </c>
      <c r="G21" s="18">
        <v>1700</v>
      </c>
    </row>
    <row r="22" spans="6:7">
      <c r="F22" s="18" t="s">
        <v>67</v>
      </c>
      <c r="G22" s="18">
        <v>245</v>
      </c>
    </row>
    <row r="23" spans="6:7">
      <c r="F23" s="18"/>
      <c r="G23" s="19">
        <f>SUM(G21:G22)</f>
        <v>1945</v>
      </c>
    </row>
    <row r="24" spans="6:7">
      <c r="F24" s="18"/>
      <c r="G24" s="18"/>
    </row>
    <row r="25" spans="6:7">
      <c r="F25" s="18"/>
      <c r="G25" s="18"/>
    </row>
    <row r="26" spans="6:7">
      <c r="F26" s="18"/>
      <c r="G26" s="18"/>
    </row>
    <row r="27" spans="6:7">
      <c r="F27" s="18"/>
      <c r="G27" s="18"/>
    </row>
    <row r="28" spans="6:7">
      <c r="G28" s="19">
        <f>G10+G15+G19+G23</f>
        <v>12110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H15"/>
  <sheetViews>
    <sheetView workbookViewId="0">
      <selection activeCell="G19" sqref="G19"/>
    </sheetView>
  </sheetViews>
  <sheetFormatPr defaultRowHeight="15"/>
  <cols>
    <col min="1" max="1" width="38.140625" customWidth="1"/>
    <col min="2" max="2" width="23.5703125" customWidth="1"/>
    <col min="7" max="7" width="15.28515625" customWidth="1"/>
  </cols>
  <sheetData>
    <row r="1" spans="2:8" ht="26.25">
      <c r="B1" s="40" t="s">
        <v>189</v>
      </c>
    </row>
    <row r="2" spans="2:8" ht="15.75">
      <c r="B2" s="42" t="s">
        <v>194</v>
      </c>
      <c r="C2" s="42" t="s">
        <v>195</v>
      </c>
      <c r="D2" s="42"/>
      <c r="E2" s="42" t="s">
        <v>196</v>
      </c>
      <c r="F2" s="42"/>
      <c r="G2" s="42" t="s">
        <v>132</v>
      </c>
      <c r="H2" s="41"/>
    </row>
    <row r="3" spans="2:8">
      <c r="B3" s="12" t="s">
        <v>190</v>
      </c>
      <c r="C3">
        <v>492</v>
      </c>
      <c r="D3" t="s">
        <v>191</v>
      </c>
      <c r="E3">
        <v>41</v>
      </c>
      <c r="F3" t="s">
        <v>192</v>
      </c>
      <c r="G3">
        <v>124</v>
      </c>
      <c r="H3" t="s">
        <v>193</v>
      </c>
    </row>
    <row r="4" spans="2:8">
      <c r="B4" t="s">
        <v>197</v>
      </c>
      <c r="C4">
        <v>480</v>
      </c>
      <c r="D4" t="s">
        <v>191</v>
      </c>
      <c r="E4">
        <v>40</v>
      </c>
      <c r="F4" t="s">
        <v>192</v>
      </c>
      <c r="G4">
        <v>120</v>
      </c>
      <c r="H4" t="s">
        <v>193</v>
      </c>
    </row>
    <row r="5" spans="2:8">
      <c r="B5" t="s">
        <v>198</v>
      </c>
      <c r="C5">
        <v>468</v>
      </c>
      <c r="D5" t="s">
        <v>191</v>
      </c>
      <c r="G5">
        <v>118</v>
      </c>
      <c r="H5" t="s">
        <v>193</v>
      </c>
    </row>
    <row r="6" spans="2:8">
      <c r="B6" t="s">
        <v>199</v>
      </c>
      <c r="C6">
        <v>360</v>
      </c>
      <c r="D6" t="s">
        <v>191</v>
      </c>
      <c r="G6">
        <v>90</v>
      </c>
      <c r="H6" t="s">
        <v>193</v>
      </c>
    </row>
    <row r="7" spans="2:8">
      <c r="B7" t="s">
        <v>200</v>
      </c>
      <c r="C7">
        <v>228</v>
      </c>
      <c r="D7" t="s">
        <v>191</v>
      </c>
      <c r="G7">
        <v>60</v>
      </c>
      <c r="H7" t="s">
        <v>193</v>
      </c>
    </row>
    <row r="8" spans="2:8">
      <c r="B8" t="s">
        <v>201</v>
      </c>
      <c r="C8">
        <v>294</v>
      </c>
      <c r="D8" t="s">
        <v>191</v>
      </c>
      <c r="G8">
        <v>74</v>
      </c>
      <c r="H8" t="s">
        <v>193</v>
      </c>
    </row>
    <row r="15" spans="2:8">
      <c r="B15" t="s">
        <v>202</v>
      </c>
      <c r="E15">
        <v>52</v>
      </c>
      <c r="F15" t="s">
        <v>192</v>
      </c>
      <c r="G15">
        <v>168</v>
      </c>
      <c r="H15" t="s">
        <v>193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Sheet3</vt:lpstr>
      <vt:lpstr>Sheet2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2024-05-11T10:18:37Z</dcterms:modified>
</cp:coreProperties>
</file>