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structions" state="visible" r:id="rId4"/>
    <sheet sheetId="2" name="Summary" state="visible" r:id="rId5"/>
    <sheet sheetId="3" name="List of Services" state="visible" r:id="rId6"/>
    <sheet sheetId="4" name="Code Scanning Tools" state="visible" r:id="rId7"/>
    <sheet sheetId="5" name="I. General" state="visible" r:id="rId8"/>
    <sheet sheetId="6" name="II. Compute" state="visible" r:id="rId9"/>
    <sheet sheetId="7" name="III. Storage" state="visible" r:id="rId10"/>
    <sheet sheetId="8" name="IV. Databases" state="visible" r:id="rId11"/>
    <sheet sheetId="9" name="V. Network &amp; Delivery" state="visible" r:id="rId12"/>
    <sheet sheetId="10" name="VI. Management &amp; Governance" state="visible" r:id="rId13"/>
    <sheet sheetId="11" name="VII. Machine Learning" state="visible" r:id="rId14"/>
    <sheet sheetId="12" name="VIII. Analytics" state="visible" r:id="rId15"/>
    <sheet sheetId="13" name="IX. Security &amp; Compliance" state="visible" r:id="rId16"/>
    <sheet sheetId="14" name="X. Serverless" state="visible" r:id="rId17"/>
    <sheet sheetId="15" name="XI. Application Integration" state="visible" r:id="rId18"/>
    <sheet sheetId="16" name="XII. Media Services" state="visible" r:id="rId19"/>
    <sheet sheetId="17" name="XIII. Developer Tools" state="visible" r:id="rId20"/>
    <sheet sheetId="18" name="XIV. Internet of Things" state="visible" r:id="rId21"/>
    <sheet sheetId="19" name="Release Notes" state="visible" r:id="rId22"/>
  </sheets>
  <definedNames>
    <definedName name="EC2InUse">'List of Services'!$B$9</definedName>
    <definedName name="VPCInUse">'List of Services'!$E$9</definedName>
    <definedName name="ATHENAInUse">'List of Services'!$H$9</definedName>
    <definedName name="EVENT_BRIDGEInUse">'List of Services'!$K$9</definedName>
    <definedName name="IOT_COREInUse">'List of Services'!$N$9</definedName>
    <definedName name="ECRInUse">'List of Services'!$B$10</definedName>
    <definedName name="CLOUDFRONTInUse">'List of Services'!$E$10</definedName>
    <definedName name="ELASTIC_MAP_REDUCEInUse">'List of Services'!$H$10</definedName>
    <definedName name="SNSInUse">'List of Services'!$K$10</definedName>
    <definedName name="ECSInUse">'List of Services'!$B$11</definedName>
    <definedName name="API_GATEWAYInUse">'List of Services'!$E$11</definedName>
    <definedName name="OPENSEARCHInUse">'List of Services'!$H$11</definedName>
    <definedName name="SQSInUse">'List of Services'!$K$11</definedName>
    <definedName name="EKSInUse">'List of Services'!$B$12</definedName>
    <definedName name="TRANSIT_GATEWAYInUse">'List of Services'!$E$12</definedName>
    <definedName name="KINESIS_DATA_ANALYTICSInUse">'List of Services'!$H$12</definedName>
    <definedName name="BATCHInUse">'List of Services'!$B$13</definedName>
    <definedName name="NETWORK_FIREWALLInUse">'List of Services'!$E$13</definedName>
    <definedName name="MANAGED_STREAMING_FOR_APACHE_KAFKAInUse">'List of Services'!$H$13</definedName>
    <definedName name="ELASTIC_BEANSTALKInUse">'List of Services'!$B$14</definedName>
    <definedName name="AWS_NETWORK_MANAGERInUse">'List of Services'!$E$14</definedName>
    <definedName name="QUICKSIGHTInUse">'List of Services'!$H$14</definedName>
    <definedName name="ELASTIC_LOAD_BALANCINGInUse">'List of Services'!$B$15</definedName>
    <definedName name="KINESIS_DATA_FIREHOSEInUse">'List of Services'!$H$15</definedName>
    <definedName name="APP_STREAM_2_0InUse">'List of Services'!$B$16</definedName>
    <definedName name="AMAZON_S3InUse">'List of Services'!$B$19</definedName>
    <definedName name="CLOUD_FORMATIONInUse">'List of Services'!$E$19</definedName>
    <definedName name="IAMInUse">'List of Services'!$H$19</definedName>
    <definedName name="MEDIA_STOREInUse">'List of Services'!$K$19</definedName>
    <definedName name="EFSInUse">'List of Services'!$B$20</definedName>
    <definedName name="CLOUDTRAILInUse">'List of Services'!$E$20</definedName>
    <definedName name="IAM_IDENTITY_CENTERInUse">'List of Services'!$H$20</definedName>
    <definedName name="MEDIA_PACKAGEInUse">'List of Services'!$K$20</definedName>
    <definedName name="FSXInUse">'List of Services'!$B$21</definedName>
    <definedName name="CLOUDWATCHInUse">'List of Services'!$E$21</definedName>
    <definedName name="COGNITOInUse">'List of Services'!$H$21</definedName>
    <definedName name="MEDIA_CONNECTInUse">'List of Services'!$K$21</definedName>
    <definedName name="FSX_NInUse">'List of Services'!$B$22</definedName>
    <definedName name="AUTO_SCALINGInUse">'List of Services'!$E$22</definedName>
    <definedName name="SECRETS_MANAGERInUse">'List of Services'!$H$22</definedName>
    <definedName name="MEDIA_LIVEInUse">'List of Services'!$K$22</definedName>
    <definedName name="AWS_SYSTEM_MANAGER_AUTOMATION_DOCUMENTInUse">'List of Services'!$E$23</definedName>
    <definedName name="SECURITY_LAKEInUse">'List of Services'!$H$23</definedName>
    <definedName name="KEY_MANAGEMENT_SERVICEInUse">'List of Services'!$H$24</definedName>
    <definedName name="PARAMETER_STOREInUse">'List of Services'!$H$25</definedName>
    <definedName name="AWS_ORGANIZATIONSInUse">'List of Services'!$H$26</definedName>
    <definedName name="AWS_RESOURCE_ACCESS_MANAGERInUse">'List of Services'!$H$27</definedName>
    <definedName name="RDSInUse">'List of Services'!$B$30</definedName>
    <definedName name="SAGEMAKERInUse">'List of Services'!$E$30</definedName>
    <definedName name="APPSYNCInUse">'List of Services'!$H$30</definedName>
    <definedName name="CODE_BUILDInUse">'List of Services'!$K$30</definedName>
    <definedName name="DYNAMO_DBInUse">'List of Services'!$B$31</definedName>
    <definedName name="AMAZON_LEXInUse">'List of Services'!$E$31</definedName>
    <definedName name="LAMBDAInUse">'List of Services'!$H$31</definedName>
    <definedName name="CODE_COMMITInUse">'List of Services'!$K$31</definedName>
    <definedName name="ELASTICACHEInUse">'List of Services'!$B$32</definedName>
    <definedName name="AMAZON_REKOGNITIONInUse">'List of Services'!$E$32</definedName>
    <definedName name="STEP_FUNCTIONSInUse">'List of Services'!$H$32</definedName>
    <definedName name="CODE_DEPLOYInUse">'List of Services'!$K$32</definedName>
    <definedName name="NEPTUNEInUse">'List of Services'!$B$33</definedName>
    <definedName name="AMAZON_BEDROCKInUse">'List of Services'!$E$33</definedName>
    <definedName name="CODE_PIPELINEInUse">'List of Services'!$K$33</definedName>
    <definedName name="REDSHIFTInUse">'List of Services'!$B$34</definedName>
    <definedName name="CODE_WHISPERERInUse">'List of Services'!$K$34</definedName>
    <definedName name="DOCUMENT_DBInUse">'List of Services'!$B$35</definedName>
    <definedName name="TIMESTREAMInUse">'List of Services'!$B$36</definedName>
    <definedName name="DMSInUse">'List of Services'!$B$37</definedName>
    <definedName name="SLTotalIdentified">'List of Services'!$U$2</definedName>
    <definedName name="SLTotalAnswered">'List of Services'!$U$3</definedName>
    <definedName name="GENERALTotalIdentified">'I. General'!$U$2</definedName>
    <definedName name="GENERALTotalAnswered">'I. General'!$U$3</definedName>
    <definedName name="GENERALTotalAnsweredYes">'I. General'!$U$4</definedName>
    <definedName name="GENERALTotalAnsweredNo">'I. General'!$U$5</definedName>
    <definedName name="GENERALTotalReviewedRiskMitigated">'I. General'!$U$6</definedName>
    <definedName name="GENERALTotalReviewedRiskNotMitigated">'I. General'!$U$7</definedName>
    <definedName name="COMPUTETotalIdentified">'II. Compute'!$U$2</definedName>
    <definedName name="COMPUTETotalAnswered">'II. Compute'!$U$3</definedName>
    <definedName name="COMPUTETotalAnsweredYes">'II. Compute'!$U$4</definedName>
    <definedName name="COMPUTETotalAnsweredNo">'II. Compute'!$U$5</definedName>
    <definedName name="COMPUTETotalReviewedRiskMitigated">'II. Compute'!$U$6</definedName>
    <definedName name="COMPUTETotalReviewedRiskNotMitigated">'II. Compute'!$U$7</definedName>
    <definedName name="STORAGETotalIdentified">'III. Storage'!$U$2</definedName>
    <definedName name="STORAGETotalAnswered">'III. Storage'!$U$3</definedName>
    <definedName name="STORAGETotalAnsweredYes">'III. Storage'!$U$4</definedName>
    <definedName name="STORAGETotalAnsweredNo">'III. Storage'!$U$5</definedName>
    <definedName name="STORAGETotalReviewedRiskMitigated">'III. Storage'!$U$6</definedName>
    <definedName name="STORAGETotalReviewedRiskNotMitigated">'III. Storage'!$U$7</definedName>
    <definedName name="DATABASESTotalIdentified">'IV. Databases'!$U$2</definedName>
    <definedName name="DATABASESTotalAnswered">'IV. Databases'!$U$3</definedName>
    <definedName name="DATABASESTotalAnsweredYes">'IV. Databases'!$U$4</definedName>
    <definedName name="DATABASESTotalAnsweredNo">'IV. Databases'!$U$5</definedName>
    <definedName name="DATABASESTotalReviewedRiskMitigated">'IV. Databases'!$U$6</definedName>
    <definedName name="DATABASESTotalReviewedRiskNotMitigated">'IV. Databases'!$U$7</definedName>
    <definedName name="NETWORK_AND_DELIVERYTotalIdentified">'V. Network &amp; Delivery'!$U$2</definedName>
    <definedName name="NETWORK_AND_DELIVERYTotalAnswered">'V. Network &amp; Delivery'!$U$3</definedName>
    <definedName name="NETWORK_AND_DELIVERYTotalAnsweredYes">'V. Network &amp; Delivery'!$U$4</definedName>
    <definedName name="NETWORK_AND_DELIVERYTotalAnsweredNo">'V. Network &amp; Delivery'!$U$5</definedName>
    <definedName name="NETWORK_AND_DELIVERYTotalReviewedRiskMitigated">'V. Network &amp; Delivery'!$U$6</definedName>
    <definedName name="NETWORK_AND_DELIVERYTotalReviewedRiskNotMitigated">'V. Network &amp; Delivery'!$U$7</definedName>
    <definedName name="MANAGEMENT_AND_GOVERNANCETotalIdentified">'VI. Management &amp; Governance'!$U$2</definedName>
    <definedName name="MANAGEMENT_AND_GOVERNANCETotalAnswered">'VI. Management &amp; Governance'!$U$3</definedName>
    <definedName name="MANAGEMENT_AND_GOVERNANCETotalAnsweredYes">'VI. Management &amp; Governance'!$U$4</definedName>
    <definedName name="MANAGEMENT_AND_GOVERNANCETotalAnsweredNo">'VI. Management &amp; Governance'!$U$5</definedName>
    <definedName name="MANAGEMENT_AND_GOVERNANCETotalReviewedRiskMitigated">'VI. Management &amp; Governance'!$U$6</definedName>
    <definedName name="MANAGEMENT_AND_GOVERNANCETotalReviewedRiskNotMitigated">'VI. Management &amp; Governance'!$U$7</definedName>
    <definedName name="MACHINE_LEARNINGTotalIdentified">'VII. Machine Learning'!$U$2</definedName>
    <definedName name="MACHINE_LEARNINGTotalAnswered">'VII. Machine Learning'!$U$3</definedName>
    <definedName name="MACHINE_LEARNINGTotalAnsweredYes">'VII. Machine Learning'!$U$4</definedName>
    <definedName name="MACHINE_LEARNINGTotalAnsweredNo">'VII. Machine Learning'!$U$5</definedName>
    <definedName name="MACHINE_LEARNINGTotalReviewedRiskMitigated">'VII. Machine Learning'!$U$6</definedName>
    <definedName name="MACHINE_LEARNINGTotalReviewedRiskNotMitigated">'VII. Machine Learning'!$U$7</definedName>
    <definedName name="ANALYTICSTotalIdentified">'VIII. Analytics'!$U$2</definedName>
    <definedName name="ANALYTICSTotalAnswered">'VIII. Analytics'!$U$3</definedName>
    <definedName name="ANALYTICSTotalAnsweredYes">'VIII. Analytics'!$U$4</definedName>
    <definedName name="ANALYTICSTotalAnsweredNo">'VIII. Analytics'!$U$5</definedName>
    <definedName name="ANALYTICSTotalReviewedRiskMitigated">'VIII. Analytics'!$U$6</definedName>
    <definedName name="ANALYTICSTotalReviewedRiskNotMitigated">'VIII. Analytics'!$U$7</definedName>
    <definedName name="SECURITY_AND_COMPLIANCETotalIdentified">'IX. Security &amp; Compliance'!$U$2</definedName>
    <definedName name="SECURITY_AND_COMPLIANCETotalAnswered">'IX. Security &amp; Compliance'!$U$3</definedName>
    <definedName name="SECURITY_AND_COMPLIANCETotalAnsweredYes">'IX. Security &amp; Compliance'!$U$4</definedName>
    <definedName name="SECURITY_AND_COMPLIANCETotalAnsweredNo">'IX. Security &amp; Compliance'!$U$5</definedName>
    <definedName name="SECURITY_AND_COMPLIANCETotalReviewedRiskMitigated">'IX. Security &amp; Compliance'!$U$6</definedName>
    <definedName name="SECURITY_AND_COMPLIANCETotalReviewedRiskNotMitigated">'IX. Security &amp; Compliance'!$U$7</definedName>
    <definedName name="SERVERLESSTotalIdentified">'X. Serverless'!$U$2</definedName>
    <definedName name="SERVERLESSTotalAnswered">'X. Serverless'!$U$3</definedName>
    <definedName name="SERVERLESSTotalAnsweredYes">'X. Serverless'!$U$4</definedName>
    <definedName name="SERVERLESSTotalAnsweredNo">'X. Serverless'!$U$5</definedName>
    <definedName name="SERVERLESSTotalReviewedRiskMitigated">'X. Serverless'!$U$6</definedName>
    <definedName name="SERVERLESSTotalReviewedRiskNotMitigated">'X. Serverless'!$U$7</definedName>
    <definedName name="APPLICATION_INTEGRATIONTotalIdentified">'XI. Application Integration'!$U$2</definedName>
    <definedName name="APPLICATION_INTEGRATIONTotalAnswered">'XI. Application Integration'!$U$3</definedName>
    <definedName name="APPLICATION_INTEGRATIONTotalAnsweredYes">'XI. Application Integration'!$U$4</definedName>
    <definedName name="APPLICATION_INTEGRATIONTotalAnsweredNo">'XI. Application Integration'!$U$5</definedName>
    <definedName name="APPLICATION_INTEGRATIONTotalReviewedRiskMitigated">'XI. Application Integration'!$U$6</definedName>
    <definedName name="APPLICATION_INTEGRATIONTotalReviewedRiskNotMitigated">'XI. Application Integration'!$U$7</definedName>
    <definedName name="MEDIA_SERVICESTotalIdentified">'XII. Media Services'!$U$2</definedName>
    <definedName name="MEDIA_SERVICESTotalAnswered">'XII. Media Services'!$U$3</definedName>
    <definedName name="MEDIA_SERVICESTotalAnsweredYes">'XII. Media Services'!$U$4</definedName>
    <definedName name="MEDIA_SERVICESTotalAnsweredNo">'XII. Media Services'!$U$5</definedName>
    <definedName name="MEDIA_SERVICESTotalReviewedRiskMitigated">'XII. Media Services'!$U$6</definedName>
    <definedName name="MEDIA_SERVICESTotalReviewedRiskNotMitigated">'XII. Media Services'!$U$7</definedName>
    <definedName name="DEVELOPER_TOOLSTotalIdentified">'XIII. Developer Tools'!$U$2</definedName>
    <definedName name="DEVELOPER_TOOLSTotalAnswered">'XIII. Developer Tools'!$U$3</definedName>
    <definedName name="DEVELOPER_TOOLSTotalAnsweredYes">'XIII. Developer Tools'!$U$4</definedName>
    <definedName name="DEVELOPER_TOOLSTotalAnsweredNo">'XIII. Developer Tools'!$U$5</definedName>
    <definedName name="DEVELOPER_TOOLSTotalReviewedRiskMitigated">'XIII. Developer Tools'!$U$6</definedName>
    <definedName name="DEVELOPER_TOOLSTotalReviewedRiskNotMitigated">'XIII. Developer Tools'!$U$7</definedName>
    <definedName name="INTERNET_OF_THINGSTotalIdentified">'XIV. Internet of Things'!$U$2</definedName>
    <definedName name="INTERNET_OF_THINGSTotalAnswered">'XIV. Internet of Things'!$U$3</definedName>
    <definedName name="INTERNET_OF_THINGSTotalAnsweredYes">'XIV. Internet of Things'!$U$4</definedName>
    <definedName name="INTERNET_OF_THINGSTotalAnsweredNo">'XIV. Internet of Things'!$U$5</definedName>
    <definedName name="INTERNET_OF_THINGSTotalReviewedRiskMitigated">'XIV. Internet of Things'!$U$6</definedName>
    <definedName name="INTERNET_OF_THINGSTotalReviewedRiskNotMitigated">'XIV. Internet of Things'!$U$7</definedName>
  </definedNames>
  <calcPr calcId="171027" fullCalcOnLoad="1"/>
</workbook>
</file>

<file path=xl/sharedStrings.xml><?xml version="1.0" encoding="utf-8"?>
<sst xmlns="http://schemas.openxmlformats.org/spreadsheetml/2006/main" count="8209" uniqueCount="1481">
  <si>
    <r>
      <rPr>
        <b/>
        <sz val="22"/>
      </rPr>
      <t>Deliverable Security Review</t>
    </r>
    <r>
      <rPr>
        <b/>
        <sz val="22"/>
      </rPr>
      <t xml:space="preserve"> 
</t>
    </r>
    <r>
      <rPr>
        <sz val="16"/>
      </rPr>
      <t xml:space="preserve">Deliverable Security Reviews (DSRs) protect customers by reviewing code and architecture for security best practices before we give them to customers. Security is top priority at AWS and that means looking at everything we give to customers with an eye for security. This document is a roadmap to help you complete the security review. You will scan your code, consider your customer's risks, and plan security mitigations for risks that relate your project. The context and content of this security review is the deliverable that we are producing for the customer: the </t>
    </r>
    <r>
      <rPr>
        <b/>
        <sz val="16"/>
      </rPr>
      <t>code</t>
    </r>
    <r>
      <rPr>
        <sz val="16"/>
      </rPr>
      <t xml:space="preserve"> we write, the </t>
    </r>
    <r>
      <rPr>
        <b/>
        <sz val="16"/>
      </rPr>
      <t>architecture</t>
    </r>
    <r>
      <rPr>
        <sz val="16"/>
      </rPr>
      <t xml:space="preserve"> we provide, the </t>
    </r>
    <r>
      <rPr>
        <b/>
        <sz val="16"/>
      </rPr>
      <t>guidance</t>
    </r>
    <r>
      <rPr>
        <sz val="16"/>
      </rPr>
      <t xml:space="preserve"> or </t>
    </r>
    <r>
      <rPr>
        <b/>
        <sz val="16"/>
      </rPr>
      <t>other outputs</t>
    </r>
    <r>
      <rPr>
        <sz val="16"/>
      </rPr>
      <t xml:space="preserve"> that the customer receives from us. The customer's running environment might be in scope, but it might not. We are not asking you to assess the entire cloud environment (unless the deliverable of the engagement is the entire cloud environment). Think of this spreadsheet like sheet music: it tells you what to sing and a bit about how to sing it, but it's still your job to sing the song.</t>
    </r>
    <r>
      <rPr>
        <sz val="16"/>
      </rPr>
      <t xml:space="preserve"> 
</t>
    </r>
    <r>
      <rPr>
        <b/>
        <sz val="16"/>
      </rPr>
      <t>General Guidelines:</t>
    </r>
    <r>
      <rPr>
        <sz val="16"/>
      </rPr>
      <t xml:space="preserve"> When the end customer doesn't know what security controls they need, the consultant should implement security controls such as encryption in-transit and at-rest, logging as default controls. Always inform the customer of the security decisions you are making in the project and if it satisfies customer's needs. (When in doubt, always take high security bar). End customer can choose to not implement security controls we deem critical, and in those cases we must document the customer's decision and reasoning.</t>
    </r>
    <r>
      <rPr>
        <sz val="16"/>
      </rPr>
      <t xml:space="preserve"> 
</t>
    </r>
    <r>
      <rPr>
        <b/>
        <sz val="20.5"/>
      </rPr>
      <t>How to use this Security Matrix:</t>
    </r>
    <r>
      <rPr>
        <b/>
        <sz val="20.5"/>
      </rPr>
      <t xml:space="preserve"> 
</t>
    </r>
    <r>
      <rPr>
        <sz val="16"/>
      </rPr>
      <t xml:space="preserve">1. </t>
    </r>
    <r>
      <rPr>
        <sz val="16"/>
      </rPr>
      <t>Start by populating the fields in the "Summary" tab.</t>
    </r>
    <r>
      <rPr>
        <sz val="16"/>
      </rPr>
      <t xml:space="preserve"> 
</t>
    </r>
    <r>
      <rPr>
        <sz val="16"/>
      </rPr>
      <t xml:space="preserve">2. </t>
    </r>
    <r>
      <rPr>
        <sz val="16"/>
      </rPr>
      <t xml:space="preserve">Go to the "List of Services" tab. Select the services used in your project. </t>
    </r>
    <r>
      <rPr>
        <sz val="16"/>
      </rPr>
      <t xml:space="preserve"> 
</t>
    </r>
    <r>
      <rPr>
        <sz val="16"/>
      </rPr>
      <t xml:space="preserve">3. </t>
    </r>
    <r>
      <rPr>
        <sz val="16"/>
      </rPr>
      <t xml:space="preserve">Is there source code already developed for the solution? 
</t>
    </r>
    <r>
      <rPr>
        <sz val="16"/>
      </rPr>
      <t xml:space="preserve">    a. </t>
    </r>
    <r>
      <rPr>
        <sz val="16"/>
      </rPr>
      <t>If Yes, visit the "Code Scanning Tools" tab. You will run some applicable security scanners (ASH or Probe recommended). You will need to remediate the findings before sending the code to the customer.</t>
    </r>
    <r>
      <rPr>
        <sz val="16"/>
      </rPr>
      <t xml:space="preserve"> 
</t>
    </r>
    <r>
      <rPr>
        <sz val="16"/>
      </rPr>
      <t xml:space="preserve">    b. </t>
    </r>
    <r>
      <rPr>
        <sz val="16"/>
      </rPr>
      <t>If No, plan to incorporate security code scanning tools into your delivery mechanisms</t>
    </r>
    <r>
      <rPr>
        <sz val="16"/>
      </rPr>
      <t xml:space="preserve"> 
</t>
    </r>
    <r>
      <rPr>
        <sz val="16"/>
      </rPr>
      <t xml:space="preserve">4. </t>
    </r>
    <r>
      <rPr>
        <sz val="16"/>
      </rPr>
      <t>Move to "I. General" tab and others as applicable to the services being used by your project.</t>
    </r>
    <r>
      <rPr>
        <sz val="16"/>
      </rPr>
      <t xml:space="preserve"> 
</t>
    </r>
    <r>
      <rPr>
        <sz val="16"/>
      </rPr>
      <t xml:space="preserve">5. </t>
    </r>
    <r>
      <rPr>
        <sz val="16"/>
      </rPr>
      <t>Add relevant details in the 'Column F' 'Comments' to facilitate the review with the security reviewer.</t>
    </r>
    <r>
      <rPr>
        <sz val="16"/>
      </rPr>
      <t xml:space="preserve"> 
</t>
    </r>
    <r>
      <rPr>
        <sz val="16"/>
      </rPr>
      <t xml:space="preserve">6. </t>
    </r>
    <r>
      <rPr>
        <sz val="16"/>
      </rPr>
      <t>Under Column E "Answer", do not select "Yes, validated with cdk_nag" as that value is meant to be automatically selected when you have used CDK-NAG as discussed in point number 2 above.</t>
    </r>
    <r>
      <rPr>
        <sz val="16"/>
      </rPr>
      <t xml:space="preserve"> 
</t>
    </r>
    <r>
      <rPr>
        <sz val="16"/>
      </rPr>
      <t xml:space="preserve">7. </t>
    </r>
    <r>
      <rPr>
        <sz val="16"/>
      </rPr>
      <t>Under Column G, any security control identified as a Release Blocker is critical and will require discussion with your security reviewer.</t>
    </r>
    <r>
      <rPr>
        <sz val="16"/>
      </rPr>
      <t xml:space="preserve"> 
</t>
    </r>
    <r>
      <rPr>
        <sz val="16"/>
      </rPr>
      <t xml:space="preserve">8. </t>
    </r>
    <r>
      <rPr>
        <sz val="16"/>
      </rPr>
      <t>Attach the completed version of this spreadsheet to the SIM ticket, so your security reviewer can review and document the outcome of the review.</t>
    </r>
  </si>
  <si>
    <r>
      <rPr>
        <b/>
        <sz val="14"/>
      </rPr>
      <t>Project Name</t>
    </r>
  </si>
  <si>
    <t>auushman</t>
  </si>
  <si>
    <r>
      <rPr>
        <b/>
        <sz val="14"/>
      </rPr>
      <t>Project ID</t>
    </r>
  </si>
  <si>
    <r>
      <rPr>
        <b/>
        <sz val="14"/>
      </rPr>
      <t>Version</t>
    </r>
  </si>
  <si>
    <t/>
  </si>
  <si>
    <t>Index</t>
  </si>
  <si>
    <t>Identified</t>
  </si>
  <si>
    <t>Mitigated</t>
  </si>
  <si>
    <t>Not Mitigated</t>
  </si>
  <si>
    <t>Mitigation Progress</t>
  </si>
  <si>
    <t>Assessment Progress</t>
  </si>
  <si>
    <t>Specify services in use</t>
  </si>
  <si>
    <t>-</t>
  </si>
  <si>
    <t>I. General</t>
  </si>
  <si>
    <t>II. Compute</t>
  </si>
  <si>
    <t>III. Storage</t>
  </si>
  <si>
    <t>IV. Databases</t>
  </si>
  <si>
    <t>V. Network &amp; Delivery</t>
  </si>
  <si>
    <t>VI. Management &amp; Governance</t>
  </si>
  <si>
    <t>VII. Machine Learning</t>
  </si>
  <si>
    <t>VIII. Analytics</t>
  </si>
  <si>
    <t>IX. Security &amp; Compliance</t>
  </si>
  <si>
    <t>X. Serverless</t>
  </si>
  <si>
    <t>XI. Application Integration</t>
  </si>
  <si>
    <t>XII. Media Services</t>
  </si>
  <si>
    <t>XIII. Developer Tools</t>
  </si>
  <si>
    <t>XIV. Internet of Things</t>
  </si>
  <si>
    <t>Total</t>
  </si>
  <si>
    <t>Version: 5910daf</t>
  </si>
  <si>
    <t xml:space="preserve">Need to submit changes(e.g. add a new AWS Service?) to the Security Matrix template? Here is the process: https://tiny.amazon.com/f0a0hokr </t>
  </si>
  <si>
    <t>Does your prototype use one or more AWS Services not covered below?</t>
  </si>
  <si>
    <t>No</t>
  </si>
  <si>
    <t>If the answer is YES, list them HERE:</t>
  </si>
  <si>
    <t>Answered</t>
  </si>
  <si>
    <r>
      <rPr>
        <b/>
      </rPr>
      <t>In Use?</t>
    </r>
  </si>
  <si>
    <t>EC2</t>
  </si>
  <si>
    <t>Choose</t>
  </si>
  <si>
    <t>VPC</t>
  </si>
  <si>
    <t>Athena</t>
  </si>
  <si>
    <t>EventBridge</t>
  </si>
  <si>
    <t>IoT Core</t>
  </si>
  <si>
    <t>ECR</t>
  </si>
  <si>
    <t>CloudFront</t>
  </si>
  <si>
    <t>Elastic Map Reduce</t>
  </si>
  <si>
    <t>SNS</t>
  </si>
  <si>
    <t>ECS</t>
  </si>
  <si>
    <t>API Gateway</t>
  </si>
  <si>
    <t>OpenSearch</t>
  </si>
  <si>
    <t>SQS</t>
  </si>
  <si>
    <t>EKS</t>
  </si>
  <si>
    <t>Transit Gateway</t>
  </si>
  <si>
    <t>Kinesis Data Analytics</t>
  </si>
  <si>
    <t>Batch</t>
  </si>
  <si>
    <t>Network Firewall</t>
  </si>
  <si>
    <t>Managed Streaming For Apache Kafka</t>
  </si>
  <si>
    <t>Elastic Beanstalk</t>
  </si>
  <si>
    <t>AWS Network Manager</t>
  </si>
  <si>
    <t>QuickSight</t>
  </si>
  <si>
    <t>Elastic Load Balancing</t>
  </si>
  <si>
    <t>Kinesis Data Firehose</t>
  </si>
  <si>
    <t>AppStream 2.0</t>
  </si>
  <si>
    <t>Amazon S3</t>
  </si>
  <si>
    <t>CloudFormation</t>
  </si>
  <si>
    <t>IAM</t>
  </si>
  <si>
    <t>MediaStore</t>
  </si>
  <si>
    <t>EFS</t>
  </si>
  <si>
    <t>CloudTrail</t>
  </si>
  <si>
    <t>IAM Identity Center</t>
  </si>
  <si>
    <t>MediaPackage</t>
  </si>
  <si>
    <t>FSx*</t>
  </si>
  <si>
    <t>CloudWatch</t>
  </si>
  <si>
    <t>Cognito</t>
  </si>
  <si>
    <t>MediaConnect</t>
  </si>
  <si>
    <t>FSxN</t>
  </si>
  <si>
    <t>Auto Scaling</t>
  </si>
  <si>
    <t>Secrets Manager</t>
  </si>
  <si>
    <t>MediaLive</t>
  </si>
  <si>
    <t>AWS System Manager Automation Document</t>
  </si>
  <si>
    <t>Security Lake</t>
  </si>
  <si>
    <t>Key Management Service</t>
  </si>
  <si>
    <t>Parameter Store</t>
  </si>
  <si>
    <t>AWS Organisations</t>
  </si>
  <si>
    <t>AWS Resource Access Manager</t>
  </si>
  <si>
    <t>RDS</t>
  </si>
  <si>
    <t>SageMaker</t>
  </si>
  <si>
    <t>AppSync</t>
  </si>
  <si>
    <t>CodeBuild</t>
  </si>
  <si>
    <t>Dynamo DB</t>
  </si>
  <si>
    <t>Amazon Lex</t>
  </si>
  <si>
    <t>Lambda</t>
  </si>
  <si>
    <t>CodeCommit</t>
  </si>
  <si>
    <t>ElastiCache</t>
  </si>
  <si>
    <t>Amazon Rekognition</t>
  </si>
  <si>
    <t>Step Functions</t>
  </si>
  <si>
    <t>CodeDeploy</t>
  </si>
  <si>
    <t>Neptune</t>
  </si>
  <si>
    <t>Amazon Bedrock</t>
  </si>
  <si>
    <t>CodePipeline</t>
  </si>
  <si>
    <t>Redshift</t>
  </si>
  <si>
    <t>CodeWhisperer</t>
  </si>
  <si>
    <t>Document DB</t>
  </si>
  <si>
    <t>Timestream</t>
  </si>
  <si>
    <t>Database Migration Service</t>
  </si>
  <si>
    <r>
      <rPr>
        <b/>
        <color rgb="FFFF0000"/>
        <sz val="18"/>
      </rPr>
      <t>Code Scanning is a minimum requirement for all engagement delivering code.</t>
    </r>
    <r>
      <rPr>
        <b/>
        <sz val="18"/>
      </rPr>
      <t xml:space="preserve"> 
</t>
    </r>
    <r>
      <rPr>
        <sz val="12"/>
      </rPr>
      <t xml:space="preserve">For all projects, you have to scan with a secrets scanner, 3rd party vulnerability scanner and your language specific scanner. 
</t>
    </r>
    <r>
      <rPr>
        <b/>
        <u/>
        <sz val="12"/>
      </rPr>
      <t>Select your languages or frameworks used in your solution so you get clear guidance on what scanners to use.</t>
    </r>
  </si>
  <si>
    <r>
      <rPr>
        <sz val="12"/>
      </rPr>
      <t xml:space="preserve">If you can use one of the multiscanners highlighted in orange below, then you don’t need to run language specific scanners individually. 
If you cannot use either of the scanners highlighted in orange. 
Then use the table below to see which specific scanners you need to run depending on the languages you selected.</t>
    </r>
  </si>
  <si>
    <r>
      <rPr>
        <b/>
        <sz val="16"/>
      </rPr>
      <t>Framework of multiple scanners (If you can use either of them, you can skip individual scanner list below)</t>
    </r>
  </si>
  <si>
    <r>
      <rPr>
        <b/>
      </rPr>
      <t>Recommended</t>
    </r>
  </si>
  <si>
    <t>ASH</t>
  </si>
  <si>
    <r>
      <rPr>
        <sz val="12"/>
      </rPr>
      <t>This scanning framework detects what type of code and language framework (CDK, CloudFormation, TerraForm, Python, Jupyter notebooks) your project uses and triggers multiple scanners to cover different scans. Runs checkov, cdk_nag and cfn_nag on Infrastructure as Code (CloudFormation, Terraform). It also includes scanning for git secrets, 3rd party dependancy vulnerabilities. It runs Bandit and Safety on Python code. Runs git-secrets to detect secrets leak. It also runs cdk_nag on existing CloudFormation so you get the coverage for DSR security matrix validation.</t>
    </r>
  </si>
  <si>
    <t>ASH External Link</t>
  </si>
  <si>
    <t>Probe</t>
  </si>
  <si>
    <r>
      <rPr>
        <sz val="12"/>
      </rPr>
      <t>This standalone can be used to run on your workstation or configured into your build pipeline. It detects what type of code and language framework (CloudFormation, TerraForm, Python, Go) your project uses and triggers multiple scanners to cover different scans. Runs checkov, cfn_nag on Infrastructure as Code (CloudFormation, Terraform). It also includes scanning for git secrets, 3rd party dependancy vulnerabilities. It runs Bandit and Safety on Python code. Runs git-secrets to detect secrets leak.</t>
    </r>
  </si>
  <si>
    <r>
      <rPr>
        <sz val="12"/>
      </rPr>
      <t>If you cannot use the either of the scanners listed above, run all the applicable scanner marked as "Required" from the table below and attach your results to the DSR review ticket.</t>
    </r>
  </si>
  <si>
    <r>
      <rPr>
        <b/>
        <sz val="16"/>
      </rPr>
      <t>Usage</t>
    </r>
  </si>
  <si>
    <r>
      <rPr>
        <b/>
        <sz val="16"/>
      </rPr>
      <t>Tool Name</t>
    </r>
  </si>
  <si>
    <r>
      <rPr>
        <b/>
        <sz val="16"/>
      </rPr>
      <t>Notes/Instructions</t>
    </r>
  </si>
  <si>
    <r>
      <rPr>
        <b/>
        <sz val="16"/>
      </rPr>
      <t>CDK Templates</t>
    </r>
  </si>
  <si>
    <r>
      <rPr>
        <b/>
      </rPr>
      <t>Required</t>
    </r>
  </si>
  <si>
    <t>cdk_nag</t>
  </si>
  <si>
    <t>The cdk-nag module looks for security compliance with security patterns in CDK projects. It has built in rules for AWS services under AWS Solutions Library. It also supports scanning for PCI, NIST frameworks. The AWS Solutions Library directly maps to the DSR Security Controls in Matrix.</t>
  </si>
  <si>
    <r>
      <rPr>
        <b/>
        <sz val="16"/>
      </rPr>
      <t>Secrets Scanner</t>
    </r>
  </si>
  <si>
    <t>detect-secrets</t>
  </si>
  <si>
    <r>
      <rPr>
        <sz val="12"/>
      </rPr>
      <t>Prevents you from committing secrets and credentials into git repositories.</t>
    </r>
  </si>
  <si>
    <r>
      <rPr>
        <b/>
        <sz val="16"/>
      </rPr>
      <t>CloudFormation Templates</t>
    </r>
  </si>
  <si>
    <t>cfn_nag</t>
  </si>
  <si>
    <r>
      <rPr>
        <sz val="12"/>
      </rPr>
      <t>The cfn-nag tool looks for patterns in CloudFormation templates that may indicate insecure infrastructure. Roughly speaking, it will look for IAM rules that are too permissive (wildcards), security group rules that are too permissive (wildcards), access logs that aren't enabled, encryption that isn't enabled, and password literals</t>
    </r>
  </si>
  <si>
    <t>Optional</t>
  </si>
  <si>
    <t>cfn_lint</t>
  </si>
  <si>
    <t>Validate AWS CloudFormation yaml/json templates against the AWS CloudFormation Resource Specification and additional checks. Includes checking valid values for resource properties and best practices.</t>
  </si>
  <si>
    <t>cfn_guard</t>
  </si>
  <si>
    <r>
      <rPr>
        <sz val="12"/>
      </rPr>
      <t>Checks AWS CloudFormation templates for policy compliance using a simple, policy-as-code, declarative syntax.</t>
    </r>
  </si>
  <si>
    <t>AWS Security Designer</t>
  </si>
  <si>
    <t>IAM Policy Linter</t>
  </si>
  <si>
    <r>
      <rPr>
        <b/>
        <sz val="16"/>
      </rPr>
      <t>JavaScript Code</t>
    </r>
  </si>
  <si>
    <t>Semgrep local scan</t>
  </si>
  <si>
    <r>
      <rPr>
        <sz val="12"/>
      </rPr>
      <t>Semgrep is a static code analysis tool that support javascript, typescript and many other languages.Do not use semgrep to save the scan results on semgrep.dev dashboard. This tool should be used locally.</t>
    </r>
  </si>
  <si>
    <t>npm-audit</t>
  </si>
  <si>
    <r>
      <rPr>
        <sz val="12"/>
      </rPr>
      <t>retire.js has deprecated its node.js support and now recommends npm audit instead.</t>
    </r>
  </si>
  <si>
    <t>Drek</t>
  </si>
  <si>
    <r>
      <rPr>
        <sz val="12"/>
      </rPr>
      <t>A static-code-analysis tool that can be used to perform security-focused code reviews. It enables an auditor to swiftly map the attack-surface of a large application, with an emphasis on identifying development anti-patterns and footguns.</t>
    </r>
  </si>
  <si>
    <t>Jshint</t>
  </si>
  <si>
    <r>
      <rPr>
        <sz val="12"/>
      </rPr>
      <t>A community-driven tool that detects errors and potential problems in JavaScript code.</t>
    </r>
  </si>
  <si>
    <r>
      <rPr>
        <b/>
        <sz val="16"/>
      </rPr>
      <t>GoLang Code</t>
    </r>
  </si>
  <si>
    <r>
      <rPr>
        <sz val="12"/>
      </rPr>
      <t>Semgrep is a static code analysis tool that support GoLang and many other languages. Do not use semgrep to save the scan results on semgrep.dev dashboard. This tool should be used locally.</t>
    </r>
  </si>
  <si>
    <r>
      <rPr>
        <b/>
        <sz val="16"/>
      </rPr>
      <t>Python Code</t>
    </r>
  </si>
  <si>
    <t>Bandit</t>
  </si>
  <si>
    <r>
      <rPr>
        <sz val="12"/>
      </rPr>
      <t>Bandit is a tool designed to find common security issues in Python code. To do this Bandit processes each file, builds an AST from it, and runs appropriate plugins against the AST nodes.</t>
    </r>
  </si>
  <si>
    <r>
      <rPr>
        <sz val="12"/>
      </rPr>
      <t>CodeGuru</t>
    </r>
  </si>
  <si>
    <t>pip-audit</t>
  </si>
  <si>
    <r>
      <rPr>
        <sz val="12"/>
      </rPr>
      <t>pip-audit checks your python installed dependencies for known security vulnerabilities.</t>
    </r>
  </si>
  <si>
    <r>
      <rPr>
        <b/>
        <sz val="16"/>
      </rPr>
      <t>Terraform Templates</t>
    </r>
  </si>
  <si>
    <t>Checkov</t>
  </si>
  <si>
    <r>
      <rPr>
        <sz val="12"/>
      </rPr>
      <t xml:space="preserve">A static code analysis tool for infrastructure-as-code. It scans cloud infrastructure provisioned using Terraform, Terraform plan, Cloudformation, Kubernetes, Serverless or ARM Templates and detects security and compliance misconfigurations. </t>
    </r>
    <r>
      <rPr>
        <b/>
        <sz val="12"/>
      </rPr>
      <t>Note: Use of the Bridgecrew Dashboard and API functionality is prohibited.</t>
    </r>
  </si>
  <si>
    <t>Kics</t>
  </si>
  <si>
    <r>
      <rPr>
        <sz val="12"/>
      </rPr>
      <t>Find security vulnerabilities, compliance issues, and infrastructure misconfigurations early in the development cycle of your infrastructure-as-code with KICS by Checkmarx.</t>
    </r>
  </si>
  <si>
    <t>tfsec</t>
  </si>
  <si>
    <r>
      <rPr>
        <sz val="12"/>
      </rPr>
      <t>Terraform code scanner by AquaSec for security vulnerabilities, compliance issues, and infrastructure misconfigurations.</t>
    </r>
  </si>
  <si>
    <t>Terrascan</t>
  </si>
  <si>
    <r>
      <rPr>
        <sz val="12"/>
      </rPr>
      <t>Terraform code scanner by Accurics for security vulnerabilities, compliance issues, and infrastructure misconfigurations.</t>
    </r>
  </si>
  <si>
    <r>
      <rPr>
        <b/>
        <sz val="16"/>
      </rPr>
      <t>AI/ML Jupyter Notebook</t>
    </r>
  </si>
  <si>
    <r>
      <rPr>
        <sz val="12"/>
      </rPr>
      <t>the ASH scanner automatically converts jupyter notebooks to python and runs python scans on them.</t>
    </r>
  </si>
  <si>
    <t>Recommended</t>
  </si>
  <si>
    <t>nbconvert</t>
  </si>
  <si>
    <r>
      <rPr>
        <sz val="12"/>
      </rPr>
      <t>nbconvert converts the jupyter notebooks to python and then you have to refer to python section in this list to run relevant tools. This tool just converts the .ipynb file to python code.</t>
    </r>
  </si>
  <si>
    <r>
      <rPr>
        <b/>
        <sz val="16"/>
      </rPr>
      <t>Component Vulnerability Scanner for Third-Party Libraries</t>
    </r>
  </si>
  <si>
    <t>Grype</t>
  </si>
  <si>
    <r>
      <rPr>
        <sz val="12"/>
      </rPr>
      <t>Grype scans filesystem and container images for vulnerabilities from third parties dependancies. It supports docker, oci, ruby, java, javascript, python.</t>
    </r>
  </si>
  <si>
    <r>
      <rPr>
        <b/>
      </rPr>
      <t>Required (Open Source licenses review)</t>
    </r>
  </si>
  <si>
    <t>Approved List of Open Source Licenses for Distribution</t>
  </si>
  <si>
    <r>
      <rPr>
        <sz val="12"/>
      </rPr>
      <t xml:space="preserve">You should only use the open source libraries with licenses which are in this list: 
The list of pre-approved licenses are: 
    * Apache 2.0 
    * BSD (Variants: Apache-1.1, BSD-3-Clause, BSD-2-Clause, BSD-2-Clause-FreeBSD, BSD-3-Clause-Attribution, BSD-1-Clause, BSD-Source-Code, 0BSD, EDL, HDF5, OLDAP-2.8) 
    * MIT (Variants: ISC, X11, BouncyCastle, Boost, PostgreSQL, PIL, curl, NTP) 
    * Zlib (Variants: zlib-acknowledgement, libpng, bzip2, Spencer-94) 
    * Python 2.0 
    * Python 2.1.1 
    * OpenSSL 
    * JSON 
    * libjpeg 
    * WTFPL (Variants, WTFPL, WTFPL-2.0, WT*PL) 
    * Unicode Data Files (Variants: Unicode-DFS-2015, Unicode-DFS-2016) 
    * Specific Public Domain licenses 
        * CC-Zero 
        * SQLite 
        * Unlicense 
        * ODC Public Domain Dedication and Licence 1.0 
    * Realm SDK License 
    * SIL Open Font License 1.1</t>
    </r>
    <r>
      <rPr>
        <sz val="12"/>
      </rPr>
      <t xml:space="preserve"> 
</t>
    </r>
    <r>
      <rPr>
        <sz val="12"/>
      </rPr>
      <t xml:space="preserve">Specific projects which are reapproved are: 
    * The ICU4J and the ICU4C and the ICU4C-DATA licenses contains many BSD like licenses: [1]. License can be treated as BSD. 
    * The Python Imaging Library has a project specific BSD-like license which can be treated as BSD. 
    * The Python Imaging Library fork Pillow has the same license, but with different attributions which can be treated as BSD. 
    * The FreeType Project have a project specific license license which can be treated as BSD. 
    * The KhronosGroup/SPIRV-Headers project has a MIT-like license that includes language warning that modifications may violate standards. Treat as MIT, but do not modify this package without first working with the Business Line Lawyer and the Open Source Approvers. 
    * The libtiff project has a project specific MIT-like license that can be treated as MIT. 
    * The HDF Group project has a project specific BSD-like license that can be treated as BSD. 
    * The Bitstream Vera fonts are under a project specific license that can be treated as SIL OFL. However, no copies of the fonts may be offered for sale by themselves without working first with your business line lawyer.</t>
    </r>
  </si>
  <si>
    <r>
      <rPr>
        <sz val="12"/>
      </rPr>
      <t>Instructions for generating list of all licenses used in your project</t>
    </r>
  </si>
  <si>
    <r>
      <rPr>
        <sz val="12"/>
      </rPr>
      <t>Instructions for Python:</t>
    </r>
    <r>
      <rPr>
        <sz val="12"/>
      </rPr>
      <t xml:space="preserve"> 
</t>
    </r>
    <r>
      <rPr>
        <family val="3"/>
        <sz val="12"/>
        <rFont val="Monaco"/>
      </rPr>
      <t xml:space="preserve">pip3 install pipreqs pip-licenses 
pipreqs . 
pip3 install -r requirements.txt 
pip-licenses &gt; licenses.txt</t>
    </r>
    <r>
      <rPr>
        <sz val="12"/>
      </rPr>
      <t xml:space="preserve"> 
</t>
    </r>
    <r>
      <rPr>
        <sz val="12"/>
      </rPr>
      <t>Instructions for Javascript (nodejs):</t>
    </r>
    <r>
      <rPr>
        <sz val="12"/>
      </rPr>
      <t xml:space="preserve"> 
</t>
    </r>
    <r>
      <rPr>
        <family val="3"/>
        <sz val="12"/>
        <rFont val="Monaco"/>
      </rPr>
      <t xml:space="preserve">npm install –g license-report 
license-report –-output=table</t>
    </r>
    <r>
      <rPr>
        <sz val="12"/>
      </rPr>
      <t xml:space="preserve"> 
</t>
    </r>
    <r>
      <rPr>
        <sz val="12"/>
      </rPr>
      <t>For Java projects:</t>
    </r>
    <r>
      <rPr>
        <sz val="12"/>
      </rPr>
      <t xml:space="preserve"> 
</t>
    </r>
    <r>
      <rPr>
        <family val="3"/>
        <sz val="12"/>
        <rFont val="Monaco"/>
      </rPr>
      <t xml:space="preserve">mvn site 
mvn project-info-reports:dependencies 
mvn project-info-reports:licenses</t>
    </r>
  </si>
  <si>
    <t>OWASP Dependency-Check</t>
  </si>
  <si>
    <r>
      <rPr>
        <sz val="12"/>
      </rPr>
      <t>The OWASP Dependancy-check validates third parties dependancies against NVD for java, javascript, ruby. Python can be enabled using --enableExperimental flag</t>
    </r>
  </si>
  <si>
    <t>trivy</t>
  </si>
  <si>
    <r>
      <rPr>
        <sz val="12"/>
      </rPr>
      <t>Trivy scans container images, filesystems, git repositories and support Bundler, Composer, Pipenv, Poetry, npm, yarn, Cargo, NuGet, Maven, and Go.</t>
    </r>
  </si>
  <si>
    <t>Recommended for javascript projects</t>
  </si>
  <si>
    <r>
      <rPr>
        <sz val="12"/>
      </rPr>
      <t>If you are not using the above recommended scanners which cover multiple languages anf formats, you need to atleast use npm-audit, which specifically scans your javascript dependencies for known security vulnerabilities.</t>
    </r>
  </si>
  <si>
    <t>Recommended for python projects</t>
  </si>
  <si>
    <r>
      <rPr>
        <sz val="12"/>
      </rPr>
      <t>nIf you are not using the above recommended scanners which cover multiple languages anf formats, you need to atleast use pip-audit, which specifically scans your python dependencies for known security vulnerabilities.</t>
    </r>
  </si>
  <si>
    <t>Dependabot</t>
  </si>
  <si>
    <t>Snyk Vulernability DB</t>
  </si>
  <si>
    <r>
      <rPr>
        <sz val="12"/>
      </rPr>
      <t>Detailed information and remediation guidance for known vulnerabilities.</t>
    </r>
  </si>
  <si>
    <t>CVE Details</t>
  </si>
  <si>
    <r>
      <rPr>
        <b/>
        <sz val="16"/>
      </rPr>
      <t>Antivirus</t>
    </r>
  </si>
  <si>
    <t>ClamAV</t>
  </si>
  <si>
    <t>Clara</t>
  </si>
  <si>
    <r>
      <rPr>
        <b/>
        <sz val="16"/>
      </rPr>
      <t>Containers</t>
    </r>
  </si>
  <si>
    <t>Trivy</t>
  </si>
  <si>
    <r>
      <rPr>
        <sz val="12"/>
      </rPr>
      <t>A simple and comprehensive vulnerability scanner for containers and other artifacts...[it] detects vulnerabilities of OS packages (Alpine, RHEL, CentOS, etc.) and application dependencies (Bundler, Composer, npm, yarn, etc.).</t>
    </r>
  </si>
  <si>
    <r>
      <rPr>
        <b/>
        <sz val="16"/>
      </rPr>
      <t>TypeScript Code</t>
    </r>
  </si>
  <si>
    <r>
      <rPr>
        <b/>
        <sz val="16"/>
      </rPr>
      <t>Other Scanners</t>
    </r>
  </si>
  <si>
    <r>
      <rPr>
        <sz val="12"/>
      </rPr>
      <t>Semgrep is a static code analysis tool which can scan multiple languages: C#, Go, Java, JavaScript, JSX, JSON, PHP, Python, Ruby, Scala, TypeScript, TSX and many other languages and scripts (Shell, Bash etc) in experimental mode.Do not use semgrep to save the scan results on semgrep.dev dashboard. This tool should be used locally.</t>
    </r>
  </si>
  <si>
    <t>IAM Simulator</t>
  </si>
  <si>
    <r>
      <rPr>
        <sz val="12"/>
      </rPr>
      <t>With the IAM policy simulator, you can test and troubleshoot identity-based policies, IAM permissions boundaries, Organizations service control policies (SCPs), and resource-based policies.</t>
    </r>
  </si>
  <si>
    <r>
      <rPr>
        <sz val="12"/>
      </rPr>
      <t>IAM policy Linter reports security issues as well as syntax or quality control suggestion for your IAM policy.</t>
    </r>
  </si>
  <si>
    <t>Threat Composer</t>
  </si>
  <si>
    <t>ACAT</t>
  </si>
  <si>
    <r>
      <rPr>
        <sz val="12"/>
      </rPr>
      <t>Internally hosted tool for code scanning. AppSec requires use either this tool or Fortify.</t>
    </r>
  </si>
  <si>
    <t>Fortify</t>
  </si>
  <si>
    <r>
      <rPr>
        <sz val="12"/>
      </rPr>
      <t>Internally hosted tool for code scanning. AppSec requires use either this tool or ACAT.</t>
    </r>
  </si>
  <si>
    <t>Aristotle</t>
  </si>
  <si>
    <r>
      <rPr>
        <sz val="12"/>
      </rPr>
      <t>Internally hosted tool used to create a threat model.</t>
    </r>
  </si>
  <si>
    <t>ScoutSuite</t>
  </si>
  <si>
    <r>
      <rPr>
        <sz val="12"/>
      </rPr>
      <t>Scout Suite is an open source security-auditing tool, which enables security posture assessment of cloud environments. It provides a point-in-time security-oriented view of the cloud account it is run in.</t>
    </r>
  </si>
  <si>
    <t>Category</t>
  </si>
  <si>
    <t>ID</t>
  </si>
  <si>
    <t>Question in Scope?</t>
  </si>
  <si>
    <t>Question</t>
  </si>
  <si>
    <t>Reason</t>
  </si>
  <si>
    <t>Response Outstanding</t>
  </si>
  <si>
    <t>Response</t>
  </si>
  <si>
    <t>Comments on Response</t>
  </si>
  <si>
    <t>Response Action</t>
  </si>
  <si>
    <t>Release Blocker</t>
  </si>
  <si>
    <t>Risk</t>
  </si>
  <si>
    <t>Reviewer Comments</t>
  </si>
  <si>
    <t>Identified (Response Outstanding)</t>
  </si>
  <si>
    <t>Identified (Answered Yes)</t>
  </si>
  <si>
    <t>Identified (Answered No)</t>
  </si>
  <si>
    <t>Identified (Not Assessed Yet)</t>
  </si>
  <si>
    <t>Identified (Mitigated)</t>
  </si>
  <si>
    <t>Identified (Not Mitigated)</t>
  </si>
  <si>
    <t>PREREQ</t>
  </si>
  <si>
    <t>P1</t>
  </si>
  <si>
    <t>Yes</t>
  </si>
  <si>
    <t>Is this application following all applicable open source policies? If yes, have you followed the internal process to open-source the solution?</t>
  </si>
  <si>
    <t>Refer to the OSPO team to contribute to open source projects: https://tiny.amazon.com/xe3qr5d8</t>
  </si>
  <si>
    <t>No: Release Blocker</t>
  </si>
  <si>
    <t>Not Assessed Yet</t>
  </si>
  <si>
    <t>P2</t>
  </si>
  <si>
    <t>If you are using any open source libraries as a part of your solution, have you validated the licenses to be part of the approved list?</t>
  </si>
  <si>
    <t>Please reference this link for list of licenses approved for distribution: https://tiny.amazon.com/1f3nadfnx</t>
  </si>
  <si>
    <t>P3</t>
  </si>
  <si>
    <t>Ensure that all source code includes the appropriate copyright headers, license (for trained AI/ML models), and a software bill of materials.</t>
  </si>
  <si>
    <t>Normally, AWS owns the copyright to the work we do under standard SOWs. When in doubt, check with your account team, Security STL or with AWS Legal. AI/ML trained models should include a LICENSE.txt file with the copyright and appropriate license model. Depedencies should be included in a software bill-of-materials, but not packaged in the solution - they should be added during a build.</t>
  </si>
  <si>
    <t>Answered Yes</t>
  </si>
  <si>
    <t>SCOPE</t>
  </si>
  <si>
    <t>SC1</t>
  </si>
  <si>
    <t>Ensure that the solution is designed to be immune from OWASP Top 10 vulnerabilities. This is specially true for webUI, API's and GenAI implementations.</t>
  </si>
  <si>
    <t>Implementing input validation, granular access control based on roles using well proven designs for session management and encryption method will mitigate most of the vulnerabilities.</t>
  </si>
  <si>
    <t>No: Discuss with your reviewer</t>
  </si>
  <si>
    <t>Answered No</t>
  </si>
  <si>
    <t>SC2</t>
  </si>
  <si>
    <t>Do not move data between AWS accounts and/or regions unless it is reviewed and approved by the customer.</t>
  </si>
  <si>
    <t>Customers tend to have legal, regulatory and compliance implications of where their data can or cannot reside both from region prespective and between different orgs which are tied to accounts. When there is a need to move data, confirm with the  customer that data residency and compliance requiremets are met.</t>
  </si>
  <si>
    <t>SC3</t>
  </si>
  <si>
    <t>I confirm that the solution uses a secrets management application or service to manage sensitive data.</t>
  </si>
  <si>
    <t>Sensitive data, e.g. passwords, parameters, etc., should be stored, retrieved, and managed via a secrets management solution like AWS Secrets Manager, AWS Systems Manager Parameter Store (using SecureString), or other external tool. Where appropriate, Secrets Manager should be used to enable automated password rotation.</t>
  </si>
  <si>
    <t>SC4</t>
  </si>
  <si>
    <t>I confirm that the solution does  not allow modification of any existing network access controls (security  groups, NACLs, route tables, etc)</t>
  </si>
  <si>
    <t>When solution modifies existing security rules, resources or policies, it has a larger impact on the overall architecture and can result in accidental or unintended exposure which can created overly permissive access.</t>
  </si>
  <si>
    <t>SC5</t>
  </si>
  <si>
    <t>If there are service  integrations with one or more AWS Services that supports tracing (e.g.  Lambda, Step Functions), is X-ray enabled to support tracing for the  customer?. see:  https://docs.aws.amazon.com/xray/latest/devguide/xray-services.html</t>
  </si>
  <si>
    <t>X-ray should be enabled in upstream services  (where applicable)  to enable tracing.</t>
  </si>
  <si>
    <t>SC6</t>
  </si>
  <si>
    <t>Use a security code scanner when developing the code.</t>
  </si>
  <si>
    <t>You need to run different types of security scanners on your code. Refer to the Code Scanning Tools tab for specific details.</t>
  </si>
  <si>
    <t>SC7</t>
  </si>
  <si>
    <t>I confirm that this project will  not handle regulated data such as PCI, HIPAA, GDPR once deployed in  production.</t>
  </si>
  <si>
    <t>If regulated data will be handle  in production then you must do a threat model.</t>
  </si>
  <si>
    <t>SC8</t>
  </si>
  <si>
    <t>I confirm that the engagement does not share binaries, container images and external libraries as part of the customer deliverable.</t>
  </si>
  <si>
    <t>When delivering solutions to customers, sharing binary files, container images, and external libraries (3rd party dependencies) introduces additional security risks. In standard engagements, all external dependencies should be listed in the dependencies file, and the installation and deployment documentation should instruct customers to download required dependencies and build necessary binaries themselves after validating that these dependencies comply with their security requirements. If your engagement Statement of Work requires delivering binaries, you must submit a security consultation request and ensure all binaries undergo additional security reviews before delivery. This approach helps maintain security standards while meeting project requirements.</t>
  </si>
  <si>
    <t>IDEMPOTENCY AND RESOURCE INTEGRITY</t>
  </si>
  <si>
    <t>R1</t>
  </si>
  <si>
    <t>Design rollback mechanisms for failed deployments.</t>
  </si>
  <si>
    <t>Ensure the solution leaves the customer's account in a known state where recovery is possible if a deployment fails. Either the deployment executes completely or in case of failure, it should rollback changes to original state.</t>
  </si>
  <si>
    <t>R2</t>
  </si>
  <si>
    <t>Ensure that documentation for the solution accurately enumerates all resources created by the solution.</t>
  </si>
  <si>
    <t>It needs to be clear what resources are created to avoid confusion and unexpected charges.</t>
  </si>
  <si>
    <t>R3</t>
  </si>
  <si>
    <t>I confirm that multiple  deployments of the same solution with the same parameters does not leave any  resources or the account in an unknown state?</t>
  </si>
  <si>
    <t>With mutating actions, it is  important to consider what happens if multiple changes (or the same change)  is requested multiple times against the same resource(s). It may be necessary  to implement mechanisms to protect the resource while a change is in progress.</t>
  </si>
  <si>
    <t>R4</t>
  </si>
  <si>
    <t>I confirm that  multiple/concurrent deployments are not in scope or are prevented. If not,  how are you defining the resource's state in order to avoid such scenario  (i.e. are you using tags to know if the resource was previously  created/touched by the solution)?</t>
  </si>
  <si>
    <t>Some APIs are idempotent, other  are not. Or, if multiple steps are required to implement a change, using a  tag or an SSM parameter can help lock the resource while the change is in  progress.</t>
  </si>
  <si>
    <t>R5</t>
  </si>
  <si>
    <t>I confirm that the solution does not mutate any resources belonging to any pre-existing stacks, including modifications to resource tags.</t>
  </si>
  <si>
    <t>ENCRYPTION</t>
  </si>
  <si>
    <t>EN1</t>
  </si>
  <si>
    <t>I confirm that all data at rest is encrypted with AWS managed keys or customer managed keys (CMK).</t>
  </si>
  <si>
    <t>Customers might be subject to corporate or regulatory policies that require complete control in terms of creation, rotation, deletion as well as the access control and usage policy of encryption keys. If so, we recommend that you use a CMK. In all other scenarios, you should use an AWS managed CMK to reduce the administrative burden.</t>
  </si>
  <si>
    <t>EN2</t>
  </si>
  <si>
    <t>I confirm that encryption of data in transit is enabled for all services and resources within and outside of AWS.</t>
  </si>
  <si>
    <t xml:space="preserve">At the application layer, customers have a choice about whether and how to use encryption using a protocol like Transport Layer Security (TLS). For protecting communication between their Amazon VPC and corporate datacenter, customers can select from serveral AWS or ISV VPN options, or Direct Connect. </t>
  </si>
  <si>
    <t>EN3</t>
  </si>
  <si>
    <t>If the customer has serverless resources which require interaction with other resources in their VPC, a VPC endpoint is required to restrict this traffic from going over the Internet.</t>
  </si>
  <si>
    <t>When serverless resources are accessed directly by workloads or resources with a VPC, the traffic goes over the public internet to the serverless resources. With the use of VPCe (VPC Endpoints) which is supported by all serverless resources, the traffic from a VPC resource uses private routes within AWS data centers to communicate with the serverless resources rather than over the public internet. This reduces unnecessary exposure of the traffic.</t>
  </si>
  <si>
    <t>EN4</t>
  </si>
  <si>
    <t>Enable encryption in transit for AWS PrivateLink. If you are trying to access AWS resources in your VPC from your on-prem datacenter or from other cloud provider's VPC, use AWS PrivateLink for this connection.</t>
  </si>
  <si>
    <t xml:space="preserve">Encryption is not enabled by default for AWS PrivateLink. Enable this when deploying AWS PrivateLink. AWS PrivateLink provide a private channel of accessing resources in your AWS VPC or accesing AWS Serverless via VPCe from your on prem network or your private data center or from other cloud providers VPC. Although it is beneficial to have a private link, encryption on this link is not enabled by default as it requires extra setup of client certificates. </t>
  </si>
  <si>
    <t>EC21</t>
  </si>
  <si>
    <t>Identities on interactive EC2 instances are controlled via identity systems. Default user accounts (like ec2_user and ubuntu) don't exist on interactive EC2 instances.</t>
  </si>
  <si>
    <t>Interactive EC2 instances (where humans have accounts and login) must keep user identities clear. WHO logged in must be answerable. Non-interactive EC2 instances (e.g., database servers, ECS hosts, batch systems) must not allow interactive logins, except by maintenance/administrators under maintenance/emergency processes.</t>
  </si>
  <si>
    <t>EC22</t>
  </si>
  <si>
    <t>All EC2 instances have an IAM role with minimal privileges.</t>
  </si>
  <si>
    <t>Instances should always have an IAM role that grants at least a few basic rights like CloudWatch Logs and Systems Manager. If an instance is interactive, it should not grant any access to AWS resources like S3, EC2, VPC, etc. because the use of that instance's credentials cannot be tied to an individual person. If an instance is non-interactive, it should be granted the minimum set of privileges required for it to do its work.</t>
  </si>
  <si>
    <t>EC23</t>
  </si>
  <si>
    <t>No security groups allow 0.0.0.0/0 inbound access.</t>
  </si>
  <si>
    <t>The vast majority of ProServe work is in non-production environments and, generally speaking, internet-accessible resources should not live in dev/test/non-prod environments. Only when an instance is intended to be public AND it lives in a production environment should security groups permit connections from all IP ranges.</t>
  </si>
  <si>
    <t>EC24</t>
  </si>
  <si>
    <t>Load balancers are used on publicly-accessible instances.</t>
  </si>
  <si>
    <t>If an instance is intended to be open to the Internet, a load balancer of some kind is virtually always better than exposing an instance directly to the internet. For interactive login (e.g., SSH) this may not be possible, but for services (like database, web, APIs) a load balancer should sit between the instance and the Internet.</t>
  </si>
  <si>
    <t>EC25</t>
  </si>
  <si>
    <t>Egress rules for instances limit outbound access to less than the entire Internet.</t>
  </si>
  <si>
    <t>Generally speaking, if an instance has a path to the Internet, it should not have unrestricted access to all ports and all IP addresses. Either a NACL, egress rule, or other mechanism like a routing table should limit the Internet addresses and ports that an instance can reach.</t>
  </si>
  <si>
    <t>EC26</t>
  </si>
  <si>
    <t>Do the EBS volumes have encryption enabled?</t>
  </si>
  <si>
    <t>AWS provides encrypted Elastic Block Storage (EBS) volumes to protect data at rest.</t>
  </si>
  <si>
    <t>EC29</t>
  </si>
  <si>
    <t>Is termination protection enabled for instances outside of an ASG?</t>
  </si>
  <si>
    <t>Solutions with EC2 instances provisioned outside of the AWS Auto Scaling Groups (ASGs) must have Termination Protection safety feature enabled in order to protect the instances from being accidentally terminated.</t>
  </si>
  <si>
    <t>EC211</t>
  </si>
  <si>
    <t>For long-lived instances, the instance operating systems are configured to limit what software is installed to just the required set of software.</t>
  </si>
  <si>
    <t>It's important to only install as much software as required, and to have a clear understanding of what software exists on an instance and the versions of that software. For ephemeral instances (those launched and terminated automatically) it is not important to keep an inventory, but it is important to deploy them automatically from some kind of code that clearly indicates what is installed.</t>
  </si>
  <si>
    <t>EC212</t>
  </si>
  <si>
    <t>Long-lived instances have an operating system patching and maintenance system in place.</t>
  </si>
  <si>
    <t>If the instance will live long enough that an operating system patch will be released during the instance's lifetime, there must be a mechanism that applies that patch. Terminating an instance and redeploying an updated instance is one mechanism. Applying patches regularly is another.</t>
  </si>
  <si>
    <t>EC213</t>
  </si>
  <si>
    <t>Instances are configured to access instance metadata using IMDSv2.</t>
  </si>
  <si>
    <t>Compared to IMDSv1, IMDSv2 adds protection against misconfigured-open website application firewalls, misconfigured-open reverse proxies, unpatched SSRF vulnerabilities, and misconfigured-open layer-3 firewalls and network address translation.</t>
  </si>
  <si>
    <t>EC214</t>
  </si>
  <si>
    <t>Public IP addresses are associated with load balancers and not instances wherever possible.</t>
  </si>
  <si>
    <t>Public IPs (whether dynamic or elastic) should only be associated with EC2 instances directly in exceptional circumstances (e.g., bastion EC2 instances) and otherwise should only be associated with edge devices like NAT gateways and load balancers.</t>
  </si>
  <si>
    <t>ECR1</t>
  </si>
  <si>
    <t>ECR image registries are not open to the public unless that is intentional.</t>
  </si>
  <si>
    <t>A public image registry would allow unauthorized users to download software, code, and binaries. If the code that is deployed via ECR is proprietary and should not be exposed to the public, the image registry must not be public.</t>
  </si>
  <si>
    <t>ECS1</t>
  </si>
  <si>
    <t>Is the cluster provisioned in a private subnet with ALB/ELB for access to prevent direct Internet access?</t>
  </si>
  <si>
    <t>Load Balancers should be your gateway to the cluster. When running an Internet facing service, make sure the solution cluster is in a private subnet and the containers cannot be accessed directly from the Internet. Ideally, the internal container should expose a random, ephemeral port which is bound to a target group. Make sure also that traffic is only allowed from the Load Balancer’s Security Group.</t>
  </si>
  <si>
    <t>ECS2</t>
  </si>
  <si>
    <t>Store sensitive parameters in SecureString parameters and/or Secrets Manager. Use KMS to encrypt, and use both IAM and KMS key policies to limit access to these parameters.</t>
  </si>
  <si>
    <t>Sensitive parameters include things like API access keys, client secrets, database connection strings that embed credentials, user names, passwords, ssh private keys, or anything else that grants access from one system to another. Tasks should pull these values from secure storage, like Systems Manager Parameter Store. Developers and other users should not have access to decrypt the values and see them.</t>
  </si>
  <si>
    <t>ECS3</t>
  </si>
  <si>
    <t>Design the cluster for high availability using a multi-AZ design, a load balancer, and potentially CloudFront and WAF if the cluster is public-facing.</t>
  </si>
  <si>
    <t>Design for high availability and prevention of denial of service.</t>
  </si>
  <si>
    <t>ECS4</t>
  </si>
  <si>
    <t>Metrics are enabled on the container to detect abuse and attacks. CloudWatch Container Insights, or another metric system, can be used to determine performance.</t>
  </si>
  <si>
    <t>High load or unusual load patterns can be an early indicator of an attack. Establish alerts for unusually high loads.</t>
  </si>
  <si>
    <t>ECS5</t>
  </si>
  <si>
    <t>Provision tasks with a minimal IAM role. Use conditions, tags, and other IAM constructs to limit the scope of privileges granted to the task.</t>
  </si>
  <si>
    <t>As a general rule, IAM policies should not have '*' for resources. Strictly speaking that's sometimes necessary, so there should be conditions like tags, principals, IP addresses, ARNs, or some other limiting clause on an IAM policy if there is a '*' in the resources attribute.</t>
  </si>
  <si>
    <t>ECS6</t>
  </si>
  <si>
    <t>Is the IAM Role for tasks defined with least-privilege policies?</t>
  </si>
  <si>
    <t>When assigning IAM roles to tasks, follow the standard security advice of granting least privilege, or granting only the permissions required to perform a task. Determine what the role needs to do and then craft policies that allow it to perform only those tasks.</t>
  </si>
  <si>
    <t>ECS7</t>
  </si>
  <si>
    <t>Is logging enabled for the ECS Task Definition and at mimimum using awslogs?</t>
  </si>
  <si>
    <t>All Solutions must define log configuration for containers.</t>
  </si>
  <si>
    <t>ECS8</t>
  </si>
  <si>
    <t>I confirm that no senstive data or secret is being logged from any given container</t>
  </si>
  <si>
    <t>No sensitive data or secrets should be logged.</t>
  </si>
  <si>
    <t>ECS9</t>
  </si>
  <si>
    <t>Are all third-party libraries licenses approved?</t>
  </si>
  <si>
    <t>This should be approved by the customer. If it is an internal development then the open-source or third party libraries/licenses must be blessed as per internal policy.</t>
  </si>
  <si>
    <t>ECS10</t>
  </si>
  <si>
    <t xml:space="preserve">Does the assigned container role contain least privileges required for functional purpose of the service interaction? </t>
  </si>
  <si>
    <t>When assigning roles to container, follow the standard security advice of granting least privilege, or granting only the permissions required to perform a task. Determine what the role needs to do and then craft policies that allow it to perform only those tasks.</t>
  </si>
  <si>
    <t>ECS11</t>
  </si>
  <si>
    <t>Use awsvpc network mode to isolate, route and control network traffic for tasks and network resources.</t>
  </si>
  <si>
    <t>Security groups should also be used to control traffic between tasks and other resources within the Amazon VPC such as Amazon RDS databases. See:https://docs.aws.amazon.com/AmazonECS/latest/bestpracticesguide/security-network.html#security-network-recommendations</t>
  </si>
  <si>
    <t>EKS1</t>
  </si>
  <si>
    <t>I confirm that there are not publicly accessible Kubernetes APIs in the solution EKS cluster.</t>
  </si>
  <si>
    <t>A solutions cluster's Kubernetes API server endpoint should not be publicly accessible from the Internet in order to avoid exposing private data and minimizing security risks. Solutions should only provide the API server endpoints be accessible from within a AWS Virtual Private Cloud (VPC).</t>
  </si>
  <si>
    <t>EKS2</t>
  </si>
  <si>
    <t>Does the cluster have control plane logs enabled?</t>
  </si>
  <si>
    <t xml:space="preserve">A solutions cluster(s) must have control plane logs enabled in order to publish API, audit, controller manager, scheduler or authenticator logs to AWS CloudWatch Logs. </t>
  </si>
  <si>
    <t>EKS3</t>
  </si>
  <si>
    <t xml:space="preserve">Are the cluster security groups configured to allow inbound traffic only on port 443? </t>
  </si>
  <si>
    <t>The security groups associated with a solution cluster(s) should be configured to allow inbound traffic only on TCP port 443 (HTTPS) in order to protect the cluster(s) against malicious activities such as brute-force attacks.</t>
  </si>
  <si>
    <t>EKS4</t>
  </si>
  <si>
    <t>Is the cluster using the latest stable version of the Kubernetes container-orchestration system?</t>
  </si>
  <si>
    <t>All solution clusters must be using the latest stable version of Kubernetes container-orchestration system, in order to follow AWS best practices, receive the latest Kubernetes features, design updates and bug fixes, and benefit from better security and performance.</t>
  </si>
  <si>
    <t>EKS5</t>
  </si>
  <si>
    <t>Are there accounts and account Users to separate tenants in a shared Kubernetes cluster?</t>
  </si>
  <si>
    <t>User accounts are for humans. Service accounts are for processes, which run in pods. User accounts are intended to be global. Names must be unique across all namespaces of a cluster. Service accounts are namespaced. If the Cluster is shared, different services account and users have to be created for the namespace.</t>
  </si>
  <si>
    <t>EKS7</t>
  </si>
  <si>
    <t>Is there a self-Service Namespace Provisioning for account users?</t>
  </si>
  <si>
    <t xml:space="preserve">Kubernetes is designed as a single-tenant platform, which makes it hard for cluster admins
 to host multiple tenants in a single Kubernetes cluster. However, sharing a cluster has many advantages,
 e.g. more efficient resource utilization, less admin/configuration effort 
 or easier sharing of cluster-internal resources among different tenants.
 Use a solution like kiosk to Manage you accounts
- Namespace Templates for secure tenant isolation and self-service namespace initialization
- Use resource quota to limit resources like cpu,memory, storage, and services. Resource Quotas</t>
  </si>
  <si>
    <t>EKS8</t>
  </si>
  <si>
    <t>Do you leverage IRSA to access AWS resources from the container?</t>
  </si>
  <si>
    <t xml:space="preserve">OpenID Connect allows Clients to verify the identity of the End-User based on the authentication performed by an Authorization Server, as well as to obtain basic profile information about the End-User in an interoperable and REST-like manner.
OIDC federation access allows you to assume IAM roles via the Secure Token Service (STS), enabling authentication with an OIDC provider, receiving a JSON Web Token (JWT), which in turn can be used to assume an IAM role. Kubernetes, on the other hand, can issue so-called projected service account tokens, which happen to be valid OIDC JWTs for pods.</t>
  </si>
  <si>
    <t>EKS9</t>
  </si>
  <si>
    <t>Is role-based access control (RBAC) enabled for the solution?</t>
  </si>
  <si>
    <t>EKS10</t>
  </si>
  <si>
    <t>Is Open Policy Agent (OPA) &amp; Gatekeeper configured for the cluster?</t>
  </si>
  <si>
    <t>Gatekeeper is a Kubernetes admission controller that enforces policies created with OPA. With OPA you can create a policy that runs pods from tenants on separate instances or at a higher priority than other tenants. A collection of common OPA policies can be found in the GitHub repository for this project.</t>
  </si>
  <si>
    <t>EKS11</t>
  </si>
  <si>
    <t>Is there a mecanism to isolate tenant workloads to specific nodes?</t>
  </si>
  <si>
    <t xml:space="preserve">Restricting tenant workloads to run on specific nodes can be used to increase isolation in the soft multi-tenancy model. With this approach, tenant-specific workloads are only run on nodes provisioned for the respective tenants.
Affinity and anti-affinity is the simplest way to contrain pods to nodes with specific labels.</t>
  </si>
  <si>
    <t>EKS12</t>
  </si>
  <si>
    <t>Is the least privileges enforce to access AWS Resources?</t>
  </si>
  <si>
    <t xml:space="preserve">An IAM User does not need to be assigned privileges to AWS resources to access the Kubernetes API. If you need to grant an IAM user access to an EKS cluster, create an entry in the aws-auth ConfigMap for that user that maps to a specific Kubernetes RBAC group.
Grant least privileges IAM Best practices
 Use Access Policy Advisor to review and refine access granted to AWS Resources
 Use Action Hero to assist with creating least privileges IAM Policies</t>
  </si>
  <si>
    <t>EKS13</t>
  </si>
  <si>
    <t>Is EKS Cluster private endpoint?</t>
  </si>
  <si>
    <t xml:space="preserve">Leave the cluster endpoint public and specify which CIDR blocks can communicate with the cluster endpoint
 Configure the EKS cluster endpoint to be private.
 Configure public access with a set of whitelisted CIDR blocks and set private endpoint access to enabled.</t>
  </si>
  <si>
    <t>EKS14</t>
  </si>
  <si>
    <t>Is the access restricted to the instance profile assigned to the worker node?</t>
  </si>
  <si>
    <t>AWS recommends that you block access instance metadata to minimize the blast radius of a breach. You can also block a pod's access to EC2 metadata by manipulating iptables on the node.</t>
  </si>
  <si>
    <t>EKS15</t>
  </si>
  <si>
    <t>Are the application within the cluster running as a non-root user?</t>
  </si>
  <si>
    <t xml:space="preserve">Containers run as root by default. While this allows them to read the web identity token file, running a container as root is not considered a best practice. </t>
  </si>
  <si>
    <t>EKS16</t>
  </si>
  <si>
    <t>Is audit logs enabled for the control plane?</t>
  </si>
  <si>
    <t xml:space="preserve">You must enable each log type individually to send logs for your cluster.
 CloudWatch Logs ingestion, archive storage, and data scanning rates apply to enabled control plane logs.
 Auditing tools:
 - kubeaudit
 - MKIT</t>
  </si>
  <si>
    <t>EKS17</t>
  </si>
  <si>
    <t>Is there any alerts created for the Cluster?</t>
  </si>
  <si>
    <t xml:space="preserve">Create an alarm to automatically alert you where there is an increase in 403 Forbidden 
 and 401 Unauthorized responses, and then use attributes like host, sourceIPs, and k8s_user.username to find out where those requests are coming from.
 AWS Custom Config Rules for Kubernetes
*eks-netPolCheck-rule* Checks that there is a network policy defined for each namespace in the cluster
*eks-privEscalation-rule* Checks that there are no pods running containers with the AllowPrivilege Escalation flag
*eks-trustedRegCheck-rule* Checks that container images are from trusted sources</t>
  </si>
  <si>
    <t>EKS18</t>
  </si>
  <si>
    <t>Is AWS KMS for envelope encryption used for Kubernetes secrets?</t>
  </si>
  <si>
    <t xml:space="preserve">With the KMS plugin for Kubernetes, all Kubernetes secrets are stored in etcd
 in ciphertext instead of plain text and can only be decrypted by the Kubernetes API server.
Recomentations:- Rotate your secrets periodically
 - Use separate namespaces as a way to isolate secrets from different applications
 - Use volume mounts instead of environment variables
 - Use an external secrets provider (AWS Secret manager or Vault)</t>
  </si>
  <si>
    <t>EKS19</t>
  </si>
  <si>
    <t>Is there a mechanism to scan for runtime security vulnerabilities?</t>
  </si>
  <si>
    <t xml:space="preserve">Runtime security provides active protection for your containers while they're running. 
 The idea is to detect and/or prevent malicious activity from occuring inside the container.
Recommendations:- Use a 3rd party solution for runtime defense (Aqua/Qualys/Stackrox/Sysdig Secure/Twistlock)
 -Use AWS Market place solution 
 - Use linux capabilities before writing seccomp policies 
Verify with the application owner that the following 
1. Use application vulnerability scan in the pipeline and generate a report (CVEs)
2. Scan the produced container image
3. Don't deploy a container if the image scan results is higher that certain threshold</t>
  </si>
  <si>
    <t>EKS20</t>
  </si>
  <si>
    <t>Do you use an optimized OS for running your containers?</t>
  </si>
  <si>
    <t xml:space="preserve">Consider using Flatcar Linux, Project Atomic, RancherOS, and Bottlerocket, a special purpose OS
 from AWS designed for running Linux containers. It includes a reduced attack surface, 
 a disk image that is verified on boot, and enforced permission boundaries using SELinux.</t>
  </si>
  <si>
    <t>EKS21</t>
  </si>
  <si>
    <t>Is your infrastructure immutable?</t>
  </si>
  <si>
    <t xml:space="preserve">Rather than performing in-place upgrades, replace your workers when a new patch or update becomes available. 
 You can either add instances to an existing autoscaling group using the latest AMI 
 as you sequentially cordon and drain nodes until all of the nodes in the group have been replaced with the latest AMI.
 Alternatively, you can add instances to a new node group while you sequentially cordon and drain nodes from the old node group until all of the nodes have been replaced.</t>
  </si>
  <si>
    <t>EKS22</t>
  </si>
  <si>
    <t>Do you use SSM instead of SSH to access your workers nodes?</t>
  </si>
  <si>
    <t xml:space="preserve">Instead of enabling SSH access, use SSM Session Manager when you need to remote into a host.
 Unlike SSH keys which can be lost, copied, or shared, Session Manager allows you to control access 
 to EC2 instances using IAM. Moreover, it provides an audit trail and log of the commands that were run on the instance.
Use a Bastion host to connect to your nodes instead of using your own machine.</t>
  </si>
  <si>
    <t>EKS23</t>
  </si>
  <si>
    <t>Do you run periodically CIS Benchmarks or other compliance tools against you environment?</t>
  </si>
  <si>
    <t xml:space="preserve">kube-bench is an open-source project from Aqua that evaluates your cluster against the CIS benchmarks for Kubernetes. 
 The benchmark describes the best practices for securing unmanaged Kubernetes clusters. </t>
  </si>
  <si>
    <t>EKS24</t>
  </si>
  <si>
    <t>Do you scan the container images for vulnerabilities regulary?</t>
  </si>
  <si>
    <t xml:space="preserve">The best way to safeguard against exploits is by regularly scanning your images with an image scanner. 
 Images that are stored in Amazon ECR can be scanned on push or on-demand (once during a 24 hour period).
 ECR currently leverages Clair an open-source image scanning solution.
Add a gate within your pipeline, pass/fail based on the scanning results
 Tools that can be used (Anchore/Palo Alto - Prisma Cloud (twistcli)/Aqua/Kubei/Trivy/Snyk)</t>
  </si>
  <si>
    <t>EKS25</t>
  </si>
  <si>
    <t>Is there a trusted source for 3rd party HelmCharts reposiitory ?</t>
  </si>
  <si>
    <t xml:space="preserve">Third party hosted HelmChart repositories dynamically loaded in your environment could become compromised or modified unexpectedly, affecting chart availability and integrity.
Ensure to use a trusted domain to load HelmChart Library.</t>
  </si>
  <si>
    <t>EKS26</t>
  </si>
  <si>
    <t>Is there  process to harden container images?</t>
  </si>
  <si>
    <t>A Service or an application container should never be provided out of the box to the customer.</t>
  </si>
  <si>
    <t>EKS27</t>
  </si>
  <si>
    <t>Is there  process to harden kubernetes on EKS Cluster?</t>
  </si>
  <si>
    <t xml:space="preserve">The following section should implemente security best practices to secure kubernetes on EKS Cluster in AWS.
- Cluster Level Configs
- Cluster Access Management
- Worker Node Configuration
- RBAC/ Cluster Authorization
- Workload configs
- Kubernetes Security Features
- Network Controls</t>
  </si>
  <si>
    <t>EKS28</t>
  </si>
  <si>
    <t>Is there a mechanism to execute customer code?</t>
  </si>
  <si>
    <t>Executing customer-provided code in an environment outside the customer’s account introduces the risk that the code could exploit a previously unknown weakness in the host executing the code. This could compromise the confidentiality, integrity and availability of other customer data residing on the same host or to which the host has access, and/or the integrity and availability of the executing service’s control plane.</t>
  </si>
  <si>
    <t>EKS29</t>
  </si>
  <si>
    <t>Are IAM roles are being used instead of IAM Users?</t>
  </si>
  <si>
    <t>AWS Roles provide temporary, automatically rotated credentials, enhancing security and simplifying access management for applications and services running on AWS resources. IAM Users on the other hand provides permanent access which is not a good security practice.</t>
  </si>
  <si>
    <t>B1</t>
  </si>
  <si>
    <t>Does the solution’s compute environment configuration follow outlined best practices for EC2 security groups?</t>
  </si>
  <si>
    <t>The Amazon EC2 security groups associated with instances launched in the compute environment must contain restricted access.</t>
  </si>
  <si>
    <t>B2</t>
  </si>
  <si>
    <t>Does the solution’s job definition contain a role with with least-privilege policies?</t>
  </si>
  <si>
    <t>When assigning job definition roles, follow the standard security advice of granting least privilege, or granting only the permissions required to perform a task. Determine what the role needs to do and then craft policies that allow it to perform only those tasks.</t>
  </si>
  <si>
    <t>EB1</t>
  </si>
  <si>
    <t>Is the beanstalk environment configured to use VPC?</t>
  </si>
  <si>
    <t>The solution should use a VPC configured via ebextensions.</t>
  </si>
  <si>
    <t>EB2</t>
  </si>
  <si>
    <t xml:space="preserve">Is the solution using an IAM role for EC2 to eliminate the need to distribute and rotate long-term credentials on the instance when additional AWS services are used? </t>
  </si>
  <si>
    <t>The recommended approach for granting EC2-based applications AWS permissions is with an IAM role for EC2 because this eliminates the need to distribute and rotate long-term credentials on EC2 instances. When creating IAM roles, associate least-privilege IAM policies that restrict access to the specific API calls the application requires.</t>
  </si>
  <si>
    <t>EB3</t>
  </si>
  <si>
    <t>Are platform updates enabled for the application environment?</t>
  </si>
  <si>
    <t xml:space="preserve">Solutions should have platform updates enabled for beanstalk environments in order to receive bug fixes, software updates and new features. Managed platform updates perform immutable environment updates. </t>
  </si>
  <si>
    <t>EB4</t>
  </si>
  <si>
    <t>Is the solution configured for environment logs being retained and uploaded to Amazon S3?</t>
  </si>
  <si>
    <t>Beanstalk environment logs should be retained and uploaded to Amazon S3 in order to keep the logging data for future audits, historical purposes or to track and analyze the EB application environment behavior for a long period of time.</t>
  </si>
  <si>
    <t>ELB1</t>
  </si>
  <si>
    <t>Is the solution using ALB for HTTP/HTTPS?</t>
  </si>
  <si>
    <t>Should that have HTTP/HTTPS applications (monolithic or containerized) should use the Application Load Balancer (ALB) instead of Classic Load Balancer (ELB) for enhanced incoming traffic distribution, better performance and lower costs.</t>
  </si>
  <si>
    <t>ELB2</t>
  </si>
  <si>
    <t>Are ELB/ALB access logs enabled?</t>
  </si>
  <si>
    <t>Solutions must use access logs to allow customers to to analyze traffic patterns and identify and troubleshoot security issues.</t>
  </si>
  <si>
    <t>ELB3</t>
  </si>
  <si>
    <t>If using a Classic Load Balancer,  is connection draining enabled?</t>
  </si>
  <si>
    <t>With Connection Draining feature  enabled, if an EC2 backend instance fails health checks the Elastic Load  Balancer will not send any new requests to the unhealthy instance. However,  it will still allow existing (in-flight) requests to complete for the duration  of the configured timeout.</t>
  </si>
  <si>
    <t>ELB4</t>
  </si>
  <si>
    <t>Is the ELB using at least two AZs with the Cross-Zone Load Balancing feature enabled?</t>
  </si>
  <si>
    <t>Solutions should use at least two subnets in different Availability Zones with the Cross-Zone Load Balancing feature enabled, ELBs can distribute the traffic evenly across all backend instances. To use Cross-Zone Load Balancing at optimal level, the solution should maintain an equal EC2 capacity distribution in each of the AZs registered with the load balancer.</t>
  </si>
  <si>
    <t>ELB5</t>
  </si>
  <si>
    <t>Is the ELB listeners or classic load balancer configured  for HTTPS or SSL protocols and does should not support SSL protocol or TLS 1.1 or lower ?</t>
  </si>
  <si>
    <t>Solution ELB listeners should be  deployed for secure configurations. Solutions should us HTTPS or SSL  protocols to encrypt the communication between the client and your load  balancers. For cipher list and policies, see https://docs.aws.amazon.com/elasticloadbalancing/latest/application/create-https-listener.html#describe-ssl-policies , SSL protocols should not be enabled and any version of TLS 1.1 or below should not be enabled.</t>
  </si>
  <si>
    <t>ELB6</t>
  </si>
  <si>
    <t>Is the ELB associated with valid and secure security groups that restrict access?</t>
  </si>
  <si>
    <t>All solution load balancers should be associated with valid and secure security groups that restrict access only to the ports defined within the load balancers listeners configuration.</t>
  </si>
  <si>
    <t>AST1</t>
  </si>
  <si>
    <t>I confirm that AppStream 2.0 fleets are deployed in private subnets with no direct internet access.</t>
  </si>
  <si>
    <t>AppStream 2.0 fleets should be deployed in private subnets to prevent direct internet access. Access to the internet should be routed through a centralized VPC for outbound traffic.</t>
  </si>
  <si>
    <t>AST2</t>
  </si>
  <si>
    <t>I confirm that security groups and NACLs implement least privilege access.</t>
  </si>
  <si>
    <t>Security groups and NACLs should restrict traffic to only required ports and sources. Default settings of allowing all traffic (0.0.0.0/0) must be avoided.</t>
  </si>
  <si>
    <t>AST3</t>
  </si>
  <si>
    <t>I confirm that persistent data storage (home folders/application settings) uses AWS KMS encryption and restricted S3 bucket policies.</t>
  </si>
  <si>
    <t>User state persistence data must be encrypted at rest using KMS and access should be restricted through S3 bucket policies to prevent unauthorized access.</t>
  </si>
  <si>
    <t>AST4</t>
  </si>
  <si>
    <t>I confirm Microsoft AppLocker or equivalent application control is implemented with modified default rules.</t>
  </si>
  <si>
    <t>Default AppLocker rules grant everyone access to critical system directories. Rules must be modified to implement least privilege access and the Windows Application Identity service must be running..</t>
  </si>
  <si>
    <t>AST5</t>
  </si>
  <si>
    <t>I confirm that streaming URLs are secured through proper IAM policies specifying exact Stack ARNs.</t>
  </si>
  <si>
    <t>When using CreateStreamingURL API, IAM policies must specify exact Stack ARNs instead of wildcards to restrict access to authorized stacks only.</t>
  </si>
  <si>
    <t>AST6</t>
  </si>
  <si>
    <t>I confirm that endpoint security/antivirus agents are properly configured for AppStream fleets.</t>
  </si>
  <si>
    <t>Security software must exclude AppStream processes/directories and be configured to reset GUIDs during fleet instance creation.</t>
  </si>
  <si>
    <t>AST7</t>
  </si>
  <si>
    <t>I confirm that clipboard, file transfer, and printing controls are restricted based on security requirements.</t>
  </si>
  <si>
    <t>AppStream 2.0 data transfer capabilities (clipboard, file transfer, printing) must be disabled or restricted according to data security needs.</t>
  </si>
  <si>
    <t>AST8</t>
  </si>
  <si>
    <t>I confirm that fleet instances are placed in dedicated Active Directory OUs with appropriate GPOs.</t>
  </si>
  <si>
    <t>Fleet instances should be in dedicated OUs to avoid mixing AppStream policies with regular desktop policies and enable proper security controls.</t>
  </si>
  <si>
    <t>AST9</t>
  </si>
  <si>
    <t>I confirm that VPC endpoints are used to privately access required AWS services.</t>
  </si>
  <si>
    <t>VPC endpoints should be used to access services like S3 privately without requiring internet access. Custom endpoint policies should restrict access.</t>
  </si>
  <si>
    <t>AST10</t>
  </si>
  <si>
    <t>I confirm CloudWatch logging and CloudTrail are enabled for monitoring and auditing.</t>
  </si>
  <si>
    <t>Enable CloudWatch logs for AppStream resources and CloudTrail for API activity monitoring. VPC flow logs should be enabled for network traffic auditing.</t>
  </si>
  <si>
    <t>AST11</t>
  </si>
  <si>
    <t>I confirm that Multi-AZ deployment is configured for high availability.</t>
  </si>
  <si>
    <t>AppStream 2.0 fleets should be deployed across multiple Availability Zones for redundancy and failover capabilities.</t>
  </si>
  <si>
    <t>AST12</t>
  </si>
  <si>
    <t>I confirm that TLS 1.2 or higher is enforced for all external communications.</t>
  </si>
  <si>
    <t>Legacy TLS versions should be disabled and minimum TLS 1.2 enforced to ensure secure communications.</t>
  </si>
  <si>
    <t>AST13</t>
  </si>
  <si>
    <t>I confirm that AD computer object cleanup processes are implemented.</t>
  </si>
  <si>
    <t>Regular cleanup processes must be implemented to remove stale Active Directory computer objects created during fleet scaling.</t>
  </si>
  <si>
    <t>AST14</t>
  </si>
  <si>
    <t>I confirm that network file shares use encrypted SMB connections with proper access controls.</t>
  </si>
  <si>
    <t>File shares used for persistent storage must use encryption in transit and implement appropriate access controls.</t>
  </si>
  <si>
    <t>AST15</t>
  </si>
  <si>
    <t>I confirm that session scripts and GPOs are used to enforce security controls.</t>
  </si>
  <si>
    <t>Use session scripts and Group Policy Objects to implement and enforce security controls consistently across fleet instances.</t>
  </si>
  <si>
    <t>S1</t>
  </si>
  <si>
    <t>Ensure that access logging is enabled on all in-scope S3 buckets.</t>
  </si>
  <si>
    <t>Access logging enables visibility into actions taken against S3 buckets and object, and aids in supporting a robust incident reponse program.Store access logs in a dedicated access log bucket and ensure that only least privilege permissions are granted. In cases where higher security is needed, record those logs to an S3 bucket owned by a separate account, so that compromise of the first account can not result in deletion of those logs. Sanitize sensitive information that could appear in logs.</t>
  </si>
  <si>
    <t>S2</t>
  </si>
  <si>
    <t>Ensure S3 buckets are configured to block public access.</t>
  </si>
  <si>
    <t>By default, newly-created S3 buckets, access points, and objects do not allow public access.  Confirm these settings have not been altered unintentionally.</t>
  </si>
  <si>
    <t>S3</t>
  </si>
  <si>
    <t>Discuss with customer if there is a need for custom encryption of buckets using SSE-KMS, SSE-C or other encryption to meet customer's security needs.</t>
  </si>
  <si>
    <t>S3 is enabled with SSE by default for any buckets created after early 2023. The customer may need more specific encryption options depending on their compliance, security and privacy needs. Discuss with customer if the default encryption is sufficient.</t>
  </si>
  <si>
    <t>S3 is enabled with SSE by default (as of early 2023)</t>
  </si>
  <si>
    <t>S5</t>
  </si>
  <si>
    <t>For S3 buckets configured as the origin of an Amazon CloudFront distribution, ensure access is restricted using Origin Access Control (OAC) configurations.</t>
  </si>
  <si>
    <t>Origin Access Controls provide support for granular policy configurations, HTTP/S requests using POST methods in AWS regions requiring SigV4, and integrations with SSE-KMS.</t>
  </si>
  <si>
    <t>S6</t>
  </si>
  <si>
    <t>For S3 buckets configured for static website hosting, ensure appropriate website hosting configurations are enabled.</t>
  </si>
  <si>
    <t>The web client should implement the following headers: Strict-Transport-Security, Content-Security-policy, X-Frame-Options, X-XSS-Protection and X-Content-Type-Options.</t>
  </si>
  <si>
    <t>S7</t>
  </si>
  <si>
    <t>Discuss the need for enabling object lock for specific buckets where object retention is required.</t>
  </si>
  <si>
    <t>Object Lock should be proposed and used for bucket where critical files are present and cannot be delete accidentially.</t>
  </si>
  <si>
    <t>S8</t>
  </si>
  <si>
    <t>Ensure S3 buckets have appropriately configured lifecycle policies.</t>
  </si>
  <si>
    <t>The solution should use a lifecycle policy configuration to manage S3 objects during their lifetime.</t>
  </si>
  <si>
    <t>S11</t>
  </si>
  <si>
    <t>Discuss with customer if they have the need to identify accidental or incidental exposure to PII data and the ability to discover such data using Amazon Macie. Enable this feature if it meets customer usecase.</t>
  </si>
  <si>
    <t>Amazon Macie can assist in discovery of potentially sensitive data in S3 buckets, and can be enabled on a free trial for 30 days, up to 150GB per account.</t>
  </si>
  <si>
    <t>S12</t>
  </si>
  <si>
    <t>For solutions uploading data to third-party S3 buckets, ensure the solution employs anti-sniping controls.</t>
  </si>
  <si>
    <t>Anti-sniping controls protect the customer from unknowingly uploading data to a bucket that belongs to an unintended account. If the solution provides the ability to upload data to a customer-specified bucket, whether part of the solution itself or part of the deployment, it must use anti-sniping controls to prevent this vulnerability.</t>
  </si>
  <si>
    <t>EFS3</t>
  </si>
  <si>
    <t>Ensure security groups limit traffic to the minimum IP ranges for EC2 instances and other NFS clients.</t>
  </si>
  <si>
    <t>Many NFS clients and servers use IP addresses as a primary security control. EFS requires IP-based restrictions on network traffic.</t>
  </si>
  <si>
    <t>EFS4</t>
  </si>
  <si>
    <t>Ensure that the UID/GID used by operating systems who mount EFS filesystems are managed. That is, all systems that mount the same EFS fileshare use the same UID/GID values for the same purposes.</t>
  </si>
  <si>
    <t>Permissions on EFS filesystems are essentially UNIX/POSIX filesystem permissions. They use numeric UID/GID values. Any system that can write to an EFS filesystem will create documents and/or executables that another system can read and/or run.</t>
  </si>
  <si>
    <t>EFS5</t>
  </si>
  <si>
    <t>Use EFS access points for applications when possible.</t>
  </si>
  <si>
    <t>Amazon EFS access points provide the ability to enforce least privileges and simplify management of applications accessing shared datasets. https://docs.aws.amazon.com/efs/latest/ug/efs-access-points.html</t>
  </si>
  <si>
    <t>EFS6</t>
  </si>
  <si>
    <t>Ensure the EFS file system is configured to encrypt file data at rest using a customer managed KMS key.</t>
  </si>
  <si>
    <t>Customer managed keys are the most flexible KMS keys to use with EFS because key policies and grants can be confiured for multiple users or services.</t>
  </si>
  <si>
    <t>EFS7</t>
  </si>
  <si>
    <t>Activate automatic backups of EFS file systems if the data is durable and needs to be protected.</t>
  </si>
  <si>
    <t>AWS Backup natively integrates with Amazon EFS, and can be used to simplify the creation, migration, restoration, and deletion of backups while providing improved reporting and auditing functionality.</t>
  </si>
  <si>
    <t>FSx1</t>
  </si>
  <si>
    <t>Does the file system limit access to resources (folders/files) to appropriate entities (e.g., using Active Directory to limit a user’s access to specific folders)?</t>
  </si>
  <si>
    <t>The file system should implement a method to limit user access to file/folders as appropriate.</t>
  </si>
  <si>
    <t>FSx2</t>
  </si>
  <si>
    <t>Confirm VPC endpoints to connect to FSx from your VPC without going over the public internet.</t>
  </si>
  <si>
    <t>Improved security - VPC endpoints allow you to connect to FSx APIs and file data transfer without traversing the public internet. All traffic stays within the AWS network.</t>
  </si>
  <si>
    <t>FSx3</t>
  </si>
  <si>
    <t>Ensure system access auditing is enabled and that the logs are collected somewhere other than the local system.</t>
  </si>
  <si>
    <t>Administrative events and other system access events to file servers and storage virtual machines (SVMs) should be logged to an external location to support incident response practices.</t>
  </si>
  <si>
    <t>FSx4</t>
  </si>
  <si>
    <t>Ensure file/object/data-level access logging is enabled and events for user access and file modification are collected in an external location.</t>
  </si>
  <si>
    <t>If the FSx implementation supports it, ensure appropriate access and modification logging is enabled and saved to an external (off-system) location like S3.</t>
  </si>
  <si>
    <t>FSxN1</t>
  </si>
  <si>
    <t xml:space="preserve">Do the file-system security groups for both the preferred and standby subnet endpoints restrict SSH and API (HTTP) access to appropriate sources? </t>
  </si>
  <si>
    <t>FSxN allows SSH access to file system and SVMs. This access should be restricted to specific sources (perhaps a bastion host).</t>
  </si>
  <si>
    <t>FSxN2</t>
  </si>
  <si>
    <t>Is SSH and HTTPS (API) access to the file-system and/or storage virtual machines (SVMs) restricted to appropriate entities?</t>
  </si>
  <si>
    <t xml:space="preserve">SSH and API (HTTPS) access to the file system and SVMs should be restricted to specific sources (like a bastion). Access to these sources should be restricted to appropriate entities (like admins). </t>
  </si>
  <si>
    <t>FSxN3</t>
  </si>
  <si>
    <t xml:space="preserve">If SSH is used to access the file system and/or SVMs, is this access conducted via private-key rather than password? </t>
  </si>
  <si>
    <t>With FSxN, users can SSH to the VMs via a private key, rather than using a password. The default implementation is to use a username/password. However, this can be changed on the host.</t>
  </si>
  <si>
    <t>RDS1</t>
  </si>
  <si>
    <t>I confirm no snapshots are created with public access.</t>
  </si>
  <si>
    <t>Ensure that AWS Relational Database Service (RDS) database snapshots created by a solution are not publicly accessible (i.e., shared with all AWS accounts and users) in order to avoid exposing your private data.</t>
  </si>
  <si>
    <t>RDS3</t>
  </si>
  <si>
    <t>Is the RDS cluster deployed in a Multi-AZ configuration?</t>
  </si>
  <si>
    <t>Solutions should ensure that the RDS clusters are using Multi-AZ deployment configurations for high availability and automatic failover support fully managed by AWS.</t>
  </si>
  <si>
    <t>RDS5</t>
  </si>
  <si>
    <t>Ensure that the security credentials for accessing RDBMS are stored in a customer compliant secrets manager such as AWS Secrets Manager and are rotated automatically.</t>
  </si>
  <si>
    <t>Solutions should configure AWS Secrets Manager or a similar alternative solution to automatically rotate the secret for a secured service or database. Secrets Manager already natively knows how to rotate secrets for supported Amazon RDS databases.</t>
  </si>
  <si>
    <t>RDS6</t>
  </si>
  <si>
    <t>I confirm that IAM Database Authentication feature enabled for all RDS MySQL or PostgresSQL.</t>
  </si>
  <si>
    <t xml:space="preserve">Solutions should use IAM Database Authentication feature in order to use AWS Identity and Access Management (IAM) service to manage database access to the Amazon RDS MySQL and PostgreSQL instances. With this feature enabled, the solution doesn’t have to use a password when connecting to the MySQL/PostgreSQL database instances, instead it uses an authentication token. </t>
  </si>
  <si>
    <t>RDS7</t>
  </si>
  <si>
    <t>Does the solution’s DB security groups prevent public access by using least privilege ingress rules?</t>
  </si>
  <si>
    <t>Use database security groups to control traffic to RDS instances at the database level. Configure these security groups to allow only necessary connections, such as from application servers or specific IP addresses. By default, network access is disabled for a DB instance. The solutions should specify rules in a security group that allow access from an IP address range, port, or EC2 security group. Once ingress rules are configured, the same rules apply to all DB instances that are associated with that security group.</t>
  </si>
  <si>
    <t>RDS8</t>
  </si>
  <si>
    <t>I confirm that access to the RDS instance from 0.0.0.0/0 is disabled.</t>
  </si>
  <si>
    <t xml:space="preserve">Network Security: Security Groups should be used to control inbound and outbound traffic to your RDS instance and should not use 0.0.0.0/0 for access. </t>
  </si>
  <si>
    <t>RDS9</t>
  </si>
  <si>
    <t>Is the RDS instance created in a private subnet within a VPC?</t>
  </si>
  <si>
    <t>Place RDS instances in a VPC to isolate them from the public internet.</t>
  </si>
  <si>
    <t>RDS10</t>
  </si>
  <si>
    <t>Do the RDS instances have Deletion Protection feature enabled?</t>
  </si>
  <si>
    <t>Solutions should ensure that the Amazon Relational Database Service (RDS) instances have Deletion Protection feature enabled in order to protect them from being accidentally deleted.</t>
  </si>
  <si>
    <t>RDS11</t>
  </si>
  <si>
    <t>Are RDS resource event notification enabled (so as to allow subscription)?</t>
  </si>
  <si>
    <t>Solutions should ensure that the AWS RDS resources have event notifications enabled in order for customers to be notified when an event occurs for a given database instance, database snapshot, database security group or database parameter group.</t>
  </si>
  <si>
    <t>RDS12</t>
  </si>
  <si>
    <t>Are the RDS instances configured for automated backup?</t>
  </si>
  <si>
    <t>Solutions should ensure that the RDS database instances have automated backups enabled for point-in-time recovery.</t>
  </si>
  <si>
    <t>RDS13</t>
  </si>
  <si>
    <t>Is the Backtrack feature enabled for all Amazon Aurora clusters?</t>
  </si>
  <si>
    <t xml:space="preserve">Solutions should ensure that Backtrack feature is enabled for Amazon Aurora with MySQL compatibility database clusters in order to backtrack your clusters to a specific time, without using backups. </t>
  </si>
  <si>
    <t>DDB2</t>
  </si>
  <si>
    <t>Discuss with the customer if there is a need for using client side encryption of data or record attribute to help protect sensitive or regulated data.</t>
  </si>
  <si>
    <t>Review the use case to determine if attribute-level encryption should be implemented client side in order to help protect sensitive data like credit card numbers or social security numbers.</t>
  </si>
  <si>
    <t>DDB3</t>
  </si>
  <si>
    <t>Does the solution's use case warrant enabling continuous backups?</t>
  </si>
  <si>
    <t>Review the use case to determine if Point-in-time Recovery (PITR) feature should be used to automatically take continuous backups of the DynamoDB data. Amazon DynamoDB service can back up the data with per-second granularity and restore it to any single second from the time PITR was enabled up to the prior 35 days. DynamoDB continuous backups represent an additional layer of insurance against accidental loss of data on top of on-demand backups. If continuous backups cannot be use then at least on-demand backups must be considered.</t>
  </si>
  <si>
    <t>DDB6</t>
  </si>
  <si>
    <t>Are DynamoDB data plane events enabled for CloudTrail logging?</t>
  </si>
  <si>
    <t>CloudTrail can monitor both control plane events and data plane events. Control plane operations let you create and manage DynamoDB tables. They also let you work with indexes, streams, and other objects that are dependent on tables. Data plane operations let you perform create, read, update, and delete (also called CRUD) actions on data in a table. Some data plane operations also let you read data from a secondary index. To enable logging of data plane events in CloudTrail, you'll need to enable logging of data plane API activity in CloudTrail. See Logging data events for trails for more information. Log DynamoDB operations using Cloud Trail as described in the public documentaion: https://docs.aws.amazon.com/amazondynamodb/latest/developerguide/logging-using-cloudtrail.html</t>
  </si>
  <si>
    <t>DDB7</t>
  </si>
  <si>
    <t>Is the solution using AWS Config to continuously monitor and record configuration changes in DynamoDB?</t>
  </si>
  <si>
    <t>Using AWS Config allows you to assess, audit, and evaluate the configurations of your DynamoDB tables for compliance with internal policies, industry regulations, and best practices.</t>
  </si>
  <si>
    <t>DDB8</t>
  </si>
  <si>
    <t>Are all roles used to access DynamoDB created with minimum set of permissions, following Least Privilege model?</t>
  </si>
  <si>
    <t>Broad permissions open up opportunities for abuse or unintended access. By limiting a role's permissions to only what is needed, you reduce the blast radius if that credential is compromised. This follows security best practices.</t>
  </si>
  <si>
    <t>AEC2</t>
  </si>
  <si>
    <t>Is the latest version of the Redis/Memcached cache engine used?</t>
  </si>
  <si>
    <t>Solution clusters must be using the stable latest version of Redis/Memcached cache engine in order to adhere to AWS best practices, benefit from better security by having the most recent vulnerability patches, receive the latest Redis and Memcached software features and get the latest performance optimizations.</t>
  </si>
  <si>
    <t>AEC4</t>
  </si>
  <si>
    <t>Is the cluster deployed in a Multi-AZ configuration on Redis?</t>
  </si>
  <si>
    <t>Solutions should ensure that the Redis clusters are using Multi-AZ deployment configurations for high availability.</t>
  </si>
  <si>
    <t>AEC6</t>
  </si>
  <si>
    <t>Are users authenticated with Redis AUTH?</t>
  </si>
  <si>
    <t>When using Redis, solutions should setup Redis AUTH, Redis authentication tokens enable Redis to require a token (password) before allowing clients to execute commands, thereby improving data security.</t>
  </si>
  <si>
    <t>N1</t>
  </si>
  <si>
    <t>Is the Neptune db cluster deployed in a Multi-AZ configuration?</t>
  </si>
  <si>
    <t>Solutions should ensure that the Neptune clusters are using Multi-AZ deployment configurations for high availability.</t>
  </si>
  <si>
    <t>N2</t>
  </si>
  <si>
    <t>Is the Auto Minor Version Upgrade feature enabled?</t>
  </si>
  <si>
    <t xml:space="preserve">Solutions Neptune database instances must have the Auto Minor Version Upgrade feature enabled in order to receive automatically minor engine upgrades.  </t>
  </si>
  <si>
    <t>N3</t>
  </si>
  <si>
    <t>Is a minimum backup retention period configured for the cluster?</t>
  </si>
  <si>
    <t>Solution Neptune database clusters must have a minimum backup retention period set. The retention period represents the number of days to retain automated snapshots. A minimum retention period of 7 (seven) days is recommended but can be adjust to meet solution requirements.</t>
  </si>
  <si>
    <t>N7</t>
  </si>
  <si>
    <t>Are security groups configured to controls trafic to/from Neptune instances?</t>
  </si>
  <si>
    <t>Security groups allow you to restrict access to only authorized users and resources. This prevents unauthorized parties from accessing sensitive data or making changes to the database</t>
  </si>
  <si>
    <t>N9</t>
  </si>
  <si>
    <t>Are you using tagging to better identify and classify Neptune resources?</t>
  </si>
  <si>
    <t>Use tags to add metadata to your Neptune resources and track usage based on tags. For more information, see Tagging Amazon Neptune Resources.</t>
  </si>
  <si>
    <t>RS1</t>
  </si>
  <si>
    <t xml:space="preserve">Do the parameter groups have the require_ssl enabled? </t>
  </si>
  <si>
    <t>All the parameter groups associated with the solution Redshift clusters must have the require_ssl parameter enabled in order to keep the data secure in transit by encrypting the connection between the clients and the Redshift clusters.</t>
  </si>
  <si>
    <t>RS3</t>
  </si>
  <si>
    <t>Is the cluster using custom user names versus the default (awsuser)?</t>
  </si>
  <si>
    <t>All solution clusters must use custom master user names instead of the default master user name (i.e. "awsuser") in order to add an additional layer of defense against non-targeted attacks.</t>
  </si>
  <si>
    <t>RS5</t>
  </si>
  <si>
    <t>Is audit logging enabled for the cluster?</t>
  </si>
  <si>
    <t>Audit logging must be enabled for solution Redshift clusters for security and troubleshooting purposes.</t>
  </si>
  <si>
    <t>RS8</t>
  </si>
  <si>
    <t>I confirm that the Redshift cluster is not publicly accessible</t>
  </si>
  <si>
    <t>Solution clusters must not be publicly accessible to minimize security risks.</t>
  </si>
  <si>
    <t>RS10</t>
  </si>
  <si>
    <t>Is an automated snapshot retention period configured for the cluster?</t>
  </si>
  <si>
    <t>Solution must set automated snapshot retention period Redshift clusters as a positive number, meaning that automated backups are enabled for the clusters. The retention period represents the number of days to retain automated snapshots.</t>
  </si>
  <si>
    <t>RS11</t>
  </si>
  <si>
    <t>Is user activity logging enabled on the clusters?</t>
  </si>
  <si>
    <t>A solution should have user activity logging enabled for Redshift clusters in order to log each query before it is performed on the clusters database. To enable this feature, set the "enable_user_activity_logging" database parameter to true within the non-default parameter groups. In order to make "enable_user_activity_logging" parameter to work, the database audit logging must be enabled on the clusters.</t>
  </si>
  <si>
    <t>DOC4</t>
  </si>
  <si>
    <t>Is a minimum backup retention period set for the cluster?</t>
  </si>
  <si>
    <t>Solution clusters must have a minimum backup retention period set. The retention period represents the number of days to retain automated snapshots. A minimum retention period of 7 (seven) days is recommended but can be adjust to meet solution requirements.</t>
  </si>
  <si>
    <t>DOC5</t>
  </si>
  <si>
    <t>Is the Log Exports feature enabled for the cluster?</t>
  </si>
  <si>
    <t>Solution clusters must have the Log Exports feature enabled in order to publish audit logs directly to AWS CloudWatch Logs. The events recorded by the AWS DocumentDB audit logs include successful and failed authentication attempts, creating indexes or dropping a collection in a database within the DocumentDB cluster.</t>
  </si>
  <si>
    <t>DOC6</t>
  </si>
  <si>
    <t>Does the cluster security group follow best practices, such as preventing the public access?</t>
  </si>
  <si>
    <t>The cluster should not have a security group that allows unrestricted ingress (0.0.0.0/0). Access should only be allowed from trusted sources like specific IP addresses or security groups.</t>
  </si>
  <si>
    <t>TS6</t>
  </si>
  <si>
    <t>I confirm that this solution does not warrant the use of client-side encryption.</t>
  </si>
  <si>
    <t>Timestream provides data-in-transit encryption. If the data is sensitive and warrants the need to be encrypted before Amazon Timestream SDK call, client-side encryption should be considered.</t>
  </si>
  <si>
    <t>TS7</t>
  </si>
  <si>
    <t>I confirm that Amazon Timestream API calls are being logged via CloudTrail.</t>
  </si>
  <si>
    <t>Amazon Timestream is integrated with Cloudtrail. Cloudtrail must be enabled for auditing in case of any security incident.</t>
  </si>
  <si>
    <t>DMS1</t>
  </si>
  <si>
    <t>Enable Multi-AZ replication instances for Amazon Database Migration Service (DMS).</t>
  </si>
  <si>
    <t>Enabling Multi-AZ replication for DMS instances provides high availability and automatic failover support, ensuring that the data migration process can continue even if one of the Availability Zones becomes unavailable. See: https://docs.aws.amazon.com/dms/latest/userguide/disaster-recovery-resiliency.html</t>
  </si>
  <si>
    <t>DMS2</t>
  </si>
  <si>
    <t>Restrict traffic among Amazon Database Migration Service (DMS) replication instance Security Groups by least privilege and deny-by-default principles.</t>
  </si>
  <si>
    <t>Restricting traffic to DMS replication instances by using least privilege and deny-by-default principles in the security groups helps minimize the attack surface and reduce the risk of unauthorized access to the DMS resources. See: https://docs.aws.amazon.com/dms/latest/userguide/CHAP_Security.html#CHAP_Security.Network</t>
  </si>
  <si>
    <t>DMS3</t>
  </si>
  <si>
    <t>Enable Amazon Database Migration Service (DMS) Auto Minor Version Upgrade.</t>
  </si>
  <si>
    <t>Enabling the Auto Minor Version Upgrade feature for DMS ensures that the service is kept up-to-date with the latest bug fixes and security patches, improving the overall security and stability of the migration process. See: https://docs.aws.amazon.com/dms/latest/userguide/CHAP_ReplicationInstance.Modifying.html</t>
  </si>
  <si>
    <t>VPC1</t>
  </si>
  <si>
    <t>Multiple availability zones are used for high availability where required.</t>
  </si>
  <si>
    <t>AWS recommends maximizing your use of Availability Zones to isolate a data center outage. Availability Zones are geographically distributed within a region and spaced for best insulation and stability in the event of a natural disaster.</t>
  </si>
  <si>
    <t>VPC2</t>
  </si>
  <si>
    <t>Routing rules differ by subnet, allowing access only where required. Subnets that do not need Internet access do not have entries in routing tables that reach Internet Gateways or NAT Gateways.</t>
  </si>
  <si>
    <t>AWS recommends using public subnets for external-facing resources and private subnets for internal resources. For each Availability Zone, does the solution provision one public subnet and at least one private subnet by default.</t>
  </si>
  <si>
    <t>VPC7</t>
  </si>
  <si>
    <t>Activate VPC flow logs on important network segments/interfaces. Make sure that VPC flow logs destinations have retention periods and automatic deletion rules activated.</t>
  </si>
  <si>
    <t>VPC Flow Logs capture network flow information for a VPC, subnet, or network interface and stores it in Amazon CloudWatch Logs. Flow log data can help customers troubleshoot network issues; for example, to diagnose why specific traffic is not reaching an instance, which might be a result of overly restrictive security group rules.</t>
  </si>
  <si>
    <t>CFR1</t>
  </si>
  <si>
    <t>Use geography-aware rules to block or allow access to CloudFront distributions where required. (See also Route53 Geolocation and Geoproximity rules)</t>
  </si>
  <si>
    <t>Review the use case to determine if geo restriction needs enabled for the distribution in order to whitelist or blacklist a country in order to allow or restrict users in specific locations from accessing solution content.</t>
  </si>
  <si>
    <t>CFR2</t>
  </si>
  <si>
    <t>Use AWS WAF on public CloudFront distributions.</t>
  </si>
  <si>
    <t>Use AWS Web Application Firewall (AWS WAF) to protect against application-layer attacks that can compromise the security of the solution or place unnecessary load on them.</t>
  </si>
  <si>
    <t>CFR3</t>
  </si>
  <si>
    <t>Enable access logging on Cloudfront distributions. Make sure the log has an explicit retention period and automatic deletion activated in accordance with the customer's data retention expectations.</t>
  </si>
  <si>
    <t>CloudFront distributions must must activate logging to record requests for content. It is important that these logs can be used in an investigation of an incident.</t>
  </si>
  <si>
    <t>CFR4</t>
  </si>
  <si>
    <t>Always require HTTPS between viewers and CloudFront distributions. Choose a security policy for the distribution, which will control the minimum SSL/TLS protocol versions and ciphers that are used. Make sure the cipher choice and protocol version are compatible with customer expectations.</t>
  </si>
  <si>
    <t>Ensure that solution CloudFront distributions use a security policy with minimum TLSv1.1 or TLSv1.2 and appropriate security ciphers for HTTPS viewer connections. A security policy determines two settings: the SSL/TLS protocol that CloudFront uses to communicate with the users and the cipher that CloudFront uses to encrypt the content that it returns to users.</t>
  </si>
  <si>
    <t>CFR5</t>
  </si>
  <si>
    <t>For non-AWS origins, encrypt traffic from the origin to the CloudFront distribution using the most recent TLS profile the customer accepts.</t>
  </si>
  <si>
    <t>CFR6</t>
  </si>
  <si>
    <t>Use origin access control (OAC) to control access between S3 and CloudFront.</t>
  </si>
  <si>
    <t>Ensure that the origin access control feature is enabled for all solution distributions that utilize an S3 bucket as an origin in order to restrict any direct access to objects through Amazon S3 URLs.</t>
  </si>
  <si>
    <t>APIG1</t>
  </si>
  <si>
    <t>Enable access logging on API Gateway endpoints. Make sure the log has an explicit retention period (default is unlimited) and automatic deletion activated in accordance with the customer's data retention expectations.</t>
  </si>
  <si>
    <t>API Gateway endpoints must must activate logging to record requests for content. It is important that these logs can be used in an investigation of an incident.</t>
  </si>
  <si>
    <t>APIG2</t>
  </si>
  <si>
    <t>Activate request validation on API Gateway endpoints to do first-pass input validation. Applications should still do input validation, but API Gateway must do some validation.</t>
  </si>
  <si>
    <t>The API should have basic request validation enabled. If the API is integrated with custom source (Lambda, ECS, etc..) in the backend, deeper input validation should be considered for implementation.</t>
  </si>
  <si>
    <t>APIG3</t>
  </si>
  <si>
    <t>Use AWS WAF on public-facing API Gateway Endpoints. If the API endpoint is not public, but it has many distinct users, AWS WAF should be considered.</t>
  </si>
  <si>
    <t>AWS WAF prevents many common web attacks. It should be used any time a large, diverse, and unregulated set of systems will be making API calls.</t>
  </si>
  <si>
    <t>APIG4</t>
  </si>
  <si>
    <t>Does the API implements authentication?</t>
  </si>
  <si>
    <t>Each API needs to have an authentication and authorization implementation strategy. This includes using such approaches as IAM, Cognito User Pools, Custom authorizer, etc.</t>
  </si>
  <si>
    <t>APIG5</t>
  </si>
  <si>
    <t>Use VPC Private Link for API Gateways when they are used by VPC-connected entities, like EC2 instances or VPC-connected Lambda functions.</t>
  </si>
  <si>
    <t>VPC PrivateLink assigns private IP addresses to VPC resources, but makes them reachable across VPC boundaries. This eliminates the possibility that an API GW is made public, and it allows VPC-based callers to invoke APIs even when their VPC subnet has no route to the Internet.</t>
  </si>
  <si>
    <t>APIG6</t>
  </si>
  <si>
    <t>Are AWS CloudWatch logs enabled for the API?</t>
  </si>
  <si>
    <t>Solutions must ensure that AWS CloudWatch logs are enabled for all  APIs created with Amazon API Gateway service in order to track and analyze execution behavior at the API stage level.</t>
  </si>
  <si>
    <t>APIG7</t>
  </si>
  <si>
    <t>API GWs must have some form of access control, either authentication or network-based.</t>
  </si>
  <si>
    <t>If the API is public (or does not limit access by network connectivity) then API GW must use some form of authentication for callers. If the API does not authenticate callers, the API GW may not be public.</t>
  </si>
  <si>
    <t>APIG8</t>
  </si>
  <si>
    <t>Does API cached have encryption enabled?</t>
  </si>
  <si>
    <t>Ensure that stage-level cache encryption is enabled for your Amazon API Gateway APIs.</t>
  </si>
  <si>
    <t>APIG9</t>
  </si>
  <si>
    <t>Does the solution use private APIs endpoints unless exposing the API endpoints to the Internet is warranted?</t>
  </si>
  <si>
    <t>APIs created with API Gateway are only accessible via private API endpoints and are not visible to the Internet unless it is absolutely necessary.</t>
  </si>
  <si>
    <t>APIG10</t>
  </si>
  <si>
    <t>Validate that no sensitive information is logged in API GW access logs.</t>
  </si>
  <si>
    <t>The parameters to an API GW invocation can appear in the API GW's logs. Those parameters can contain sensitive information (usernames, passwords, personal information, etc.). Ensure that sensitive fields are not logged in API GW logs.</t>
  </si>
  <si>
    <t>TG2</t>
  </si>
  <si>
    <t>Transit Gateway route tables have been configured to isolate VPCs in a given region.</t>
  </si>
  <si>
    <t>Use Transit Gateway routing tables to isolate them wherever needed. There is a valid case for creating multiple Transit Gateways purely to limit misconfiguration blast radius.</t>
  </si>
  <si>
    <t>NF2</t>
  </si>
  <si>
    <t>Define rules to allow only necessary traffic and default any as implicit rule. Use Security Groups in conjunction with Network Firewall for layered protection. Leverage AWS Firewall Manager to centrally manage and audit firewall policies.Inspect and remediate permissive firewall configurations detected in AWS Security Hub.</t>
  </si>
  <si>
    <t>Unauthorized ingress/egress traffic - Without proper rules, Network Firewall allows all traffic by default which could lead to security issues. Misconfigured rules - Improper rules can allow unwanted traffic or block necessary traffic. Lack of monitoring and logging - Without monitoring of firewall logs, potential threats may go undetected.</t>
  </si>
  <si>
    <t>NEM1</t>
  </si>
  <si>
    <t>Is Transit Gateway registered with AWS Network Manager for monitoring global network?</t>
  </si>
  <si>
    <t>AWS Network Manager gives you centralized network monitoring and includes events and metrics to monitor the quality of your global network, both in AWS and on premises.</t>
  </si>
  <si>
    <t>CFN2</t>
  </si>
  <si>
    <t>Restrict input parameters to non-sensitive data.</t>
  </si>
  <si>
    <t>Store credentials, API keys, and certificates in AWS Secrets Manager. Store configuration data in AWS SSM Parameter Store. See https://docs.aws.amazon.com/AWSCloudFormation/latest/UserGuide/dynamic-references.html</t>
  </si>
  <si>
    <t>CT1</t>
  </si>
  <si>
    <t>Discuss and implement compliance considerations when logging to CloudTrail.</t>
  </si>
  <si>
    <t>Even though you are not guaranteeing assurance, it is a good idea to discuss compliance needs like duration and sensitive information regarding logging.</t>
  </si>
  <si>
    <t>CW1</t>
  </si>
  <si>
    <t>Log only non-sensitive data to CloudWatch.</t>
  </si>
  <si>
    <t>Remove, redact, or tokenize sensitive data before logging or using a print() function. See https://docs.aws.amazon.com/AmazonCloudWatch/latest/monitoring/data-protection.html</t>
  </si>
  <si>
    <t>CW2</t>
  </si>
  <si>
    <t>Discuss and implement CloudWatch Alarms on exceptional resource usage and metrics.</t>
  </si>
  <si>
    <t>Assign an owner to monitor and act on CloudWatch alarms. See https://docs.aws.amazon.com/AmazonCloudWatch/latest/monitoring/AlarmThatSendsEmail.html</t>
  </si>
  <si>
    <t>CW3</t>
  </si>
  <si>
    <t>Disable INFO and DEBUG log messages in production environments.</t>
  </si>
  <si>
    <t>Logging can become verbose in prod and too many logs can make analysis difficult. Logging can also disclose data. For further AWS-recommended best practices, see: https://docs.aws.amazon.com/prescriptive-guidance/latest/logging-monitoring-for-application-owners/logging-best-practices.html</t>
  </si>
  <si>
    <t>AS1</t>
  </si>
  <si>
    <t>Discuss and implement ASG cooldown periods.</t>
  </si>
  <si>
    <t>Use a cooldown period to temporarily suspend any scaling activities in order to allow the newly launched Amazon EC2 instances some time to start handling the application traffic. See https://docs.aws.amazon.com/autoscaling/ec2/userguide/ec2-auto-scaling-scaling-cooldowns.html</t>
  </si>
  <si>
    <t>AS2</t>
  </si>
  <si>
    <t xml:space="preserve">Discuss and configure ASG health checks. </t>
  </si>
  <si>
    <t>Someone should own and act on failed health checks. Make sure to decide on useful grace periods. See https://docs.aws.amazon.com/autoscaling/ec2/userguide/health-check-grace-period.html</t>
  </si>
  <si>
    <t>AS3</t>
  </si>
  <si>
    <t>Configure email notifications for ASG scaling events. Periodically review ownership and SNS subscriber addresses.</t>
  </si>
  <si>
    <t>Someone should own and act on autoscaling notifications. See https://docs.aws.amazon.com/autoscaling/ec2/userguide/ec2-auto-scaling-sns-notifications.html</t>
  </si>
  <si>
    <t>AS4</t>
  </si>
  <si>
    <t>Discuss and implement AWS Elastic Load Balancer (ELB) or Classic Load Balancer (CLB) to distribute application loads in auto-scaling groups.</t>
  </si>
  <si>
    <t>There are four types of ELBs in addition to Classic Load Balancer. See https://docs.aws.amazon.com/autoscaling/ec2/userguide/autoscaling-load-balancer.html</t>
  </si>
  <si>
    <t>AS5</t>
  </si>
  <si>
    <t>Discuss and implement IAM roles in Amazon EC2 launch templates.</t>
  </si>
  <si>
    <t>AWS recommends using launch templates in Auto Scaling because it allows granular permissions. See https://docs.aws.amazon.com/autoscaling/ec2/userguide/ec2-auto-scaling-launch-template-permissions.html</t>
  </si>
  <si>
    <t>AS6</t>
  </si>
  <si>
    <t>Discuss and implement ASG scaling to multiple Availability Zones (AZs).</t>
  </si>
  <si>
    <t>Solution ASGs must span across multiple Availability Zones (AZs) within an AWS region to expand the availability of the auto-scaled applications. If one AZ goes down, instances in the other AZs will still be available to serve traffic. This improves resilience against DDoS attacks or network outages. See https://docs.aws.amazon.com/autoscaling/ec2/userguide/as-add-availability-zone.html</t>
  </si>
  <si>
    <t>AD4</t>
  </si>
  <si>
    <t>Test AWS SSM automation documents to ensure that multiple executions do not leave a customer environment in an unknown state.</t>
  </si>
  <si>
    <t>Test multiple executions of all automation documents before you consider them done.</t>
  </si>
  <si>
    <t>AD5</t>
  </si>
  <si>
    <t>Use the least possible number of input parameters.</t>
  </si>
  <si>
    <t>Reducing complexity saves testing time and increases readability.</t>
  </si>
  <si>
    <t>AD6</t>
  </si>
  <si>
    <t>Validate AWS SSM automation document parameters with allowedPattern and allowedValue conditions.</t>
  </si>
  <si>
    <t>Use an allow-list approach with parameters to deny non-compliant parameters by default.</t>
  </si>
  <si>
    <t>AD7</t>
  </si>
  <si>
    <t>Use non-sensitive data in input parameters.</t>
  </si>
  <si>
    <t>As a general rule, store credentials, API keys, and certificates in AWS Secrets Manager. Store configuration data in AWS SSM Parameter Store.</t>
  </si>
  <si>
    <t>AD8</t>
  </si>
  <si>
    <t>Block public sharing for documents.</t>
  </si>
  <si>
    <t>This optional setting should always be turned on. See https://docs.aws.amazon.com/systems-manager/latest/userguide/documents-ssm-sharing.html</t>
  </si>
  <si>
    <t>AD9</t>
  </si>
  <si>
    <t>Restrict Session Manager users to sessions using interactive commands and specific SSM session documents.</t>
  </si>
  <si>
    <t>Try to restrict all activity in SSM sessions to prescribed interactions. This makes it easier to alert on unintended interactions.</t>
  </si>
  <si>
    <t>AD10</t>
  </si>
  <si>
    <t>Keep AWS and Systems Manager tools up to date according to lifecycle policies.</t>
  </si>
  <si>
    <t>An owner should monitor and update SSM tools. For a list, see https://docs.aws.amazon.com/systems-manager/latest/userguide/security-best-practices.html</t>
  </si>
  <si>
    <t>SAGE1</t>
  </si>
  <si>
    <t>Provision all SageMaker notebook instances and SageMaker Studio domains inside a VPC.</t>
  </si>
  <si>
    <t>Running notebook instances and Studio domains in VPC allows implementing network isolation, fine-grained access control using security groups as well controlled internet access. This prevents data poisoning and model poisoning attempts. Make sure the model is able to pull its dependencies from trusted sources.</t>
  </si>
  <si>
    <t>SAGE3</t>
  </si>
  <si>
    <t>Discuss and choose an authentication strategy for all SageMaker notebook instance users. Prohibit unauthenticated access.</t>
  </si>
  <si>
    <t>Disable direct internet access to SageMaker, and provision access with a well-defined access control strategy. Use federated authentication when possible. See https://docs.aws.amazon.com/sagemaker/latest/dg/security-iam.html#security_iam_authentication</t>
  </si>
  <si>
    <t>SAGE5</t>
  </si>
  <si>
    <t>Consider implementing SageMaker in VPC-only mode and create a distinct security group for every Sagemaker Studio user profile.</t>
  </si>
  <si>
    <t>Sagemaker Studio VPC-only mode requires a discrete security group per user profile--instead of a domain-level security group--to restrict access. See https://docs.aws.amazon.com/sagemaker/latest/dg/studio-notebooks-and-internet-access.html</t>
  </si>
  <si>
    <t>SAGE6</t>
  </si>
  <si>
    <t>For SageMaker training and processing, create AWS resources in a VPC if the customer has egress filtering or internet isolation requirements.</t>
  </si>
  <si>
    <t>Reduce the risk of unauthorized access to data from training or inference containers by implementing network isolation. See https://docs.aws.amazon.com/sagemaker/latest/dg/mkt-algo-model-internet-free.html</t>
  </si>
  <si>
    <t>SAGE7</t>
  </si>
  <si>
    <t>Periodically scan dependencies used for experimentation, training, and model building.</t>
  </si>
  <si>
    <t>Align with customers on dependencies used to build and train models. If possible, restrict available dependencies to a pre-approved list in a local repository (e.g., pypi, CodeArtifact).</t>
  </si>
  <si>
    <t>SAGE8</t>
  </si>
  <si>
    <t>Restrict access to SageMaker Studio data and SageMaker notebook instance data.</t>
  </si>
  <si>
    <t>Restrict manual data access by conducting ML training and development in a VPC with limited (controlled egress) or no internet acess, allow-listing access according to least-privilege., and denying access by default.</t>
  </si>
  <si>
    <t>SAGE9</t>
  </si>
  <si>
    <t>Disable root access to SageMaker notebook instances and deployed containers unless required.</t>
  </si>
  <si>
    <t>Root access may be required for installing software. Recommended to use lifecycle configurations instead. Note that Docker daemon runs as non-root. See https://docs.aws.amazon.com/sagemaker/latest/dg/nbi-root-access.html</t>
  </si>
  <si>
    <t>SAGE10</t>
  </si>
  <si>
    <t>Create separate roles for each Sagemaker feature according to least-privilege.</t>
  </si>
  <si>
    <t>Examples include notebooks, domains, pipelines, training and endpoints. For Sagemaker domains, use AWS Sagemaker Role manager to create an adequate policy. If using Sagemaker pipeline, you can configure roles using the Config SDK. See https://docs.aws.amazon.com/sagemaker/latest/dg/sagemaker-roles.html</t>
  </si>
  <si>
    <t>SAGE11</t>
  </si>
  <si>
    <t>Create separate SageMaker user profiles and notebook instances for each user.</t>
  </si>
  <si>
    <t>Sharing notebook instances or user profiles complicates auditing of the environment and non-repudiation. Shared spaces should be used for Sagemaker Studio instead. See https://docs.aws.amazon.com/sagemaker/latest/dg/domain-space.html</t>
  </si>
  <si>
    <t>SAGE12</t>
  </si>
  <si>
    <t>Implement domain resource isolation to restrict access to specific domains and regions in an AWS account.</t>
  </si>
  <si>
    <t>If the customer has decided to implement multiple domains across teams instead of multple AWS accounts, ensure SageMaker isolation is implemented across resources using tags. See https://docs.aws.amazon.com/sagemaker/latest/dg/domain-resource-isolation.html</t>
  </si>
  <si>
    <t>LEX1</t>
  </si>
  <si>
    <t>Configure any Amazon Lex chatbot subject to the Childrens Online Privacy Protection Act (COPPA) to not store user utterances by setting the childDirected field to true.</t>
  </si>
  <si>
    <t>Chatbots that may interact with children/non-adults should set `childDirected` value to `true` in the Amazon Lex API upon creation. See https://docs.aws.amazon.com/lex/latest/dg/data-protection.html. This feature focuses on the US law COPPA, so non-US customers must assess its suitability for their own regulatory environment.</t>
  </si>
  <si>
    <t>LEX2</t>
  </si>
  <si>
    <t>Store credentials, API keys, and certificates in AWS Secrets Manager. Store configuration data in AWS Systems Manager SecureString parameters.</t>
  </si>
  <si>
    <t>Amazon Lex can integrate with messaging apps (e.g., Slack, Facebook, SMS), which will require storing and using API Keys, Access Tokens, etc. in a way that Lex can use them programmatically. Use a secure storage mechanism for these.</t>
  </si>
  <si>
    <t>LEX3</t>
  </si>
  <si>
    <t>Enable slot obfuscation for all sensitive data in Amazon Lex intent slots.</t>
  </si>
  <si>
    <t>Sensitive data and Personally Identifiable Information (PII) needs to be obfuscated to ensure anonimity and privacy of users. See https://docs.aws.amazon.com/lexv2/latest/dg/monitoring-obfuscate.html</t>
  </si>
  <si>
    <t>RK4</t>
  </si>
  <si>
    <t>If you use Amazon Rekognition Face Detection, add a link to the terms and conditions to solution README.</t>
  </si>
  <si>
    <t>BR1</t>
  </si>
  <si>
    <t>Consider enabling model invocation logging and set alerts to ensure adherence to any responsible AI policies.</t>
  </si>
  <si>
    <t>Model invocation logging is disabled by default. See https://docs.aws.amazon.com/bedrock/latest/userguide/model-invocation-logging.html</t>
  </si>
  <si>
    <t>BR2</t>
  </si>
  <si>
    <t>Discuss and implement necessary filters on Bedrock model output.</t>
  </si>
  <si>
    <t>A customer may want to restrict Bedrock output for compliance, abuse mitigation, or other data restrictions. Guardrails for Amazon Bedrock, AWS Lambda, or AWS Comprehend may be good candidates to redirect and filter Bedrock output. See https://aws.amazon.com/bedrock/guardrails/</t>
  </si>
  <si>
    <t>BR3</t>
  </si>
  <si>
    <t>Restrict and isolate data uploaded to Retrieval Augmented Generation (RAG) apps.</t>
  </si>
  <si>
    <t>Make sure users only upload necessary data to RAG apps. For example, use discrete RDS views, or store data used for RAG in its own S3 bucket. In other words, make it hard to upload more data than is required for secure operation.</t>
  </si>
  <si>
    <t>BR4</t>
  </si>
  <si>
    <t>Verify and validate the use of confidential data with the customer when customizing a foundational model.</t>
  </si>
  <si>
    <t>AWS builders must limit sensitive data disclosure. Discuss any risks of data disclosure with a customer before making custom model available.</t>
  </si>
  <si>
    <t>ATH1</t>
  </si>
  <si>
    <t>Is encryption enabled for Athena query results?</t>
  </si>
  <si>
    <t>Solutions must ensure that encryption at-rest is enabled for Amazon Athena query results stored in Amazon S3 in order to secure data and meet compliance requirements for data at-rest encryption.</t>
  </si>
  <si>
    <t>ATH2</t>
  </si>
  <si>
    <t>Is encryption in transit being used for communication to the S3 bucket?</t>
  </si>
  <si>
    <t>Solutions must ensure that only encrypted connections over HTTPS (TLS) are allowed using the aws:SecureTransport condition on Amazon S3 bucket IAM policies.</t>
  </si>
  <si>
    <t>EMR1</t>
  </si>
  <si>
    <t>Is the cluster created in a private subnet within a VPC?</t>
  </si>
  <si>
    <t>EMR clusters should be created in a VPC private subnet to prevent direct Internet access.</t>
  </si>
  <si>
    <t>EMR2</t>
  </si>
  <si>
    <t>Is cluster logging to S3 enabled?</t>
  </si>
  <si>
    <t>Solution cluster log files must be periodically archived and uploaded to S3 in order to keep the logging data for historical purposes or to track and analyze the EMR clusters behavior.</t>
  </si>
  <si>
    <t>EMR6</t>
  </si>
  <si>
    <t>Is the solution implementing authentication to the cluster via customer created EC2 Key Pair or Kerberos?</t>
  </si>
  <si>
    <t xml:space="preserve">Solutions must implement authentication to the cluster. SSH clients can use an Amazon EC2 key pair to authenticate to cluster instances. Alternatively, with Amazon EMR release version 5.10.0 or later, solutions can configure Kerberos to authenticate users and SSH connections to the master node. </t>
  </si>
  <si>
    <t>EMR7</t>
  </si>
  <si>
    <t>The security group for the EMR cluster does not allow open ingress.</t>
  </si>
  <si>
    <t>The cluster should only allow access from a specific IP address range or EC2 security group on port 22.</t>
  </si>
  <si>
    <t>ESH1</t>
  </si>
  <si>
    <t>Provision the OpenSearch service domain inside a VPC.</t>
  </si>
  <si>
    <t>Provision the Amazon OpenSearch Service domain in a VPC to grant control over network security. Otherwise it is a public domain endpoint, which is accessible from anywhere on the Internet.</t>
  </si>
  <si>
    <t>ESH3</t>
  </si>
  <si>
    <t>Ensure the security group attached to the OpenSearch cluster restricts network access to a limited number of network address ranges and/or security groups.</t>
  </si>
  <si>
    <t>ESH4</t>
  </si>
  <si>
    <t>Deploy OpenSearch Service using dedicated master nodes.</t>
  </si>
  <si>
    <t>A dedicated master node performs cluster management tasks, but does not hold data or respond to data upload requests. Running cluster management tasks on a separate node increases the stability of your domain.</t>
  </si>
  <si>
    <t>ESH6</t>
  </si>
  <si>
    <t>Confirm that an off-peak window is configured at an appropriate time for service upgrades.</t>
  </si>
  <si>
    <t>It is important to apply patches and updates to maintain service security and performance. Ensure the off-peak window is set to a time when the workload can accept higher latency and lower performance.</t>
  </si>
  <si>
    <t>ESH7</t>
  </si>
  <si>
    <t>Activate cross-zone replication (Zone Awareness) to have multi-zone availability</t>
  </si>
  <si>
    <t>Solution must enable cross-zone replication (Zone Awareness) to increase the availability of the OpenSearch clusters by allocating the nodes and replicate the data across two Availability Zones (AZs) in the same region in order to prevent data loss and minimize downtime in the event of node or data center (AZ) failure.</t>
  </si>
  <si>
    <t>ESH8</t>
  </si>
  <si>
    <t>Enable encryption of data at rest in the OpenSearch security configuration</t>
  </si>
  <si>
    <t>OpenSearch domains should be encrypted</t>
  </si>
  <si>
    <t>ESH9</t>
  </si>
  <si>
    <t>Enable audit logs, configure an access policy, turn on audit logs in dashboards</t>
  </si>
  <si>
    <t>Audit logs are highly customizable and let you track user activity on your OpenSearch clusters, including authentication success and failures, requests to OpenSearch, index changes, and incoming search queries. The default configuration tracks popular user actions, but it can be customized.</t>
  </si>
  <si>
    <t>KDA3</t>
  </si>
  <si>
    <t>Configure backups and recovery checkpoints</t>
  </si>
  <si>
    <t>Checkpoints are backups of application state that Kinesis Data Analytics automatically creates periodically and uses to restore from faults.</t>
  </si>
  <si>
    <t>MSK1</t>
  </si>
  <si>
    <t>Are you using the latest version of Apache Kafta?</t>
  </si>
  <si>
    <t>New security features might be have been released.</t>
  </si>
  <si>
    <t>MSK2</t>
  </si>
  <si>
    <t>For communication between clients and brokers, I confirm that I’m not using plaintext communication.</t>
  </si>
  <si>
    <t xml:space="preserve">For communication between clients and brokers, you must specify one of the following three settings: only allow TLS encrypted data (default); allow both TLS and plaintext data; and only plaintext.
Enabling encryption reduces performance by approximately 30%, and it requires additional setup when using the client libraries on EC2.</t>
  </si>
  <si>
    <t>MSK3</t>
  </si>
  <si>
    <t>For communication between the brokers, I confirm that I’m using the default of TLS.</t>
  </si>
  <si>
    <t>Amazon MSK uses TLS 1.2. By default, it encrypts data in transit between the brokers of your MSK cluster. You can override this default at the time you create the cluster.</t>
  </si>
  <si>
    <t>MSK4</t>
  </si>
  <si>
    <t>I confirm that I’m using IAM as the authentication method.</t>
  </si>
  <si>
    <t xml:space="preserve">MSK offer several ways of authentication, such as IAM, client TLS and username/password. IAM is the recommended approach, but it does require additional configuration on the clients  and it's not supported in Lambda at this time.
If using one of the other options, be aware of the following items:
- Client authentication needs an ACM Private CA. Each CA costs $400.00 per month, but they can be in a separate account and shared via Resource Access Manager (RAM).
- Username/password requires using Secrets Manager and there are current limitations, both in the cluster </t>
  </si>
  <si>
    <t>MSK5</t>
  </si>
  <si>
    <t>If the solution creates topics, is authorization with ACLs being used?</t>
  </si>
  <si>
    <t>Apache Kafka has a pluggable authorizer and ships with an out-of-box authorizer implementation that uses Apache ZooKeeper to store all ACLs. By default in MSK, if you don’t explicitly set ACLs on a resource, all principals can access this resource. If you enable ACLs on a resource, only the authorized principals can access it.</t>
  </si>
  <si>
    <t>MSK6</t>
  </si>
  <si>
    <t>Are broker logs being delivered to a supported destination?</t>
  </si>
  <si>
    <t>Broker logs enable you to troubleshoot your Apache Kafka applications and to analyze their communications with your MSK cluster. You can configure your cluster to deliver logs to the following resources: a CloudWatch log group, an S3 bucket, a Kinesis Data Firehose delivery stream. MSK doesn’t charge for sending the logs. However, ingestion and storage charges apply based on the destination.</t>
  </si>
  <si>
    <t>MSK7</t>
  </si>
  <si>
    <t>I confirm that I’m using security groups to limit access to ZooKeeper nodes</t>
  </si>
  <si>
    <t>You can limit access to the Apache ZooKeeper nodes that are part a cluster by assigning a separate security group to them.</t>
  </si>
  <si>
    <t>MSK8</t>
  </si>
  <si>
    <t>If using Apache Kafka version 2.5.1 or later, I confirm that I have documented instructions on how to use TLS with ZooKeeper nodes on the implementation guide</t>
  </si>
  <si>
    <t>In Apache Kafka version 2.5.1 or later, you can use TLS security for encryption in transit between your clients and your Apache ZooKeeper nodes.</t>
  </si>
  <si>
    <t>MSK9</t>
  </si>
  <si>
    <t xml:space="preserve">Are you using CloudTrail to monitor API calls? </t>
  </si>
  <si>
    <t>Amazon MSK is integrated with AWS CloudTrail, a service that provides a record of actions taken by a user, role, or an AWS service in Amazon MSK. CloudTrail captures API calls for as events.</t>
  </si>
  <si>
    <t>QS1</t>
  </si>
  <si>
    <t>I confirm that the TLS protocol is used to connect to databases from QuickSight.</t>
  </si>
  <si>
    <t>Use TLS to connect to your databases, especially if you are using public networks. Using TLS with Amazon QuickSight requires the use of certificates signed by a publicly-recognized certificate authority (CA).</t>
  </si>
  <si>
    <t>QS2</t>
  </si>
  <si>
    <t>Is encryption in transit enabled for databases to SPICE?</t>
  </si>
  <si>
    <t>Amazon QuickSight supports encryption for all data transfers. This includes transfers from the data source to SPICE, or from SPICE to the user interface.</t>
  </si>
  <si>
    <t>KDF1</t>
  </si>
  <si>
    <t>If you’re sending data directly to the delivery stream (via APIs such as PutRecord or integrations such as CloudWatch logs), is server-side encryption (SSE) enabled for the delivery stream?</t>
  </si>
  <si>
    <t>Encryption can be enabled by using the StartDeliveryStreamEncryption operation or setting the DeliveryStreamEncryptionConfigurationInput property in CloudFormation.</t>
  </si>
  <si>
    <t>KDF2</t>
  </si>
  <si>
    <t>I confirm that encryption have been enable at the delivery stream destination?</t>
  </si>
  <si>
    <t>Kinesis Firehose delivery stream data records are encrypted at destination (i.e., Amazon S3).</t>
  </si>
  <si>
    <t>IAM1</t>
  </si>
  <si>
    <t>Restrict permissions all IAM service roles used by AWS Services to least-privilege.</t>
  </si>
  <si>
    <t>Prefer AWS-managed policies like AmazonSSMManagedEC2InstanceDefaultPolicy https://docs.aws.amazon.com/systems-manager/latest/userguide/security-iam-awsmanpol.html#security-iam-awsmanpol-AmazonSSMManagedEC2InstanceDefaultPolicy</t>
  </si>
  <si>
    <t>IAM2</t>
  </si>
  <si>
    <t>Define all custom IAM policies with the least privileges necessary for execution.</t>
  </si>
  <si>
    <t>Avoid admin roles, too many permissions, and wildcard attributes whenever possible. Ideally, someone should periodically review and revise policies. See https://docs.aws.amazon.com/IAM/latest/UserGuide/best-practices.html</t>
  </si>
  <si>
    <t>IAM3</t>
  </si>
  <si>
    <t>Assign policies for humans with minimal resources. Restrict IAM policy resource and namespace scope to allow only necessary actions.</t>
  </si>
  <si>
    <t>Do not use * in the actions clause of IAM policies for production environments, unless a condition or other clause limits the scope. Use of * for actions in IAM policies might be appropriate in dev, test, and other non-prod environments.</t>
  </si>
  <si>
    <t>IAM4</t>
  </si>
  <si>
    <t>Double-check all AWS Managed IAM policies to ensure they are appropriate and restricted to the use case.</t>
  </si>
  <si>
    <t>There is nothing inherently wrong with managed policies, but their use does merit scrutiny.  It is easy to overlook permissive policies when developing in enterprise environments.</t>
  </si>
  <si>
    <t>IAM5</t>
  </si>
  <si>
    <t>Add metadata to deployment assets to explain the rationale of using wildcard permissions with supporting evidence.</t>
  </si>
  <si>
    <t>Adding metadata increases readability and simplifies code reviews. But in this case, be sure to use wildcards wisely. Do not add metadata to explain away anti-patterns.</t>
  </si>
  <si>
    <t>IAM6</t>
  </si>
  <si>
    <t>Double-check usage of "Effect": "Allow" and NotAction elements in the same IAM policy.</t>
  </si>
  <si>
    <t>Be careful using the NotAction element and "Effect": "Allow" in the same statement or in a different statement within a policy. NotAction matches all services and actions that are not explicitly listed or applicable to the specified resource, and could result in granting users more permissions than you intended.</t>
  </si>
  <si>
    <t>IAM8</t>
  </si>
  <si>
    <t>Restrict IAM service role policies to the least privileges needed for execution.</t>
  </si>
  <si>
    <t>Most of the time, resources should not have action: * or resources: *, unless they are intended to be highly privileged. Common service roles to be inspected are: CI/CD containers, CodeBuild instances, EC2 instances, Lambda functions, and SageMaker notebook instances.</t>
  </si>
  <si>
    <t>IAM9</t>
  </si>
  <si>
    <t>Use Permissions Boundaries in IAM policies for compute resources that create IAM resources.</t>
  </si>
  <si>
    <t>IAM permissions boundaries allow compute resources to create IAM roles and policies but restrict their permissions. This limits the scope when compute resources automatically create IAM resources.</t>
  </si>
  <si>
    <t>IAM10</t>
  </si>
  <si>
    <t>Ensure that SourceArn and SourceAccount global condition context keys are used in cross-account resource policies to prevent the confused deputy problem.</t>
  </si>
  <si>
    <t>A confused deputy problem can lead to unintended service usage. See https://docs.aws.amazon.com/IAM/latest/UserGuide/confused-deputy.html</t>
  </si>
  <si>
    <t>IAM11</t>
  </si>
  <si>
    <t>IdC1</t>
  </si>
  <si>
    <t>Delegate and configure an administration account for IAM Identity Center.</t>
  </si>
  <si>
    <t>Delegated administration provides a convenient way for assigned users in a registered member account to perform most IAM Identity Center administrative tasks. This minimizes the number of people who require access to the management account to help mitigate security concerns. See https://docs.aws.amazon.com/singlesignon/latest/userguide/delegated-admin.html</t>
  </si>
  <si>
    <t>IdC2</t>
  </si>
  <si>
    <t>Limit access rights to IAM Identity Center by separation of duties.</t>
  </si>
  <si>
    <t>Ensure that management tasks in IAM Identity Center are split among authorized individuals. For example, user access management permissions should be split from user deletion permissions among administrators. See https://docs.aws.amazon.com/singlesignon/latest/userguide/iam-auth-access-using-id-policies.html</t>
  </si>
  <si>
    <t>IdC3</t>
  </si>
  <si>
    <t>Configure System for Cross-domain Identity Management (SCIM) to sync IAM users and groups with external identity providers.</t>
  </si>
  <si>
    <t>System for Cross-domain Identity Management (SCIM) is useful to integrate a solution into an enterprise identity management environment. See https://docs.aws.amazon.com/singlesignon/latest/userguide/provision-automatically.html and https://docs.aws.amazon.com/singlesignon/latest/userguide/idp-microsoft-entra.html for more information</t>
  </si>
  <si>
    <t>IdC4</t>
  </si>
  <si>
    <t>Develop and implement a user group strategy for account and application assignments.</t>
  </si>
  <si>
    <t>Groups scale better than users. Using groups for account and application assignments also helps reduce permission drift. See https://docs.aws.amazon.com/singlesignon/latest/userguide/users-groups-provisioning.html</t>
  </si>
  <si>
    <t>IdC5</t>
  </si>
  <si>
    <t>Work with the customer to configure MFA Multi-factor Authentication (MFA) with an enterprise Identity Provider (IdP) external to IAM Identity Center.</t>
  </si>
  <si>
    <t>MFA protects against brute force password attacks and safeguards against weak passwords. See https://docs.aws.amazon.com/singlesignon/latest/userguide/mfa-configure.html</t>
  </si>
  <si>
    <t>IdC6</t>
  </si>
  <si>
    <t>Assign IAM permission sets according to the principle of least privilege.</t>
  </si>
  <si>
    <t>Make sure that permission sets are not overly permissive, and consider setting a session duration appropriate for anticipated tasks. See https://docs.aws.amazon.com/singlesignon/latest/userguide/permissionsetsconcept.html</t>
  </si>
  <si>
    <t>IdC7</t>
  </si>
  <si>
    <t>Ensure that IAM Identity Center management API events are monitored and alerted on in AWS CloudTrail.</t>
  </si>
  <si>
    <t>Management events may suggest unauthorized activity and relevant stakeholders need to be notified. For example, events such as DeleteAccountAssignment in CloudTrail are routed to Amazon EventBridge or Splunk to trigger alerting. For more information, see https://docs.aws.amazon.com/singlesignon/latest/userguide/logging-using-cloudtrail.html.</t>
  </si>
  <si>
    <t>COG1</t>
  </si>
  <si>
    <t>Discuss and implement a password policy in each Cognito User Pool.</t>
  </si>
  <si>
    <t>Customers often have specific password policies according to enterprise guidelines.</t>
  </si>
  <si>
    <t>COG2</t>
  </si>
  <si>
    <t>Discuss and implement multi-factor authentication (MFA) in each Cognito User Pool.</t>
  </si>
  <si>
    <t>A customer may have a specific MFA policy according to wider organizational guidelines.</t>
  </si>
  <si>
    <t>COG3</t>
  </si>
  <si>
    <t>Disable Cognito’s user registration mechanism if a centralized IDP is used and/or users are not expected to be registered on the user pool directly by setting “AllowAdminCreateUserOnly” to “true”</t>
  </si>
  <si>
    <t>Registration mechanisms should be disabled if not in use.</t>
  </si>
  <si>
    <t>COG4</t>
  </si>
  <si>
    <t>Discuss and consider implementing AdvanceSecurityMode to ENFORCE in Cognito User Pools.</t>
  </si>
  <si>
    <t>Extra security features are available to manage users. Customers may have org guidelines. See: https://docs.aws.amazon.com/cognito/latest/developerguide/cognito-user-pool-settings-advanced-security.html</t>
  </si>
  <si>
    <t>COG6</t>
  </si>
  <si>
    <t>Restrict permissions in each Cognito Identity pool to least-privilege.</t>
  </si>
  <si>
    <t>Authenticated users in Cognito Identity Pools should be able to execute only tasks and access only intended resources. See https://docs.aws.amazon.com/cognito/latest/developerguide/iam-roles.html</t>
  </si>
  <si>
    <t>COG8</t>
  </si>
  <si>
    <t>Restrict Cognito Identity Pools to allow no privileges to unauthenticated users.</t>
  </si>
  <si>
    <t>Unauthenticated users should have zero permissions outside of development and testing.</t>
  </si>
  <si>
    <t>SM1</t>
  </si>
  <si>
    <t>Store all secrets in AWS Secrets Manager. Store configuration data in AWS SSM Parameter Store.</t>
  </si>
  <si>
    <t>Secrets include usernames, passwords, API keys, and certificates.</t>
  </si>
  <si>
    <t>SM4</t>
  </si>
  <si>
    <t>Discuss and implement managed automatic secret rotation.</t>
  </si>
  <si>
    <t>The customer org may have guidelines. Opt for managed rotation over manual lifecycle policies. See https://docs.aws.amazon.com/secretsmanager/latest/userguide/rotating-secrets.html</t>
  </si>
  <si>
    <t>SL1</t>
  </si>
  <si>
    <t>Restrict AWS Security Lake subscriber permissions according to least privilege.</t>
  </si>
  <si>
    <t>Create subscribers for specific, narrow scopes. See https://docs.aws.amazon.com/security-lake/latest/userguide/subscriber-management.html</t>
  </si>
  <si>
    <t>SL2</t>
  </si>
  <si>
    <t>Review default Security Lake S3 bucket policies.</t>
  </si>
  <si>
    <t>Bucket policies are crafted by service team with AWS Best Practices, so reconfiguring/editing may lead to unintended data exposure. If hardening is the intent, review the approach with DSR reviewer.</t>
  </si>
  <si>
    <t>SL4</t>
  </si>
  <si>
    <t>Periodically review and revise third-party integrations and IAM role permissions with AWS Security Lake according to lifecycle policies.</t>
  </si>
  <si>
    <t>Someone should own and monitor end-to-end implementation of third party integrations for any misconfiguration. Ensure that integrations are not expired, cross-account access is current, and IAM policy permissions are scoped to least-privilege.</t>
  </si>
  <si>
    <t>KMS1</t>
  </si>
  <si>
    <t>Prefer Customer-managed keys over service-managed keys when access control is required. Only use service managed keys for encryption-at-rest compliance reasons. If encryption is used for access control, data must be protected by customer-managed keys (CMKs).</t>
  </si>
  <si>
    <t xml:space="preserve">Service-managed keys (e.g., managed by the S3 service or the EBS service) protect data from physical theft, but do not allow access control. Data protected by a service-managed key often cannot be shared from one AWS account directly to another. </t>
  </si>
  <si>
    <t>KMS2</t>
  </si>
  <si>
    <t>Restrict access granted by Customer Master Key (CMK) policies to least-privilege and separation-of-duties principles.</t>
  </si>
  <si>
    <t>A solution module might make a KMS API call to encrypt data but there is no use case for that same module to decrypt data. In that use case, a key policy could grant access to a resource for the kms:Encrypt action but not kms:Decrypt and reduce the possibility for exposure.</t>
  </si>
  <si>
    <t>KMS3</t>
  </si>
  <si>
    <t>Discuss and restrict cross-account CMK usage according to least-privilege. It is often a bad idea, but it does have some reasonable use cases.</t>
  </si>
  <si>
    <t>When customers centralise KMS keys in one account, it can lead to API rate limiting if there's too much usage on a small number of keys. It will also lead to a centralising of charges where all the KMS charges will be in a single AWS account. This kind of design can be brittle and create choke points and dependencies. Be very careful with any centralised KMS design. It's usually the wrong design.</t>
  </si>
  <si>
    <t>KMS4</t>
  </si>
  <si>
    <t>Discuss adding encryption context to AWS KMS key usage for added security.</t>
  </si>
  <si>
    <t>AWS KMS encryption enhances defense-in-depth by requiring a privileged key-value pair when a KMS key is used. For example, to prevent interactive use of keys in the AWS console, add encryption context that are accessible only to the Lambda functions, EC2 instances or whoever invokes KMS.</t>
  </si>
  <si>
    <t>KMS5</t>
  </si>
  <si>
    <t>Discuss and implement KMS key rotation for regulatory compliance or other specific cases.</t>
  </si>
  <si>
    <t>Customers may need to rotate keys due to regulatory requirements, or they may have custom situations that require key rotation. Otherwise, AWS docs suggest that key rotation offers little benefit and do not recommend its implementation as a default protective control. See: https://docs.aws.amazon.com/kms/latest/developerguide/rotate-keys.html</t>
  </si>
  <si>
    <t>KMS7</t>
  </si>
  <si>
    <t>Configure, monitor, and alert on KMS events according to lifecycle policies.</t>
  </si>
  <si>
    <t xml:space="preserve">KMS generates EventBridge events, it is recommended to route these events to target functions so they can be monitored properly. KMS also reports to Security Hub and it can be beneficial to monitor the KMS state and its compliance with various security frameworks if it meets customer's needs. </t>
  </si>
  <si>
    <t>PS1</t>
  </si>
  <si>
    <t>Use AWS SSM Parameter Store SecureString parameters for sensitive configuration data and not passwords.</t>
  </si>
  <si>
    <t>AWS SSM should be used for configuration data. AWS Secrets Manager should be used for credentials, API keys, and certificates.</t>
  </si>
  <si>
    <t>PS2</t>
  </si>
  <si>
    <t>Restrict access to AWS SSM parameters according to least-privilege.</t>
  </si>
  <si>
    <t>Access to Systems Manager parameters should be limited to only those parameters needed for the solution.</t>
  </si>
  <si>
    <t>O1</t>
  </si>
  <si>
    <t>Enable AWS Organizations service access according to least-privilege.</t>
  </si>
  <si>
    <t>When a Management Account has enabled service access for your service, your service will be able to 1) gather information about the Organization (membership, structure, etc), 2) create service-linked IAM roles on the members of the Organization, 3) receive notifications about the status of the Organization. If configured incorrectly, an account could allow another service to access their organization hierarchy, membership, and OU structure.</t>
  </si>
  <si>
    <t>O2</t>
  </si>
  <si>
    <t>Restrict admin privileges in an AWS Organizations management account to users in member accounts only by granting a user permission to temporarily assume an IAM role in the management account.</t>
  </si>
  <si>
    <t>Admin privileges should be temporary and auditable. If a user in a member account needs to perform admin operations in the Organization management account, grant the AWS Organizations admin permissions to an IAM role in the management account and enable the user in the member account to assume the role.</t>
  </si>
  <si>
    <t>O3</t>
  </si>
  <si>
    <t>Discuss and implement EventBridge rules to alert on exceptional resource usage and metrics.</t>
  </si>
  <si>
    <t>Due to its multi-account architecture, AWS Organizations can be monitored best through EventBridge. See https://docs.aws.amazon.com/organizations/latest/userguide/orgs_tutorials_cwe.html</t>
  </si>
  <si>
    <t>O4</t>
  </si>
  <si>
    <t>Ensure that all AWS Organizations API requests are signed with either an AWS STS key or an IAM secret access key.</t>
  </si>
  <si>
    <t>Use SigV4 when possible. See https://docs.aws.amazon.com/organizations/latest/APIReference/Welcome.html</t>
  </si>
  <si>
    <t>RAM3</t>
  </si>
  <si>
    <t>Periodically review permissions offered by AWS RAM. Enable or disable permissions according to lifecycle policies.</t>
  </si>
  <si>
    <t>Someone should own and monitor all access shared via AWS RAM. See https://docs.aws.amazon.com/ram/latest/userguide/security-disable-sharing-with-orgs.html</t>
  </si>
  <si>
    <t>ASC2</t>
  </si>
  <si>
    <t>Discuss and choose the authorization method for the AWS AppSync GraphQL API and attend to the pros and cons of each method.</t>
  </si>
  <si>
    <t>AWS AppSync GraphQL APIs are securable via numerous authorization methods. Decide which method is best for this project. See https://docs.aws.amazon.com/appsync/latest/devguide/security-authz.html</t>
  </si>
  <si>
    <t>ASC4</t>
  </si>
  <si>
    <t>Ensure that any AppSync API authorization strategy using AWS_LAMBDA authorization includes a discussion on the inability to use SigV4 signatures or OpenID Connect (OIDC) tokens as authorization tokens.</t>
  </si>
  <si>
    <t>ASC5</t>
  </si>
  <si>
    <t>All AppSync API keys should be managed via secrets manager. No hardcoded credentials.</t>
  </si>
  <si>
    <t>API keys in Secrets Manager prevent credential exposure and enables secure rotation practices, reducing the risk of unauthorized API access through compromised keys.</t>
  </si>
  <si>
    <t>ASC6</t>
  </si>
  <si>
    <t>Consider using other authorization modes like AWS_IAM, Amazon Cognito User Pools, or OpenID Connect instead of API Keys. API keys have more security overhead of key management and can be less secure compared to other options listed.</t>
  </si>
  <si>
    <t>Alternative authorization modes provide stronger authentication mechanisms with built-in security features, reducing the overhead and risks associated with API key management.</t>
  </si>
  <si>
    <t>ASC7</t>
  </si>
  <si>
    <t>Separate public vs. private access with separate authentication keys or mixed authentication. Restrict authorization by leveraging tightly defined schemas.</t>
  </si>
  <si>
    <t>Separate authentication for public/private access creates clear security boundaries between different access patterns, limiting potential attack surface through proper schema restrictions.</t>
  </si>
  <si>
    <t>ASC8</t>
  </si>
  <si>
    <t>Use request validation, response filtering and rate limits.</t>
  </si>
  <si>
    <t>Request validation and rate limits protects against malformed requests, data leakage, and denial-of-service attacks by enforcing proper API usage patterns.</t>
  </si>
  <si>
    <t>L1</t>
  </si>
  <si>
    <t>Periodically update each AWS Lambda function runtime according to lifecycle policies.</t>
  </si>
  <si>
    <t>An owner should periodically check and update each Lambda runtime. Take note of long term support (LTS) versions, patches, and minor releases.</t>
  </si>
  <si>
    <t>L2</t>
  </si>
  <si>
    <t xml:space="preserve">Confirm that all third party libraries used in every AWS Lambda function include an approved license. </t>
  </si>
  <si>
    <t>The use of open-source or third party libraries/licenses must be approved by the appropriate policies.</t>
  </si>
  <si>
    <t>L3</t>
  </si>
  <si>
    <t>Log only non-sensitive data from AWS Lambda functions. Redact, mask, or tokenize sensitive data.</t>
  </si>
  <si>
    <t>CloudWatch Logs that contain sensitive information cannot be redacted later, only deleted. Ensure that sensitive information is never logged by Lambda logging and print() statements.</t>
  </si>
  <si>
    <t>L4</t>
  </si>
  <si>
    <t>Use AWS Secrets Manager Parameter Store for AWS Lambda function environmental variables.</t>
  </si>
  <si>
    <t>Sensitive data should be encrypted prior to storage in environmental variables or in Secrets Manager. When possible, environmental variables should store Secrets Manager parameters rather than secrets.</t>
  </si>
  <si>
    <t>L5</t>
  </si>
  <si>
    <t>Assign an owner to monitor and set alarms on AWS Lambda function metrics in Amazon CloudWatch.</t>
  </si>
  <si>
    <t>Use AWS Lambda Metrics and CloudWatch Alarms instead of creating or updating metrics from within your AWS Lambda function.</t>
  </si>
  <si>
    <t>L7</t>
  </si>
  <si>
    <t>Attach a unique IAM execution role to each AWS Lambda function.</t>
  </si>
  <si>
    <t>AWS Lambda functions should always have a 1:1 relationship to IAM execution roles. IAM execution roles should not be shared or reused among Lambda functions. When in doubt, create a new IAM role for each AWS Lambda function.</t>
  </si>
  <si>
    <t>L8</t>
  </si>
  <si>
    <t>Restrict AWS Lambda function IAM execution roles to least-privilege permissions.</t>
  </si>
  <si>
    <t>When assigning execution roles to AWS Lambda functions, follow the standard principle of least privilege, or granting only the permissions required to perform a task. Determine what the role needs to do and then craft policies that allow it to execute only those tasks.</t>
  </si>
  <si>
    <t>L9</t>
  </si>
  <si>
    <t>Discuss and implement an on-failure destination for asynchronous AWS Lambda invocations. Alert on failures and/or redrive queues automatically when failures occur.</t>
  </si>
  <si>
    <t>For Lambda functions that take a long time to process, a dead-letter queue can be useful as an on-failure destination. See https://docs.aws.amazon.com/lambda/latest/dg/invocation-async.html#invocation-async-destinations</t>
  </si>
  <si>
    <t>L10</t>
  </si>
  <si>
    <t>Periodically scan and update all dependencies in AWS Lambda Layers according to lifecycle policies.</t>
  </si>
  <si>
    <t>Someone should own and maintain Lambda dependencies. See https://docs.aws.amazon.com/lambda/latest/dg/packaging-layers.html</t>
  </si>
  <si>
    <t>L11</t>
  </si>
  <si>
    <t>Periodically scan all AWS Lambda container images for vulnerabilities according to lifecycle policies.</t>
  </si>
  <si>
    <t>Someone should own and maintain Lambda container images. See https://docs.aws.amazon.com/lambda/latest/dg/images-create.html</t>
  </si>
  <si>
    <t>L12</t>
  </si>
  <si>
    <t>Store all AWS Lambda container images in a secure repository.</t>
  </si>
  <si>
    <t>See https://docs.aws.amazon.com/lambda/latest/dg/images-create.html</t>
  </si>
  <si>
    <t>SF2</t>
  </si>
  <si>
    <t>Enable AWS X-Ray if there are service integrations in the Step Function that support tracing (e.g., API Gateway).</t>
  </si>
  <si>
    <t>To enable tracing, AWS X-ray should be enabled in upstream services (where applicable) that integrate with AWS Lambda functions. See https://docs.aws.amazon.com/step-functions/latest/dg/concepts-xray-tracing.html</t>
  </si>
  <si>
    <t>EVB3</t>
  </si>
  <si>
    <t>Restrict EventBus resource policies to known IAM Principals/AWS Accounts for cross-account access.</t>
  </si>
  <si>
    <t>Allowing access to specific IAM Principals ensures adherence to the principle of least privilege. If a wildcard is necessary in the Principals clause of the statement, then an IAM Conditions clause must also be included to scope the access down to a given AWS Account, Organization, OU, etc.</t>
  </si>
  <si>
    <t>EVB4</t>
  </si>
  <si>
    <t>Specify an appropriate, non-infinite retention period for archived EventBridge events.</t>
  </si>
  <si>
    <t>Events should not be kept in the archive for longer than necessary. A finite period must be specified.</t>
  </si>
  <si>
    <t>SNS1</t>
  </si>
  <si>
    <t>Restrict SNS topic resource policies to known IAM Principals/AWS Accounts when cross-account access is required.</t>
  </si>
  <si>
    <t>Allowing access to specific IAM Principals ensures adherence to the principle of least privilege. If a wildcard is necessary in the Principals clause of the statement, ensure an IAM Conditions clause is included to scope the access down to a given AWS Account, Organization, OU, etc.</t>
  </si>
  <si>
    <t>SNS4</t>
  </si>
  <si>
    <t xml:space="preserve">Consider implementing Message Data Protection on any SNS topic that handles sensitive or regulated data. </t>
  </si>
  <si>
    <t>This feature can help prevent the unnecessary transfer of sensitive data to applications or AWS services that do not have a business need to access this data. See https://docs.aws.amazon.com/sns/latest/dg/message-data-protection.html#why-use-message-data-protection</t>
  </si>
  <si>
    <t>SNS5</t>
  </si>
  <si>
    <t>Specify an owner to review SNS Application-to-Person (A2P) messaging targets periodically. Verify that all mobile numbers and email domains are accurate and current. Remove or replace outdated targets.</t>
  </si>
  <si>
    <t>SNS Application-to-Person (A2P) messaging includes SMS, push notifications, and email. See: https://docs.aws.amazon.com/sns/latest/dg/sns-mobile-phone-number-as-subscriber.html</t>
  </si>
  <si>
    <t>SNS6</t>
  </si>
  <si>
    <t>Specify an owner to evaluate SNS Application-to-Person (A2P) email integrations periodically. Verify that all email addresses are accurate and current. Remove or replace outdated email addresses and integrations.</t>
  </si>
  <si>
    <t>SNS email integrations should be accompanied by a lifecycle plan to deal with SNS email subscriptions for people who have left the business.</t>
  </si>
  <si>
    <t>SNS7</t>
  </si>
  <si>
    <t>Specify an owner to evaluate SNS topics configured as EventBridge targets periodically. Remove permissions from SNS topics no longer targeted by EventBridge.</t>
  </si>
  <si>
    <t>Deleted EventBridge rules may leave permissions on SNS topics. See https://docs.aws.amazon.com/eventbridge/latest/userguide/eb-troubleshooting.html#eb-sns-permissions-persist</t>
  </si>
  <si>
    <t>SQS1</t>
  </si>
  <si>
    <t>Restrict SQS policies and IAM policies to known IAM Principals/AWS Accounts when cross-account access is required.</t>
  </si>
  <si>
    <t>SQS permissions can be configured with both SQS policies and IAM policies. See https://docs.aws.amazon.com/AWSSimpleQueueService/latest/SQSDeveloperGuide/sqs-overview-of-managing-access.html</t>
  </si>
  <si>
    <t>SQS3</t>
  </si>
  <si>
    <t>Implement a dead-letter queue to isolate messages that cannot be processed by non-Lambda queue consumers.</t>
  </si>
  <si>
    <t>Dead-letter queues should be used to avoid a backlog of unprocessed messages in the SQS queue. See https://docs.aws.amazon.com/AWSSimpleQueueService/latest/SQSDeveloperGuide/sqs-dead-letter-queues.html#sqs-dead-letter-queues-benefits</t>
  </si>
  <si>
    <t>SQS5</t>
  </si>
  <si>
    <t>Specify an owner to monitor dead-letter queues. Alert on failures and/or redrive queues automatically when failures occur.</t>
  </si>
  <si>
    <t>SQS6</t>
  </si>
  <si>
    <t>Consider implementing Attribute Based Access Control (ABAC) to manage queue permissions at scale.</t>
  </si>
  <si>
    <t>Attribute Based Access Control (ABAC) should be governed by a documented tagging strategy. See https://docs.aws.amazon.com/AWSSimpleQueueService/latest/SQSDeveloperGuide/sqs-abac.html</t>
  </si>
  <si>
    <t>SQS7</t>
  </si>
  <si>
    <t>Separate SQS queue administration permissions from SQS queue usage permissions.</t>
  </si>
  <si>
    <t>An IAM principal that creates, updates, and deletes an SQS queue will typically not require the ability to publish to and receive messages from the queue. Enforce principles of least privilege by separating administrative actions from usage actions.</t>
  </si>
  <si>
    <t>SQS8</t>
  </si>
  <si>
    <t>Use VPC endpoints when resources cannot reach SQS API endpoints over internet routes.</t>
  </si>
  <si>
    <t>If a workload requires private network connectivity to and from the SQS service, ensure that the SQS queue resource policy denies SQS actions if the request is not sent via a prescribed VPC endpoint. See https://docs.aws.amazon.com/AWSSimpleQueueService/latest/SQSDeveloperGuide/sqs-creating-custom-policies-access-policy-examples.html#deny-not-from-vpc</t>
  </si>
  <si>
    <t>MS1</t>
  </si>
  <si>
    <t>Enable AWS Elemental MediaStore container access logging. Assign an owner to monitor logs and set alerts.</t>
  </si>
  <si>
    <t>AWS Elemental MediaStore access log collection is disabled by default. See https://docs.aws.amazon.com/mediastore/latest/ug/monitoring-cloudwatch-logs-enable.html</t>
  </si>
  <si>
    <t>MS5</t>
  </si>
  <si>
    <t>Log only non-sensitive data from AWS Elemental MediaStore. Redact, mask, or tokenize sensitive data.</t>
  </si>
  <si>
    <t>Logging sensitive data counts as a disclosure. For additional data protection practices, see https://docs.aws.amazon.com/mediastore/latest/ug/data-protection.html</t>
  </si>
  <si>
    <t>MS8</t>
  </si>
  <si>
    <t>Implement a Cross Origin Resource Sharing (CORS) in every AWS Elemental MediaStore service.</t>
  </si>
  <si>
    <t>CORS should be used to explicitly allow and/or restrict access. If CORS is not implemented, unintended web sites or clients may be able to access customer content. See https://docs.aws.amazon.com/mediastore/latest/ug/cors-policy.html</t>
  </si>
  <si>
    <t>MS10</t>
  </si>
  <si>
    <t>Discuss and implement object lifecycle policies for AWS Elemental MediaStore containers.</t>
  </si>
  <si>
    <t>For each container, you should create an object lifecycle policy that governs how long objects should be stored in the container. See https://docs.aws.amazon.com/mediastore/latest/ug/policies-object-lifecycle.html</t>
  </si>
  <si>
    <t>MS11</t>
  </si>
  <si>
    <t>Discuss any CloudFront quota increases needed before launching this product.</t>
  </si>
  <si>
    <t>AWS Elemental MediaStore content is served by CloudFront and subject to CloudFront quotas. See https://docs.aws.amazon.com/mediastore/latest/ug/quotas.html</t>
  </si>
  <si>
    <t>MS13</t>
  </si>
  <si>
    <t>Restrict AWS CloudFront access to an AWS Elemental MediaStore origin.</t>
  </si>
  <si>
    <t>Use either a CloudFront Origin Access Control (OAC) or a resource policy that grants use of shared secrets.  See: https://docs.aws.amazon.com/AmazonCloudFront/latest/DeveloperGuide/private-content-restricting-access-to-mediastore.html</t>
  </si>
  <si>
    <t>MS14</t>
  </si>
  <si>
    <t>Discuss and implement a deny-by-default container policy for secure data transport and cross-account acess.</t>
  </si>
  <si>
    <t>Do not leave containers vulnerable to unintended access. See https://docs.aws.amazon.com/mediastore/latest/ug/policies.html</t>
  </si>
  <si>
    <t>MS15</t>
  </si>
  <si>
    <t>Detect malicious activity and availability issues by implementing container metric policies and alerts. Assign an owner to monitor and act on metric alerts.</t>
  </si>
  <si>
    <t>Someone should keep an eye on MediaStore container performance and access. See https://docs.aws.amazon.com/mediastore/latest/ug/policies-metric.html</t>
  </si>
  <si>
    <t>MP3</t>
  </si>
  <si>
    <t>Restrict origin endpoints to either CDN authorization or IPv4 address ranges.</t>
  </si>
  <si>
    <t>MediaPackage endpoints should not be publicly available and should be locked down using CDN authorization (preferred) and/or via resticting source IP access. See https://docs.aws.amazon.com/mediapackage/latest/ug/endpoints-hls-access-control.html</t>
  </si>
  <si>
    <t>MP6</t>
  </si>
  <si>
    <t>If you need to use Digital Rights Management (DRM), discuss and choose a DRM provider and encrypt content on all AWS MediaPackage endpoints.</t>
  </si>
  <si>
    <t>To ensure robust rights management, DRM providers must use the AWS Secure Packager and Encoder Key Exchange (SPEKE) API. See https://docs.aws.amazon.com/mediapackage/latest/userguide/using-encryption.html</t>
  </si>
  <si>
    <t>MP7</t>
  </si>
  <si>
    <t>Implement a Key Rotation Interval of at least 300 seconds on origin endpoints.</t>
  </si>
  <si>
    <t>Rotating keys frequently reduces unintended MediaPackage resource usage. See https://docs.aws.amazon.com/mediapackage/latest/userguide/drm-content-key-rotation.html</t>
  </si>
  <si>
    <t>MP11</t>
  </si>
  <si>
    <t>Discuss and consider implementing SPEKE content key encryption via AWS ACM.</t>
  </si>
  <si>
    <t>This features guarantees full end-to-end encryption. See https://docs.aws.amazon.com/speke/latest/documentation/content-key-encryption-v2.html</t>
  </si>
  <si>
    <t>MP12</t>
  </si>
  <si>
    <t>Restrict AWS Elemental MediaPackage v1 harvest jobs to dedicated endpoints with origination disabled.</t>
  </si>
  <si>
    <t>Do not double up endpoints to serve harvest jobs as content origination endpoints. See https://docs.aws.amazon.com/mediapackage/latest/ug/harvest-jobs.html</t>
  </si>
  <si>
    <t>MX1</t>
  </si>
  <si>
    <t>Use VPC interfaces for sources and outputs.</t>
  </si>
  <si>
    <t>Video originating from private network (such as an AWS VPC or over AWS Direct Connect) should be kept on the private network by using a MediaConnect source VPC interface. See https://docs.aws.amazon.com/mediaconnect/latest/ug/vpc-endpoints.html</t>
  </si>
  <si>
    <t>MX5</t>
  </si>
  <si>
    <t>Grant, disable, and revoke entitlements on transport stream flows according to lifecycle policies.</t>
  </si>
  <si>
    <t>Periodically review entitlements to ensure accurate permissions and prevent unintended usage. See https://docs.aws.amazon.com/mediaconnect/latest/ug/entitlements.html</t>
  </si>
  <si>
    <t>MX7</t>
  </si>
  <si>
    <t>Discuss and implement an encryption option forAWS Elemental MediaConnect content.</t>
  </si>
  <si>
    <t>Note the pros and cons of each option. See https://docs.aws.amazon.com/mediaconnect/latest/ug/data-protection.html</t>
  </si>
  <si>
    <t>MX10</t>
  </si>
  <si>
    <t>Discuss and schedule flow maintenance windows.</t>
  </si>
  <si>
    <t>Maintenance windows can be scheduled to avoid business disruption. See https://docs.aws.amazon.com/mediaconnect/latest/ug/setting-flow-maintenance.html</t>
  </si>
  <si>
    <t>MX11</t>
  </si>
  <si>
    <t xml:space="preserve">Review quotas and implement adequate bandwidth for acceptable AWS Elemental MediaConnect performance. </t>
  </si>
  <si>
    <t>ML2</t>
  </si>
  <si>
    <t>Use specific IAM roles for AWS Elemental MediaLive services.</t>
  </si>
  <si>
    <t>AWS MediaLive services should always have a 1:1 relationship to IAM roles to ensure different users have the fewest privileges they need. IAM roles should not be shared or reused among MediaLive instantiations. When in doubt, create a new IAM role for each AWS MediaLive service.</t>
  </si>
  <si>
    <t>ML3</t>
  </si>
  <si>
    <t>Restrict access to AWS MediaLive input security groups by allowlisting specific ingress.</t>
  </si>
  <si>
    <t>Use an implicity-deny approach to MedaLive access. A lack of restrictions could lead to unintended access. See: https://docs.aws.amazon.com/medialive/latest/ug/working-with-input-security-groups.html</t>
  </si>
  <si>
    <t>ML4</t>
  </si>
  <si>
    <t>Include only non-sensitive information to AWS MediaLive output group Destination fields.</t>
  </si>
  <si>
    <t>Ensure that data is not leaked through field names. Examples of sensitive names include customer names, "dev" affixes, and words like "test," "temp," or other terms that might invite unintended investigation.</t>
  </si>
  <si>
    <t>ML5</t>
  </si>
  <si>
    <t>Store AWS Elemental MediaLive secrets in AWS Systems Manager Parameter Store.</t>
  </si>
  <si>
    <t>Passwords should be stored and trasmitted only through secure means. AWS MediaStore has a useful integration with AWS SSM parameter store. Use it instead of ad-hoc password storage. See https://docs.aws.amazon.com/medialive/latest/ug/requirements-for-link.html</t>
  </si>
  <si>
    <t>CB3</t>
  </si>
  <si>
    <t>Run CodeBuild containers without elevated privileges.</t>
  </si>
  <si>
    <t>Do not set the privilegedMode attribute to true in CodeBuild projects. CodeBuild containers should not need elevated privileges for most cases. Consider activating the Config Rule that checks and alerts on privileged CodeBuild projects. See: https://docs.aws.amazon.com/config/latest/developerguide/codebuild-project-environment-privileged-check.html</t>
  </si>
  <si>
    <t>CB5</t>
  </si>
  <si>
    <t>Consider using an AWS KMS Customer Managed Key (CMS) in CodeBuild projects.</t>
  </si>
  <si>
    <t>By default, CodeBuild uses the Amazon S3 service-managed key in the AWS account. Instead, consider using AWS KMS in combination with AWS Secrets Manager to store keys. See https://docs.aws.amazon.com/codebuild/latest/userguide/security-key-management.html</t>
  </si>
  <si>
    <t>CB6</t>
  </si>
  <si>
    <t>Discuss and implement lifecycle policies if using custom container images in CodeBuild.</t>
  </si>
  <si>
    <t>Use the default containers provided by CodeBuild when possible. If you use custom images, someone should own them and keep them updated. For default Docker images, see https://docs.aws.amazon.com/codebuild/latest/userguide/build-env-ref-available.html</t>
  </si>
  <si>
    <t>CB7</t>
  </si>
  <si>
    <t>Store custom images used in AWS CodeBuild in a secure registry.</t>
  </si>
  <si>
    <t>Using custom images instead of pre-configured environments can be very beneficial, but shift the responsibility for security to you and/or the customer.</t>
  </si>
  <si>
    <t>CB8</t>
  </si>
  <si>
    <t>Periodically scan custom images used in AWS CodeBuild for vulnerabilities. Save scan artifacts for reference.</t>
  </si>
  <si>
    <t>Someone should own and manage vulnerability scanning and act on exceptions.</t>
  </si>
  <si>
    <t>CB9</t>
  </si>
  <si>
    <t>Include s3:GetBucketAcl and s3:GetBucketLocation permissions in AWS CodeBuild IAM roles to verify S3 bucket ownership and trust in build pipelines.</t>
  </si>
  <si>
    <t>Secure access to S3 buckets is important to ensure confidentiality and integrity with CodeBuild. See https://docs.aws.amazon.com/codebuild/latest/userguide/auth-and-access-control-iam-access-control-identity-based.html#managing-access-resources</t>
  </si>
  <si>
    <t>CC1</t>
  </si>
  <si>
    <t>Confirm system doesn’t depend on itself to deploy (example hosting codecommit service code into codecommit repositories).</t>
  </si>
  <si>
    <t>Circular dependencies could lead to denial of service in the event of system failure.</t>
  </si>
  <si>
    <t>CD1</t>
  </si>
  <si>
    <t>Discuss and implement Amazon Cloudwatch alarms to alert on exceptional AWS CodeDeploy resource usage and metrics.</t>
  </si>
  <si>
    <t>Orchestrated response should be done in CloudWatch, not from CodeDeploy. See https://docs.aws.amazon.com/codedeploy/latest/userguide/incident-response.html</t>
  </si>
  <si>
    <t>CP1</t>
  </si>
  <si>
    <t>Discuss and implement a secure storage strategy in Amazon S3 for AWS CodePipeline artifacts.</t>
  </si>
  <si>
    <t>CodePipeline S3 keys can be managed by customers or AWS. See https://docs.aws.amazon.com/codepipeline/latest/userguide/S3-artifact-encryption.html</t>
  </si>
  <si>
    <t>CP2</t>
  </si>
  <si>
    <t>Use AWS Secrets Manager in AWS CodePipeline to rotate, manage, and retrieve credentials.</t>
  </si>
  <si>
    <t>Use AWS Secrets Manager for credentials, keys, and certificates. Use AWS SSM Parameter Store for configuration data. See https://docs.aws.amazon.com/codepipeline/latest/userguide/parameter-store-encryption.html</t>
  </si>
  <si>
    <t>CWh1</t>
  </si>
  <si>
    <t>Opt out of telemetry sharing in AWS CodeWhisperer.</t>
  </si>
  <si>
    <t>Do not share customer content from AWS CodeWhisperer back to AWS. AWS may store data about usage and content, so disable these features in your IDE to prevent accidental data disclosure. See https://docs.aws.amazon.com/codewhisperer/latest/userguide/sharing-data.html</t>
  </si>
  <si>
    <t>IoT1</t>
  </si>
  <si>
    <t>Manage IoT device visibility and alert on exceptions. Assign an owner to act on alerts.</t>
  </si>
  <si>
    <t xml:space="preserve">The visibility of the IoT devices needs to be managed. Are they managed by these?                                                                                    1. AWS IoT device registry  
2. AWS IoT Device Management Fleet hub  
3. Customer provided IoT device/asset management</t>
  </si>
  <si>
    <t>IoT2</t>
  </si>
  <si>
    <t>Periodically check the software integrity of IoT devices according to lifecycle policies.</t>
  </si>
  <si>
    <t xml:space="preserve">The software integrity of your IOT devices checked by these  methods:
1. Code reviews - Amazon CodeGuru
2. Store code securely - AWS CodeCommit
3. Access code securely - IAM
4. Deliver code securely - Code signing.</t>
  </si>
  <si>
    <t>IoT3</t>
  </si>
  <si>
    <t>Periodically scan IoT device software for vulnerabilities according to lifecycle policies.</t>
  </si>
  <si>
    <t xml:space="preserve">The IOT device software vulnerabilities need to be discovered by these:
1. Vulnerability management using tools like Coverity &amp; Snyk 
2. AWS Security bulletins 
3. Other means to detect software vulnerabilities using published CVE and CVSS</t>
  </si>
  <si>
    <t>IoT4</t>
  </si>
  <si>
    <t>Prevent malware from infecting IoT devices. Assign an owner to monitor malware scanning and remediation.</t>
  </si>
  <si>
    <t>IoT devices need protection from malware. Use apps that incorporate threat intelligence and scan for malware and viruses.</t>
  </si>
  <si>
    <t>IoT5</t>
  </si>
  <si>
    <t>Secure all data in transit among IoT Devices and cloud systems.</t>
  </si>
  <si>
    <t xml:space="preserve">Secure cloud connections need to be enforced to prevent malware from infecting your IoT devices:
1. Prohibit connections from IOT devices to unknown network endpoints.
2. Limit outbound connections and monitor using AWS IoT Device Defender.
3. Use Firewall on devices to limit inbound &amp; outbound connections.
4. Close inbound ports and use only port 443 for outbound traffic.
5. Prefer VPC endpoints when available.
6. Use TLS proxy when connecting to public cloud endpoints.
7. Discourage IoT Devices listening for any incoming connections.</t>
  </si>
  <si>
    <t>IoT6</t>
  </si>
  <si>
    <t>Periodically test IoT device and solution resilience according to lifecycle policies.</t>
  </si>
  <si>
    <t>A solution owner should schedule periodic penetration tests and comprehensive, end-to-end security reviews against a preselected industry standard.</t>
  </si>
  <si>
    <t>IoT7</t>
  </si>
  <si>
    <t>Secure all third party integrations with IoT devices.</t>
  </si>
  <si>
    <t xml:space="preserve">IOT devices must connect to 3rd party applications securely. To do so:
1. Use AWS Secrets Manager to manage credentials, API keys, and certificates used to access 3rd party applications.
2. Store all other configuration data in AWS Systems Manager Parameter Store.
2. Use only known IP addresses and TLS 1.2 for communication with 3rd party applications. 
3. Ensure that you are not hardcoding credentials to access 3rd party applications.</t>
  </si>
  <si>
    <t>IoT9</t>
  </si>
  <si>
    <t>Periodically review IoT devices and solutions to minimize attack surfaces and reduce vulnerabilities.</t>
  </si>
  <si>
    <t xml:space="preserve">To harden and minimize the attack surface of your IoT devices:
1. Limit the number of listening ports, ideally to zero.
2. Open ports for communication for non-infinite time periods. 
3. Close hardware debug ports.
4. Purge all unused components from the file system.
5. Use secure enclosures.
6. Change default credentials.
7. Create an allow-list for access, and deny other access by default.
8. Secure data on the device.
9. Have a mechanism for software updates and patching.
10. Have a mechanism for continous audit and monitoring including anomaly detection.
11. Have a mechanism to securely access the device for troubleshooting.
12. Secure the credentials on IoT devices in AWS Secrets Manager.</t>
  </si>
  <si>
    <t>IoT10</t>
  </si>
  <si>
    <t>Restrict unintended or unnecessary human interaction with IoT devices.</t>
  </si>
  <si>
    <t xml:space="preserve">Do your best. IoT environments vary in interactivity. Some points to consider:
1. CWE list of weaknesses in software and hardware (https://cwe.mitre.org/).
2. Some devices can be physically reset by a button press.
3. Some devices have a debug mode accessible through a standard port and protocol.
4. Some devices may need additional administrative or physical security controls (e.g., wearables, publicly accessible devices).</t>
  </si>
  <si>
    <t>IoT11</t>
  </si>
  <si>
    <t>Ensure that each IoT device has a unique identity.</t>
  </si>
  <si>
    <t>Every device must have a unique identifier to simplify development and auditing. Prefer the use of device-specific IoT certificates with private keys generated on-device, within a secure element in the device.</t>
  </si>
  <si>
    <t>IoT14</t>
  </si>
  <si>
    <t>Store all secrets in a secure element (e.g. trusted platform module (TPM)) on the IoT device when possible.</t>
  </si>
  <si>
    <t>A trusted platform module (TPM) stores secrets and supports the verification of hardware authenticity.  A TPM provides a) Root of Trust b) Secure boot c) Secure key storage and management.</t>
  </si>
  <si>
    <t>IoT15</t>
  </si>
  <si>
    <t>Enable secure boot on every IoT device when available.</t>
  </si>
  <si>
    <t>Use protected boot on the device.</t>
  </si>
  <si>
    <t>IoT16</t>
  </si>
  <si>
    <t>Block public access to IoT applications and implement authentication and authorization strategies.</t>
  </si>
  <si>
    <t>Use X.509 certificate authentication when available. Otherwise, use IAM and Cognito authentication. See https://docs.aws.amazon.com/iot/latest/developerguide/authentication.html</t>
  </si>
  <si>
    <t>IoT17</t>
  </si>
  <si>
    <t>Differentiate access to IoT applications from access to IoT infrastructure.</t>
  </si>
  <si>
    <t>Discuss and implement a user access control strategy to differentiate application access from hardware access. Not all users of IoT applications need access to IoT infrastructure. Duties should be segregated.</t>
  </si>
  <si>
    <t>IoT18</t>
  </si>
  <si>
    <t>Discuss and implement a logging strategy. Then enable and configure IoT logging.</t>
  </si>
  <si>
    <t>IoT logging is disabled by default. There should be good reasons to log specific information and people responsible for doing something with this information. See https://docs.aws.amazon.com/iot/latest/developerguide/configure-logging.html</t>
  </si>
  <si>
    <t>IoT19</t>
  </si>
  <si>
    <t>Monitor and set alarms on exceptional IoT resource usage. Assign an owner to act on alerts.</t>
  </si>
  <si>
    <t>Refer to the IoT monitoring guide: https://docs.aws.amazon.com/iot/latest/developerguide/monitoring_overview.html</t>
  </si>
  <si>
    <t>IoT20</t>
  </si>
  <si>
    <t>Consider using IoT Device Defender to audit an IoT device fleet.</t>
  </si>
  <si>
    <t>See https://docs.aws.amazon.com/iot-device-defender/latest/devguide/what-is-device-defender.html.</t>
  </si>
  <si>
    <t>IoT21</t>
  </si>
  <si>
    <t>Discuss and implement lifecycle policies for IoT devices from creation through retirement, including transfer and incident management.</t>
  </si>
  <si>
    <t>Be prepared for incident response involving individual devices or larger-scale events involving multiple devices or your cloud infrastructure. Maintain and regularly exercise a security incident response plan to test monitoring functionality.The entire lifecycle of an IoT device includes creation, provisioning, active use, deactivation, quarantine and incident response, transfer, and decommissioning and retirement. For automation, see https://docs.aws.amazon.com/iot/latest/developerguide/life-cycle-events.html</t>
  </si>
  <si>
    <t>IoT22</t>
  </si>
  <si>
    <t>Analyze hardware and software supply chain for the IoT device components (hardware and software) to understand how security issues are detected, reported, and will be addressed in IoT devices which are not yet retired (in any state other than decommissioned/retired).</t>
  </si>
  <si>
    <t>Analyze each software and hardware provider in the supply chain to understand how security issues are detected and reported, how often software or firmware updates are released, and what support options are available. This includes manitaining an SBOM, identifying and prioritizing vulnerabilities using CVE and CVSS.</t>
  </si>
  <si>
    <t>IoT23</t>
  </si>
  <si>
    <t>Ensure that IoT device certificates are managed for creation, installation, validation, revocation, and refresh/rotation.</t>
  </si>
  <si>
    <t>Properly managing IoT device certificates is crucial for maintaining the security and integrity of your IoT ecosystem. This process helps prevent unauthorized access, ensures secure communication between devices and servers, and allows for quick response to potential security breaches. Regular certificate management also facilitates compliance with industry standards and regulations, reduces the risk of service disruptions due to expired certificates, and enables seamless updates to cryptographic protocols as security requirements evolve</t>
  </si>
  <si>
    <t>IoT24</t>
  </si>
  <si>
    <t>Have you used certificate  revocation lists to manage compromised  or revoked certificates?</t>
  </si>
  <si>
    <t>Use certificate revocation lists to manage compromised or revoked  certificates.</t>
  </si>
  <si>
    <t>IoT25</t>
  </si>
  <si>
    <t>Classify data that is sent to, sent from, and stored on IoT devices.</t>
  </si>
  <si>
    <t>Incorporate existing organizational, jurisdictional, and other legal policies. Use data classification strategies to categorize data access based on levels of sensitivity. Identify regulated and otherwise sensitive data that needs additional protections.</t>
  </si>
  <si>
    <t>IoT26</t>
  </si>
  <si>
    <t>Restrict the information sent to, sent from, and stored on the device to only that which is necessary for operation.</t>
  </si>
  <si>
    <t>Consult the organization (or customer, as appropriate) policies and make sure you align to them.</t>
  </si>
  <si>
    <t>IoT27</t>
  </si>
  <si>
    <t>Define a backup and recovery plan for IoT devices and data.</t>
  </si>
  <si>
    <t>Use resiliency features at the edge to support data resiliency and backup needs. Use cloud services for backup and business continuity.</t>
  </si>
  <si>
    <t>IoT28</t>
  </si>
  <si>
    <t xml:space="preserve">Have you used data governance to preserve the confidentiality, integrity, and availability of IoT devices? </t>
  </si>
  <si>
    <t xml:space="preserve">Make sure you met any compliance requirements (e.g., PCI-DSS, HIPAA, intelectual property) and reguations related to data privacy, locality, confidentiality and governance. </t>
  </si>
  <si>
    <t>IoT29</t>
  </si>
  <si>
    <t>Ensure that IoT Sitewise data is signed and encrypted, including data in transit between SiteWise Edge gateways and sources.</t>
  </si>
  <si>
    <t>Based on data classification of data stored in AWS IoT Sitewise, an AWS managed or customer managed key in AWS KMS need to be configured. See https://docs.aws.amazon.com/iot-sitewise/latest/userguide/key-management.html</t>
  </si>
  <si>
    <t>IoT30</t>
  </si>
  <si>
    <t>Enable IoT Sitewise logging to AWS CloudWatch.</t>
  </si>
  <si>
    <t>IoT SiteWise logging is disabled by default. Assign an owner to monitor SiteWise logs and set alerts on exceptional resource usage. See https://docs.aws.amazon.com/iot-sitewise/latest/userguide/monitor-cloudwatch-logs.html</t>
  </si>
  <si>
    <t>IoT31</t>
  </si>
  <si>
    <t>Ensure that separate permissions/roles are assigned for service users, service administrators, IoT SiteWise Monitor administrators, and IAM adminstrators.</t>
  </si>
  <si>
    <t>Discuss and implement a user access control strategy to separate duties and differentiate IoT users, SiteWise admins and users, and other stakeholders. See https://docs.aws.amazon.com/iot-sitewise/latest/userguide/security-iam.html</t>
  </si>
  <si>
    <t>IoT32</t>
  </si>
  <si>
    <t>Deploy IoT SiteWise in VPCs and restrict internet access when possible.</t>
  </si>
  <si>
    <t>AWS IoT services should be deployed in VPCs and accessible via AWS PrivateLink interface endpoints when possible. See https://docs.aws.amazon.com/iot-sitewise/latest/userguide/vpc-interface-endpoints.html</t>
  </si>
  <si>
    <t>Version</t>
  </si>
  <si>
    <t>Comments</t>
  </si>
  <si>
    <t>Author</t>
  </si>
  <si>
    <t>Date</t>
  </si>
  <si>
    <t>v1.0.0</t>
  </si>
  <si>
    <t>Initial release</t>
  </si>
  <si>
    <t>Unknown</t>
  </si>
  <si>
    <t>v1.0.1</t>
  </si>
  <si>
    <t>Added column "Show" to enable filtered view at review time</t>
  </si>
  <si>
    <t>Added version number at the top left corner</t>
  </si>
  <si>
    <t>Added question P1 for the document name</t>
  </si>
  <si>
    <t>Seperated services into grouped tabs</t>
  </si>
  <si>
    <t>v1.0.2</t>
  </si>
  <si>
    <t>Added Answer "Yes/No" column with formula</t>
  </si>
  <si>
    <t>v1.0.3</t>
  </si>
  <si>
    <t>Fixed broken formulas, re-worded questions that were ambiguous</t>
  </si>
  <si>
    <t>v1.0.4</t>
  </si>
  <si>
    <t>Added new services: Kinesis Data Stream, Kinesis Data Analytics, and Forecast</t>
  </si>
  <si>
    <t>v1.0.5</t>
  </si>
  <si>
    <t>Added new questions to S3, SNS, SQS (as per ) and fixed some typos.</t>
  </si>
  <si>
    <t>v1.0.6</t>
  </si>
  <si>
    <t>Clarified question that ask about services not included in the General Tab, improved readability of question IAM4</t>
  </si>
  <si>
    <t>10/26/2020</t>
  </si>
  <si>
    <t>v1.0.7</t>
  </si>
  <si>
    <t xml:space="preserve">Added approved MSK questions to the Analytics tab, SIM Issue: </t>
  </si>
  <si>
    <t>12/1/2020</t>
  </si>
  <si>
    <t>v1.0.8</t>
  </si>
  <si>
    <t>Fixed wording for MSK7</t>
  </si>
  <si>
    <t>12/4/2020</t>
  </si>
  <si>
    <t>v1.0.9</t>
  </si>
  <si>
    <t>EKS1 &amp; S4 reworded for clarity</t>
  </si>
  <si>
    <t>12/18/2020</t>
  </si>
  <si>
    <t>v.1.10</t>
  </si>
  <si>
    <t xml:space="preserve">Amazon Lex Service added as per </t>
  </si>
  <si>
    <t>1/28/2021</t>
  </si>
  <si>
    <t>v1.11</t>
  </si>
  <si>
    <t>Added MediaStore and MediaLive Services  Added link to process for requesting changes to the Security Matrix</t>
  </si>
  <si>
    <t>2/23/2021</t>
  </si>
  <si>
    <t>v1.12</t>
  </si>
  <si>
    <t xml:space="preserve">Added services: Kinesis Data Firehose, QuickSight, CloudWatch, CodeBuild, CodeDeploy, CodePipeline, Transit Gateway, Network Firewall as per </t>
  </si>
  <si>
    <t>3/29/2021</t>
  </si>
  <si>
    <t>v1.13</t>
  </si>
  <si>
    <t xml:space="preserve">Added Services: Step Functions, Parameter Store, and Systems Manager document as per </t>
  </si>
  <si>
    <t>3/31/2021</t>
  </si>
  <si>
    <t>v1.14</t>
  </si>
  <si>
    <t>Corrected minor issues related to  added new tab for Systems Manager document</t>
  </si>
  <si>
    <t>4/2/2021</t>
  </si>
  <si>
    <t>v1.15</t>
  </si>
  <si>
    <t xml:space="preserve">Added Cloud 9 service as per: </t>
  </si>
  <si>
    <t>5/4/2021</t>
  </si>
  <si>
    <t>v1.16</t>
  </si>
  <si>
    <t>Added Amazon Personalize and Translate as per:</t>
  </si>
  <si>
    <t>5/11/2021</t>
  </si>
  <si>
    <t>v1.17</t>
  </si>
  <si>
    <t>Added an Instructions tab, added a formula to automatically flags questions that are fully covered by cfn_nag security checks as per request  changed the Risk column to include the options "Mitigated" and "Not Mitigated" which will be used to report the findings in the Summary tab.</t>
  </si>
  <si>
    <t>6/8/2021</t>
  </si>
  <si>
    <t>v.1.18</t>
  </si>
  <si>
    <t xml:space="preserve">Added Rekognition as per </t>
  </si>
  <si>
    <t>7/12/2021</t>
  </si>
  <si>
    <t>v.1.19</t>
  </si>
  <si>
    <t xml:space="preserve">Modified MSK service as per </t>
  </si>
  <si>
    <t>7/26/2021</t>
  </si>
  <si>
    <t>v.1.20</t>
  </si>
  <si>
    <t xml:space="preserve">Update to the System Manager Document service as per </t>
  </si>
  <si>
    <t>9/15/2021</t>
  </si>
  <si>
    <t>v.1.21</t>
  </si>
  <si>
    <t xml:space="preserve">Added service Amazon Timestream as per </t>
  </si>
  <si>
    <t>9/20/2021</t>
  </si>
  <si>
    <t>v.1.22</t>
  </si>
  <si>
    <t xml:space="preserve">Fixed duplicate for control S10 as per </t>
  </si>
  <si>
    <t>12/27/2021</t>
  </si>
  <si>
    <t>v.1.23</t>
  </si>
  <si>
    <t xml:space="preserve">Added metrics to track rules implemented on cdk-nag </t>
  </si>
  <si>
    <t>1/26/2022</t>
  </si>
  <si>
    <t>v.1.24</t>
  </si>
  <si>
    <t>Changed the Cloud9 Rule IDs for CL9-1 to C91 C92 CP3 to make it easy to align with CDK-NAG rules. COG-4 was removed as it is covered by APG-4. VPC-6 was removed as it not longer an applicable question. APG-4 was broken in two (authorization and authentication), adding APG-7. TS-1, TS-2, and DDB-1 were retired as encyption is automatically enable by the service and this cannot be disable. ASC-1 was retired as unauthenticated access to the API is not allow by default. The language on CFR-4 and CFR-5 was improved.</t>
  </si>
  <si>
    <t>3/10/2022</t>
  </si>
  <si>
    <t>v.1.25</t>
  </si>
  <si>
    <t>Fixed formula issues in network and delivery tab. Renamed ElasticSearch to OpenSearch and changed the control/rule ID from ESH to OS to align with CDK_NAG ruleIDs. Added new controls for: AWS Organizations, AWS Security Token Service, AWS Resource Access Manager</t>
  </si>
  <si>
    <t>v1.26</t>
  </si>
  <si>
    <t>Fixed the cdk_nag coverage typo in column E for every tab where it says covered by cfn_nag.</t>
  </si>
  <si>
    <t>3/15/2022</t>
  </si>
  <si>
    <t>v.1.27</t>
  </si>
  <si>
    <t>Security controls CB1/CB2 (encryption in transit and at rest) were retired as this are covered default by the service.</t>
  </si>
  <si>
    <t>4/4/2022</t>
  </si>
  <si>
    <t>v. 1.28</t>
  </si>
  <si>
    <t>The entire Security Matrix was reviewed for technical and grammatical accuracy. Also, the FSxN service.</t>
  </si>
  <si>
    <t>8/24/2022</t>
  </si>
  <si>
    <t>v. 1.29</t>
  </si>
  <si>
    <t>Adding ID column in XIII Developer Tools Sheet.</t>
  </si>
  <si>
    <t>9/12/2022</t>
  </si>
  <si>
    <t>v. 1.30</t>
  </si>
  <si>
    <t>Added 25 additional controls for EKS.</t>
  </si>
  <si>
    <t>9/14/2022</t>
  </si>
  <si>
    <t>v. 1.31</t>
  </si>
  <si>
    <t>Various controls from the General Tab were removed and/or reviewed, based on feedback received.</t>
  </si>
  <si>
    <t>10/11/2022</t>
  </si>
  <si>
    <t>v. 1.32</t>
  </si>
  <si>
    <t>Changes in this version: 1) New code scanning tab have been added with the goal of making the Security Matrix code scanning centric 2) Various security controls in the General Tab were removed based on feedback received as they were not relevant to security and causing confusion 3) Internal links/references have been removed from the Security Matrix to make it partner friendly.</t>
  </si>
  <si>
    <t>11/1/2022</t>
  </si>
  <si>
    <t>v. 1.33</t>
  </si>
  <si>
    <t>Updated intructions tab, fixed link to "XII. Media Services", and listed all the services under the "Summary Tab" by default. Also, formulas on IV. Databases, VI. Mgmnt &amp; Governance, VII. Analytics were fixed.</t>
  </si>
  <si>
    <t>11/8/2022</t>
  </si>
  <si>
    <t>v. 1.34</t>
  </si>
  <si>
    <t>Added ASH External Link for Partner use</t>
  </si>
  <si>
    <t>12/9/2022</t>
  </si>
  <si>
    <t>v. 1.35</t>
  </si>
  <si>
    <t>Removed control C92.</t>
  </si>
  <si>
    <t>1/9/2023</t>
  </si>
  <si>
    <t>v. 1.36</t>
  </si>
  <si>
    <t>Multiple updates to the summary tab; fixed some calculations; renamed IoT to XIV rather than XIX.</t>
  </si>
  <si>
    <t>1/23/2023</t>
  </si>
  <si>
    <t>v. 1.37</t>
  </si>
  <si>
    <t>Added guidance for scanning open source licenses on python and javascripts projects. Usage of romans numbers removed, unique prefix added for SageMaker, clarified reason on IAM.</t>
  </si>
  <si>
    <t>1/25/2023</t>
  </si>
  <si>
    <t>v. 1.38</t>
  </si>
  <si>
    <t>Added java specific guidance for scanning open source licenses</t>
  </si>
  <si>
    <t>2/1/2023</t>
  </si>
  <si>
    <t>v. 1.39</t>
  </si>
  <si>
    <t>TG-1 has been removed as now Transit Gateway supports Intra-Region peering. A security control that ask about making API endpoints publicly accessible only when absolutely necessary has been added (APIG9). Corrected formulas and name for Rekognition mispelled as Recognition. Added clarification on SC1 as it is only applicable to the SA Solutions Builder Team. Default values for IAM-6 added. Fixed formulas for AppSync. Updated reasoning for GL-1. Updated reasoning for L7. SC-8 has been retired.</t>
  </si>
  <si>
    <t>2/7/2023</t>
  </si>
  <si>
    <t>v. 1.40</t>
  </si>
  <si>
    <t>SC-12 and SF-2 both have been removed as the use of X-ray is not a relevant control for security</t>
  </si>
  <si>
    <t>3/17/2023</t>
  </si>
  <si>
    <t>5910daf</t>
  </si>
  <si>
    <t>Auto-Generated by NeoLifter. Click here for commit logs.</t>
  </si>
  <si>
    <t>neo-lifter</t>
  </si>
  <si>
    <t>2025-05-22 10:04:50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</si>
</sst>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sz val="12"/>
    </font>
    <font>
      <b/>
    </font>
    <font>
      <b/>
      <sz val="12"/>
    </font>
    <font>
      <u/>
      <color rgb="FF0000BB"/>
      <sz val="12"/>
    </font>
  </fonts>
  <fills count="30">
    <fill>
      <patternFill patternType="none"/>
    </fill>
    <fill>
      <patternFill patternType="gray125"/>
    </fill>
    <fill>
      <patternFill patternType="solid">
        <fgColor rgb="FF999999"/>
      </patternFill>
    </fill>
    <fill>
      <patternFill patternType="solid">
        <fgColor rgb="FFFCD5B4"/>
      </patternFill>
    </fill>
    <fill>
      <patternFill patternType="solid">
        <fgColor rgb="FFDDDDDD"/>
      </patternFill>
    </fill>
    <fill>
      <patternFill patternType="solid">
        <fgColor rgb="FFE26B0A"/>
      </patternFill>
    </fill>
    <fill>
      <patternFill patternType="solid">
        <fgColor rgb="FF9BBB59"/>
      </patternFill>
    </fill>
    <fill>
      <patternFill patternType="solid">
        <fgColor rgb="FFFFC000"/>
      </patternFill>
    </fill>
    <fill>
      <patternFill patternType="solid">
        <fgColor rgb="FFD1C4E9"/>
      </patternFill>
    </fill>
    <fill>
      <patternFill patternType="solid">
        <fgColor rgb="FFB3E5FC"/>
      </patternFill>
    </fill>
    <fill>
      <patternFill patternType="solid">
        <fgColor rgb="FFFFCDD2"/>
      </patternFill>
    </fill>
    <fill>
      <patternFill patternType="solid">
        <fgColor rgb="FFF79646"/>
      </patternFill>
    </fill>
    <fill>
      <patternFill patternType="solid">
        <fgColor rgb="FFFABF8F"/>
      </patternFill>
    </fill>
    <fill>
      <patternFill patternType="solid">
        <fgColor rgb="FFC4D79B"/>
      </patternFill>
    </fill>
    <fill>
      <patternFill patternType="solid">
        <fgColor rgb="FF4F81BD"/>
      </patternFill>
    </fill>
    <fill>
      <patternFill patternType="solid">
        <fgColor rgb="FF8DB4E2"/>
      </patternFill>
    </fill>
    <fill>
      <patternFill patternType="solid">
        <fgColor rgb="FF604B79"/>
      </patternFill>
    </fill>
    <fill>
      <patternFill patternType="solid">
        <fgColor rgb="FFB1A0C7"/>
      </patternFill>
    </fill>
    <fill>
      <patternFill patternType="solid">
        <fgColor rgb="FFFF2F92"/>
      </patternFill>
    </fill>
    <fill>
      <patternFill patternType="solid">
        <fgColor rgb="FFFF6FB3"/>
      </patternFill>
    </fill>
    <fill>
      <patternFill patternType="solid">
        <fgColor rgb="FF009193"/>
      </patternFill>
    </fill>
    <fill>
      <patternFill patternType="solid">
        <fgColor rgb="FF00CDD1"/>
      </patternFill>
    </fill>
    <fill>
      <patternFill patternType="solid">
        <fgColor rgb="FF60497A"/>
      </patternFill>
    </fill>
    <fill>
      <patternFill patternType="solid">
        <fgColor rgb="FF9A77C4"/>
      </patternFill>
    </fill>
    <fill>
      <patternFill patternType="solid">
        <fgColor rgb="FFFF0204"/>
      </patternFill>
    </fill>
    <fill>
      <patternFill patternType="solid">
        <fgColor rgb="FFE30204"/>
      </patternFill>
    </fill>
    <fill>
      <patternFill patternType="solid">
        <fgColor rgb="FFF86CAE"/>
      </patternFill>
    </fill>
    <fill>
      <patternFill patternType="solid">
        <fgColor rgb="FFB6DC6A"/>
      </patternFill>
    </fill>
    <fill>
      <patternFill patternType="solid">
        <fgColor rgb="FFC3D69B"/>
      </patternFill>
    </fill>
    <fill>
      <patternFill patternType="solid">
        <fgColor rgb="FFDFEAC8"/>
      </patternFill>
    </fill>
  </fills>
  <borders count="1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s>
  <cellStyleXfs count="1">
    <xf numFmtId="0" fontId="0" fillId="0" borderId="0"/>
  </cellStyleXfs>
  <cellXfs count="104">
    <xf numFmtId="0" fontId="0" fillId="0" borderId="0" xfId="0"/>
    <xf numFmtId="0" fontId="1" fillId="0" borderId="0" xfId="0" applyFont="1" applyAlignment="1">
      <alignment vertical="top" wrapText="1"/>
    </xf>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1" xfId="0" applyBorder="1"/>
    <xf numFmtId="0" fontId="0" fillId="0" borderId="2" xfId="0" applyBorder="1" applyAlignment="1">
      <alignment horizontal="left"/>
    </xf>
    <xf numFmtId="0" fontId="0" fillId="0" borderId="2" xfId="0" applyBorder="1"/>
    <xf numFmtId="0" fontId="0" fillId="0" borderId="3" xfId="0" applyBorder="1"/>
    <xf numFmtId="0" fontId="0" fillId="0" borderId="4" xfId="0" applyBorder="1"/>
    <xf numFmtId="0" fontId="1" fillId="0" borderId="0" xfId="0" applyFont="1" applyAlignment="1">
      <alignment horizontal="left"/>
    </xf>
    <xf numFmtId="0" fontId="1" fillId="0" borderId="5" xfId="0" applyFont="1" applyBorder="1"/>
    <xf numFmtId="0" fontId="0" fillId="0" borderId="6" xfId="0" applyBorder="1"/>
    <xf numFmtId="0" fontId="2" fillId="0" borderId="0" xfId="0" applyFont="1" applyAlignment="1">
      <alignment horizontal="center"/>
    </xf>
    <xf numFmtId="0" fontId="3" fillId="2" borderId="0" xfId="0" applyFont="1" applyFill="1" applyAlignment="1">
      <alignment horizontal="center"/>
    </xf>
    <xf numFmtId="0" fontId="3" fillId="0" borderId="4" xfId="0" applyFont="1" applyBorder="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6" xfId="0" applyFont="1" applyBorder="1" applyAlignment="1">
      <alignment horizontal="center"/>
    </xf>
    <xf numFmtId="0" fontId="2"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xf>
    <xf numFmtId="0" fontId="1" fillId="0" borderId="4" xfId="0" applyFont="1" applyBorder="1" applyAlignment="1">
      <alignment horizontal="center"/>
    </xf>
    <xf numFmtId="0" fontId="4" fillId="0" borderId="0" xfId="0" applyFont="1" applyAlignment="1">
      <alignment horizontal="left"/>
    </xf>
    <xf numFmtId="0" fontId="1" fillId="0" borderId="0" xfId="0" applyFont="1" applyAlignment="1">
      <alignment horizontal="center"/>
    </xf>
    <xf numFmtId="0" fontId="1" fillId="0" borderId="6" xfId="0" applyFont="1" applyBorder="1" applyAlignment="1">
      <alignment horizontal="center"/>
    </xf>
    <xf numFmtId="0" fontId="0" fillId="2" borderId="0" xfId="0" applyFill="1" applyAlignment="1">
      <alignment horizontal="center"/>
    </xf>
    <xf numFmtId="10" fontId="1" fillId="0" borderId="4" xfId="0" applyNumberFormat="1" applyFont="1" applyBorder="1" applyAlignment="1">
      <alignment horizontal="center"/>
    </xf>
    <xf numFmtId="10" fontId="1" fillId="0" borderId="6" xfId="0" applyNumberFormat="1" applyFont="1" applyBorder="1" applyAlignment="1">
      <alignment horizontal="center"/>
    </xf>
    <xf numFmtId="0" fontId="3" fillId="0" borderId="7" xfId="0" applyFont="1" applyBorder="1" applyAlignment="1">
      <alignment horizontal="left"/>
    </xf>
    <xf numFmtId="0" fontId="3" fillId="0" borderId="7" xfId="0" applyFont="1" applyBorder="1" applyAlignment="1">
      <alignment horizontal="center"/>
    </xf>
    <xf numFmtId="10" fontId="3" fillId="0" borderId="7" xfId="0" applyNumberFormat="1" applyFont="1" applyBorder="1" applyAlignment="1">
      <alignment horizontal="center"/>
    </xf>
    <xf numFmtId="10" fontId="3" fillId="0" borderId="8" xfId="0" applyNumberFormat="1" applyFont="1" applyBorder="1" applyAlignment="1">
      <alignment horizontal="center"/>
    </xf>
    <xf numFmtId="0" fontId="0" fillId="0" borderId="9" xfId="0" applyBorder="1"/>
    <xf numFmtId="0" fontId="0" fillId="0" borderId="10" xfId="0" applyBorder="1" applyAlignment="1">
      <alignment horizontal="left"/>
    </xf>
    <xf numFmtId="0" fontId="0" fillId="0" borderId="10" xfId="0" applyBorder="1"/>
    <xf numFmtId="0" fontId="0" fillId="0" borderId="11" xfId="0" applyBorder="1"/>
    <xf numFmtId="0" fontId="3" fillId="3" borderId="0" xfId="0" applyFont="1" applyFill="1"/>
    <xf numFmtId="0" fontId="1" fillId="0" borderId="0" xfId="0" applyFont="1"/>
    <xf numFmtId="0" fontId="4" fillId="4" borderId="0" xfId="0" applyFont="1" applyFill="1"/>
    <xf numFmtId="0" fontId="1" fillId="4" borderId="0" xfId="0" applyFont="1" applyFill="1"/>
    <xf numFmtId="0" fontId="0" fillId="0" borderId="0" xfId="0" applyAlignment="1">
      <alignment horizontal="center" vertical="center" wrapText="1"/>
    </xf>
    <xf numFmtId="0" fontId="1" fillId="0" borderId="0" xfId="0" applyFont="1" applyAlignment="1">
      <alignment horizontal="center" vertical="center" wrapText="1"/>
    </xf>
    <xf numFmtId="0" fontId="1" fillId="4"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center" wrapText="1"/>
    </xf>
    <xf numFmtId="0" fontId="2" fillId="2" borderId="0" xfId="0" applyFont="1" applyFill="1"/>
    <xf numFmtId="0" fontId="3" fillId="2" borderId="0" xfId="0" applyFont="1" applyFill="1"/>
    <xf numFmtId="0" fontId="0" fillId="0" borderId="0" xfId="0" applyAlignment="1">
      <alignment wrapText="1"/>
    </xf>
    <xf numFmtId="0" fontId="3" fillId="8" borderId="0" xfId="0" applyFont="1" applyFill="1" applyAlignment="1">
      <alignment wrapText="1"/>
    </xf>
    <xf numFmtId="0" fontId="1" fillId="8" borderId="0" xfId="0" applyFont="1" applyFill="1" applyAlignment="1">
      <alignment wrapText="1"/>
    </xf>
    <xf numFmtId="0" fontId="1" fillId="0" borderId="0" xfId="0" applyFont="1" applyAlignment="1">
      <alignment wrapText="1"/>
    </xf>
    <xf numFmtId="0" fontId="3" fillId="9" borderId="0" xfId="0" applyFont="1" applyFill="1" applyAlignment="1">
      <alignment wrapText="1"/>
    </xf>
    <xf numFmtId="0" fontId="1" fillId="9" borderId="0" xfId="0" applyFont="1" applyFill="1" applyAlignment="1">
      <alignment wrapText="1"/>
    </xf>
    <xf numFmtId="0" fontId="3" fillId="10" borderId="0" xfId="0" applyFont="1" applyFill="1" applyAlignment="1">
      <alignment wrapText="1"/>
    </xf>
    <xf numFmtId="0" fontId="1" fillId="10" borderId="0" xfId="0" applyFont="1" applyFill="1" applyAlignment="1">
      <alignment wrapText="1"/>
    </xf>
    <xf numFmtId="0" fontId="3" fillId="11" borderId="0" xfId="0" applyFont="1" applyFill="1" applyAlignment="1">
      <alignment wrapText="1"/>
    </xf>
    <xf numFmtId="0" fontId="1" fillId="11" borderId="0" xfId="0" applyFont="1" applyFill="1" applyAlignment="1">
      <alignment wrapText="1"/>
    </xf>
    <xf numFmtId="0" fontId="3" fillId="12" borderId="0" xfId="0" applyFont="1" applyFill="1" applyAlignment="1">
      <alignment wrapText="1"/>
    </xf>
    <xf numFmtId="0" fontId="1" fillId="12" borderId="0" xfId="0" applyFont="1" applyFill="1" applyAlignment="1">
      <alignment wrapText="1"/>
    </xf>
    <xf numFmtId="0" fontId="3" fillId="6" borderId="0" xfId="0" applyFont="1" applyFill="1" applyAlignment="1">
      <alignment wrapText="1"/>
    </xf>
    <xf numFmtId="0" fontId="1" fillId="6" borderId="0" xfId="0" applyFont="1" applyFill="1" applyAlignment="1">
      <alignment wrapText="1"/>
    </xf>
    <xf numFmtId="0" fontId="3" fillId="13" borderId="0" xfId="0" applyFont="1" applyFill="1" applyAlignment="1">
      <alignment wrapText="1"/>
    </xf>
    <xf numFmtId="0" fontId="1" fillId="13" borderId="0" xfId="0" applyFont="1" applyFill="1" applyAlignment="1">
      <alignment wrapText="1"/>
    </xf>
    <xf numFmtId="0" fontId="3" fillId="14" borderId="0" xfId="0" applyFont="1" applyFill="1" applyAlignment="1">
      <alignment wrapText="1"/>
    </xf>
    <xf numFmtId="0" fontId="1" fillId="14" borderId="0" xfId="0" applyFont="1" applyFill="1" applyAlignment="1">
      <alignment wrapText="1"/>
    </xf>
    <xf numFmtId="0" fontId="3" fillId="15" borderId="0" xfId="0" applyFont="1" applyFill="1" applyAlignment="1">
      <alignment wrapText="1"/>
    </xf>
    <xf numFmtId="0" fontId="1" fillId="15" borderId="0" xfId="0" applyFont="1" applyFill="1" applyAlignment="1">
      <alignment wrapText="1"/>
    </xf>
    <xf numFmtId="0" fontId="3" fillId="16" borderId="0" xfId="0" applyFont="1" applyFill="1" applyAlignment="1">
      <alignment wrapText="1"/>
    </xf>
    <xf numFmtId="0" fontId="1" fillId="16" borderId="0" xfId="0" applyFont="1" applyFill="1" applyAlignment="1">
      <alignment wrapText="1"/>
    </xf>
    <xf numFmtId="0" fontId="3" fillId="17" borderId="0" xfId="0" applyFont="1" applyFill="1" applyAlignment="1">
      <alignment wrapText="1"/>
    </xf>
    <xf numFmtId="0" fontId="1" fillId="17" borderId="0" xfId="0" applyFont="1" applyFill="1" applyAlignment="1">
      <alignment wrapText="1"/>
    </xf>
    <xf numFmtId="0" fontId="3" fillId="18" borderId="0" xfId="0" applyFont="1" applyFill="1" applyAlignment="1">
      <alignment wrapText="1"/>
    </xf>
    <xf numFmtId="0" fontId="1" fillId="18" borderId="0" xfId="0" applyFont="1" applyFill="1" applyAlignment="1">
      <alignment wrapText="1"/>
    </xf>
    <xf numFmtId="0" fontId="3" fillId="19" borderId="0" xfId="0" applyFont="1" applyFill="1" applyAlignment="1">
      <alignment wrapText="1"/>
    </xf>
    <xf numFmtId="0" fontId="1" fillId="19" borderId="0" xfId="0" applyFont="1" applyFill="1" applyAlignment="1">
      <alignment wrapText="1"/>
    </xf>
    <xf numFmtId="0" fontId="3" fillId="20" borderId="0" xfId="0" applyFont="1" applyFill="1" applyAlignment="1">
      <alignment wrapText="1"/>
    </xf>
    <xf numFmtId="0" fontId="1" fillId="20" borderId="0" xfId="0" applyFont="1" applyFill="1" applyAlignment="1">
      <alignment wrapText="1"/>
    </xf>
    <xf numFmtId="0" fontId="3" fillId="21" borderId="0" xfId="0" applyFont="1" applyFill="1" applyAlignment="1">
      <alignment wrapText="1"/>
    </xf>
    <xf numFmtId="0" fontId="1" fillId="21" borderId="0" xfId="0" applyFont="1" applyFill="1" applyAlignment="1">
      <alignment wrapText="1"/>
    </xf>
    <xf numFmtId="0" fontId="3" fillId="22" borderId="0" xfId="0" applyFont="1" applyFill="1" applyAlignment="1">
      <alignment wrapText="1"/>
    </xf>
    <xf numFmtId="0" fontId="1" fillId="22" borderId="0" xfId="0" applyFont="1" applyFill="1" applyAlignment="1">
      <alignment wrapText="1"/>
    </xf>
    <xf numFmtId="0" fontId="3" fillId="23" borderId="0" xfId="0" applyFont="1" applyFill="1" applyAlignment="1">
      <alignment wrapText="1"/>
    </xf>
    <xf numFmtId="0" fontId="1" fillId="23" borderId="0" xfId="0" applyFont="1" applyFill="1" applyAlignment="1">
      <alignment wrapText="1"/>
    </xf>
    <xf numFmtId="0" fontId="3" fillId="24" borderId="0" xfId="0" applyFont="1" applyFill="1" applyAlignment="1">
      <alignment wrapText="1"/>
    </xf>
    <xf numFmtId="0" fontId="1" fillId="24" borderId="0" xfId="0" applyFont="1" applyFill="1" applyAlignment="1">
      <alignment wrapText="1"/>
    </xf>
    <xf numFmtId="0" fontId="3" fillId="25" borderId="0" xfId="0" applyFont="1" applyFill="1" applyAlignment="1">
      <alignment wrapText="1"/>
    </xf>
    <xf numFmtId="0" fontId="1" fillId="25" borderId="0" xfId="0" applyFont="1" applyFill="1" applyAlignment="1">
      <alignment wrapText="1"/>
    </xf>
    <xf numFmtId="0" fontId="3" fillId="26" borderId="0" xfId="0" applyFont="1" applyFill="1" applyAlignment="1">
      <alignment wrapText="1"/>
    </xf>
    <xf numFmtId="0" fontId="1" fillId="26" borderId="0" xfId="0" applyFont="1" applyFill="1" applyAlignment="1">
      <alignment wrapText="1"/>
    </xf>
    <xf numFmtId="0" fontId="3" fillId="27" borderId="0" xfId="0" applyFont="1" applyFill="1" applyAlignment="1">
      <alignment wrapText="1"/>
    </xf>
    <xf numFmtId="0" fontId="1" fillId="27" borderId="0" xfId="0" applyFont="1" applyFill="1" applyAlignment="1">
      <alignment wrapText="1"/>
    </xf>
    <xf numFmtId="0" fontId="3" fillId="28" borderId="0" xfId="0" applyFont="1" applyFill="1" applyAlignment="1">
      <alignment wrapText="1"/>
    </xf>
    <xf numFmtId="0" fontId="1" fillId="28" borderId="0" xfId="0" applyFont="1" applyFill="1" applyAlignment="1">
      <alignment wrapText="1"/>
    </xf>
    <xf numFmtId="0" fontId="3" fillId="29" borderId="0" xfId="0" applyFont="1" applyFill="1" applyAlignment="1">
      <alignment wrapText="1"/>
    </xf>
    <xf numFmtId="0" fontId="1" fillId="29" borderId="0" xfId="0" applyFont="1" applyFill="1" applyAlignment="1">
      <alignment wrapText="1"/>
    </xf>
    <xf numFmtId="0" fontId="2" fillId="0" borderId="0" xfId="0" applyFont="1"/>
    <xf numFmtId="0" fontId="3" fillId="0" borderId="0" xfId="0" applyFont="1"/>
    <xf numFmtId="0" fontId="4" fillId="0" borderId="0" xfId="0" applyFont="1" applyAlignment="1">
      <alignment wrapText="1"/>
    </xf>
  </cellXfs>
  <cellStyles count="1">
    <cellStyle name="Normal" xfId="0" builtinId="0"/>
  </cellStyles>
  <dxfs count="2422">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b/>
        <i/>
        <color rgb="FF403151"/>
      </font>
      <fill>
        <patternFill patternType="solid">
          <bgColor rgb="FFCCC0DA"/>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hyperlink" Target="https://code.amazon.com/packages/NeoLifter/commits/5910daf2dce9b55a0c97a0be2ec69d020e37e6e5" TargetMode="External"/><Relationship Id="rId2" Type="http://schemas.openxmlformats.org/officeDocument/2006/relationships/hyperlink" Target="https://code.amazon.com/packages/NeoLifter/log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pos;List of Services&apos;!A1" TargetMode="External"/><Relationship Id="rId2" Type="http://schemas.openxmlformats.org/officeDocument/2006/relationships/hyperlink" Target="#&apos;I. General&apos;!A1" TargetMode="External"/><Relationship Id="rId3" Type="http://schemas.openxmlformats.org/officeDocument/2006/relationships/hyperlink" Target="#&apos;II. Compute&apos;!A1" TargetMode="External"/><Relationship Id="rId4" Type="http://schemas.openxmlformats.org/officeDocument/2006/relationships/hyperlink" Target="#&apos;III. Storage&apos;!A1" TargetMode="External"/><Relationship Id="rId5" Type="http://schemas.openxmlformats.org/officeDocument/2006/relationships/hyperlink" Target="#&apos;IV. Databases&apos;!A1" TargetMode="External"/><Relationship Id="rId6" Type="http://schemas.openxmlformats.org/officeDocument/2006/relationships/hyperlink" Target="#&apos;V. Network &amp; Delivery&apos;!A1" TargetMode="External"/><Relationship Id="rId7" Type="http://schemas.openxmlformats.org/officeDocument/2006/relationships/hyperlink" Target="#&apos;VI. Management &amp; Governance&apos;!A1" TargetMode="External"/><Relationship Id="rId8" Type="http://schemas.openxmlformats.org/officeDocument/2006/relationships/hyperlink" Target="#&apos;VII. Machine Learning&apos;!A1" TargetMode="External"/><Relationship Id="rId9" Type="http://schemas.openxmlformats.org/officeDocument/2006/relationships/hyperlink" Target="#&apos;VIII. Analytics&apos;!A1" TargetMode="External"/><Relationship Id="rId10" Type="http://schemas.openxmlformats.org/officeDocument/2006/relationships/hyperlink" Target="#&apos;IX. Security &amp; Compliance&apos;!A1" TargetMode="External"/><Relationship Id="rId11" Type="http://schemas.openxmlformats.org/officeDocument/2006/relationships/hyperlink" Target="#&apos;X. Serverless&apos;!A1" TargetMode="External"/><Relationship Id="rId12" Type="http://schemas.openxmlformats.org/officeDocument/2006/relationships/hyperlink" Target="#&apos;XI. Application Integration&apos;!A1" TargetMode="External"/><Relationship Id="rId13" Type="http://schemas.openxmlformats.org/officeDocument/2006/relationships/hyperlink" Target="#&apos;XII. Media Services&apos;!A1" TargetMode="External"/><Relationship Id="rId14" Type="http://schemas.openxmlformats.org/officeDocument/2006/relationships/hyperlink" Target="#&apos;XIII. Developer Tools&apos;!A1" TargetMode="External"/><Relationship Id="rId15" Type="http://schemas.openxmlformats.org/officeDocument/2006/relationships/hyperlink" Target="#&apos;XIV. Internet of Things&apos;!A1" TargetMode="External"/><Relationship Id="rId16" Type="http://schemas.openxmlformats.org/officeDocument/2006/relationships/hyperlink" Target="https://code.amazon.com/packages/NeoLifter/commits/5910daf2dce9b55a0c97a0be2ec69d020e37e6e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II. Compute&apos;!A1" TargetMode="External"/><Relationship Id="rId2" Type="http://schemas.openxmlformats.org/officeDocument/2006/relationships/hyperlink" Target="#&apos;V. Network &amp; Delivery&apos;!A1" TargetMode="External"/><Relationship Id="rId3" Type="http://schemas.openxmlformats.org/officeDocument/2006/relationships/hyperlink" Target="#&apos;VIII. Analytics&apos;!A1" TargetMode="External"/><Relationship Id="rId4" Type="http://schemas.openxmlformats.org/officeDocument/2006/relationships/hyperlink" Target="#&apos;XI. Application Integration&apos;!A1" TargetMode="External"/><Relationship Id="rId5" Type="http://schemas.openxmlformats.org/officeDocument/2006/relationships/hyperlink" Target="#&apos;XIV. Internet of Things&apos;!A1" TargetMode="External"/><Relationship Id="rId6" Type="http://schemas.openxmlformats.org/officeDocument/2006/relationships/hyperlink" Target="#&apos;III. Storage&apos;!A1" TargetMode="External"/><Relationship Id="rId7" Type="http://schemas.openxmlformats.org/officeDocument/2006/relationships/hyperlink" Target="#&apos;VI. Management &amp; Governance&apos;!A1" TargetMode="External"/><Relationship Id="rId8" Type="http://schemas.openxmlformats.org/officeDocument/2006/relationships/hyperlink" Target="#&apos;IX. Security &amp; Compliance&apos;!A1" TargetMode="External"/><Relationship Id="rId9" Type="http://schemas.openxmlformats.org/officeDocument/2006/relationships/hyperlink" Target="#&apos;XII. Media Services&apos;!A1" TargetMode="External"/><Relationship Id="rId10" Type="http://schemas.openxmlformats.org/officeDocument/2006/relationships/hyperlink" Target="#&apos;IV. Databases&apos;!A1" TargetMode="External"/><Relationship Id="rId11" Type="http://schemas.openxmlformats.org/officeDocument/2006/relationships/hyperlink" Target="#&apos;VII. Machine Learning&apos;!A1" TargetMode="External"/><Relationship Id="rId12" Type="http://schemas.openxmlformats.org/officeDocument/2006/relationships/hyperlink" Target="#&apos;X. Serverless&apos;!A1" TargetMode="External"/><Relationship Id="rId13" Type="http://schemas.openxmlformats.org/officeDocument/2006/relationships/hyperlink" Target="#&apos;XIII. Developer Tools&apos;!A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iny.amazon.com/dxof66ga" TargetMode="External"/><Relationship Id="rId2" Type="http://schemas.openxmlformats.org/officeDocument/2006/relationships/hyperlink" Target="https://github.com/aws-samples/automated-security-helper" TargetMode="External"/><Relationship Id="rId3" Type="http://schemas.openxmlformats.org/officeDocument/2006/relationships/hyperlink" Target="https://tiny.amazon.com/m8h28vnm" TargetMode="External"/><Relationship Id="rId4" Type="http://schemas.openxmlformats.org/officeDocument/2006/relationships/hyperlink" Target="https://github.com/cdklabs/cdk-nag/" TargetMode="External"/><Relationship Id="rId5" Type="http://schemas.openxmlformats.org/officeDocument/2006/relationships/hyperlink" Target="https://github.com/cdklabs/cdk-nag/blob/main/RULES.md" TargetMode="External"/><Relationship Id="rId6" Type="http://schemas.openxmlformats.org/officeDocument/2006/relationships/hyperlink" Target="https://github.com/Yelp/detect-secrets/" TargetMode="External"/><Relationship Id="rId7" Type="http://schemas.openxmlformats.org/officeDocument/2006/relationships/hyperlink" Target="https://github.com/stelligent/cfn_nag" TargetMode="External"/><Relationship Id="rId8" Type="http://schemas.openxmlformats.org/officeDocument/2006/relationships/hyperlink" Target="https://github.com/aws-cloudformation/cfn-python-lint" TargetMode="External"/><Relationship Id="rId9" Type="http://schemas.openxmlformats.org/officeDocument/2006/relationships/hyperlink" Target="https://docs.aws.amazon.com/AWSCloudFormation/latest/UserGuide/cfn-resource-specification.html" TargetMode="External"/><Relationship Id="rId10" Type="http://schemas.openxmlformats.org/officeDocument/2006/relationships/hyperlink" Target="https://github.com/aws-cloudformation/cloudformation-guard" TargetMode="External"/><Relationship Id="rId11" Type="http://schemas.openxmlformats.org/officeDocument/2006/relationships/hyperlink" Target="https://tiny.amazon.com/j309tofb" TargetMode="External"/><Relationship Id="rId12" Type="http://schemas.openxmlformats.org/officeDocument/2006/relationships/hyperlink" Target="https://tiny.amazon.com/18xij923v" TargetMode="External"/><Relationship Id="rId13" Type="http://schemas.openxmlformats.org/officeDocument/2006/relationships/hyperlink" Target="https://github.com/returntocorp/semgrep" TargetMode="External"/><Relationship Id="rId14" Type="http://schemas.openxmlformats.org/officeDocument/2006/relationships/hyperlink" Target="https://docs.npmjs.com/cli/v8/commands/npm-audit" TargetMode="External"/><Relationship Id="rId15" Type="http://schemas.openxmlformats.org/officeDocument/2006/relationships/hyperlink" Target="https://github.com/chrisallenlane/drek" TargetMode="External"/><Relationship Id="rId16" Type="http://schemas.openxmlformats.org/officeDocument/2006/relationships/hyperlink" Target="https://jshint.com/install/" TargetMode="External"/><Relationship Id="rId17" Type="http://schemas.openxmlformats.org/officeDocument/2006/relationships/hyperlink" Target="https://github.com/returntocorp/semgrep" TargetMode="External"/><Relationship Id="rId18" Type="http://schemas.openxmlformats.org/officeDocument/2006/relationships/hyperlink" Target="https://github.com/PyCQA/bandit" TargetMode="External"/><Relationship Id="rId19" Type="http://schemas.openxmlformats.org/officeDocument/2006/relationships/hyperlink" Target="https://pypi.org/project/pip-audit/" TargetMode="External"/><Relationship Id="rId20" Type="http://schemas.openxmlformats.org/officeDocument/2006/relationships/hyperlink" Target="https://github.com/bridgecrewio/checkov" TargetMode="External"/><Relationship Id="rId21" Type="http://schemas.openxmlformats.org/officeDocument/2006/relationships/hyperlink" Target="https://github.com/Checkmarx/kics" TargetMode="External"/><Relationship Id="rId22" Type="http://schemas.openxmlformats.org/officeDocument/2006/relationships/hyperlink" Target="https://aquasecurity.github.io/tfsec/" TargetMode="External"/><Relationship Id="rId23" Type="http://schemas.openxmlformats.org/officeDocument/2006/relationships/hyperlink" Target="https://github.com/accurics/terrascan" TargetMode="External"/><Relationship Id="rId24" Type="http://schemas.openxmlformats.org/officeDocument/2006/relationships/hyperlink" Target="https://tiny.amazon.com/dxof66ga" TargetMode="External"/><Relationship Id="rId25" Type="http://schemas.openxmlformats.org/officeDocument/2006/relationships/hyperlink" Target="https://nbconvert.readthedocs.io/" TargetMode="External"/><Relationship Id="rId26" Type="http://schemas.openxmlformats.org/officeDocument/2006/relationships/hyperlink" Target="https://github.com/anchore/grype" TargetMode="External"/><Relationship Id="rId27" Type="http://schemas.openxmlformats.org/officeDocument/2006/relationships/hyperlink" Target="https://tiny.amazon.com/1f3nadfnx" TargetMode="External"/><Relationship Id="rId28" Type="http://schemas.openxmlformats.org/officeDocument/2006/relationships/hyperlink" Target="https://owasp.org/www-project-dependency-check/" TargetMode="External"/><Relationship Id="rId29" Type="http://schemas.openxmlformats.org/officeDocument/2006/relationships/hyperlink" Target="https://github.com/aquasecurity/trivy" TargetMode="External"/><Relationship Id="rId30" Type="http://schemas.openxmlformats.org/officeDocument/2006/relationships/hyperlink" Target="https://docs.npmjs.com/cli/v7/commands/npm-audit" TargetMode="External"/><Relationship Id="rId31" Type="http://schemas.openxmlformats.org/officeDocument/2006/relationships/hyperlink" Target="https://pypi.org/project/pip-audit/" TargetMode="External"/><Relationship Id="rId32" Type="http://schemas.openxmlformats.org/officeDocument/2006/relationships/hyperlink" Target="https://docs.github.com/en/code-security/supply-chain-security/configuring-dependabot-security-updates" TargetMode="External"/><Relationship Id="rId33" Type="http://schemas.openxmlformats.org/officeDocument/2006/relationships/hyperlink" Target="https://snyk.io/vuln" TargetMode="External"/><Relationship Id="rId34" Type="http://schemas.openxmlformats.org/officeDocument/2006/relationships/hyperlink" Target="https://www.cvedetails.com/" TargetMode="External"/><Relationship Id="rId35" Type="http://schemas.openxmlformats.org/officeDocument/2006/relationships/hyperlink" Target="https://www.clamav.net/downloads" TargetMode="External"/><Relationship Id="rId36" Type="http://schemas.openxmlformats.org/officeDocument/2006/relationships/hyperlink" Target="https://github.com/abhinavbom/clara" TargetMode="External"/><Relationship Id="rId37" Type="http://schemas.openxmlformats.org/officeDocument/2006/relationships/hyperlink" Target="https://github.com/aquasecurity/trivy" TargetMode="External"/><Relationship Id="rId38" Type="http://schemas.openxmlformats.org/officeDocument/2006/relationships/hyperlink" Target="https://github.com/returntocorp/semgrep" TargetMode="External"/><Relationship Id="rId39" Type="http://schemas.openxmlformats.org/officeDocument/2006/relationships/hyperlink" Target="https://github.com/returntocorp/semgrep" TargetMode="External"/><Relationship Id="rId40" Type="http://schemas.openxmlformats.org/officeDocument/2006/relationships/hyperlink" Target="https://tiny.amazon.com/5oz29yaj" TargetMode="External"/><Relationship Id="rId41" Type="http://schemas.openxmlformats.org/officeDocument/2006/relationships/hyperlink" Target="https://tiny.amazon.com/18xij923v" TargetMode="External"/><Relationship Id="rId42" Type="http://schemas.openxmlformats.org/officeDocument/2006/relationships/hyperlink" Target="https://tiny.amazon.com/1c6bwhmw/ThreatComposer" TargetMode="External"/><Relationship Id="rId43" Type="http://schemas.openxmlformats.org/officeDocument/2006/relationships/hyperlink" Target="https://tiny.amazon.com/1ilyod717" TargetMode="External"/><Relationship Id="rId44" Type="http://schemas.openxmlformats.org/officeDocument/2006/relationships/hyperlink" Target="https://tiny.amazon.com/w2hn2q4c" TargetMode="External"/><Relationship Id="rId45" Type="http://schemas.openxmlformats.org/officeDocument/2006/relationships/hyperlink" Target="https://tiny.amazon.com/43tjw3xo" TargetMode="External"/><Relationship Id="rId46" Type="http://schemas.openxmlformats.org/officeDocument/2006/relationships/hyperlink" Target="https://github.com/nccgroup/ScoutSu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FormatPr defaultRowHeight="15" outlineLevelRow="0" outlineLevelCol="0" x14ac:dyDescent="55"/>
  <cols>
    <col min="1" max="1" width="200" customWidth="1"/>
  </cols>
  <sheetData>
    <row r="1" ht="912.5" customHeight="1" spans="1:1" x14ac:dyDescent="0.25">
      <c r="A1" s="1" t="s">
        <v>0</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77" t="s">
        <v>63</v>
      </c>
      <c r="B2" s="78" t="s">
        <v>769</v>
      </c>
      <c r="C2" s="56">
        <f>=IF(CLOUD_FORMATIONInUse="Yes","Yes","No")</f>
      </c>
      <c r="D2" s="56" t="s">
        <v>770</v>
      </c>
      <c r="E2" s="56" t="s">
        <v>771</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=COUNTIFS(C2:C19,"Yes")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79" t="s">
        <v>67</v>
      </c>
      <c r="B3" s="80" t="s">
        <v>772</v>
      </c>
      <c r="C3" s="56">
        <f>=IF(CLOUDTRAILInUse="Yes","Yes","No")</f>
      </c>
      <c r="D3" s="56" t="s">
        <v>773</v>
      </c>
      <c r="E3" s="56" t="s">
        <v>774</v>
      </c>
      <c r="F3" s="56">
        <f>=IF(AND(C3="Yes",G3="-"), "Yes", "No")</f>
      </c>
      <c r="G3" s="56" t="s">
        <v>13</v>
      </c>
      <c r="H3" s="56" t="s">
        <v>5</v>
      </c>
      <c r="I3" s="56" t="s">
        <v>242</v>
      </c>
      <c r="J3" s="56" t="s">
        <v>32</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35" customHeight="1" spans="1:27" s="53" customFormat="1" x14ac:dyDescent="0.25">
      <c r="A4" s="77" t="s">
        <v>71</v>
      </c>
      <c r="B4" s="78" t="s">
        <v>775</v>
      </c>
      <c r="C4" s="56">
        <f>=IF(CLOUDWATCHInUse="Yes","Yes","No")</f>
      </c>
      <c r="D4" s="56" t="s">
        <v>776</v>
      </c>
      <c r="E4" s="56" t="s">
        <v>777</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=SUM(W2:W19)</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35" customHeight="1" spans="1:27" s="53" customFormat="1" x14ac:dyDescent="0.25">
      <c r="A5" s="77" t="s">
        <v>71</v>
      </c>
      <c r="B5" s="78" t="s">
        <v>778</v>
      </c>
      <c r="C5" s="56">
        <f>=IF(CLOUDWATCHInUse="Yes","Yes","No")</f>
      </c>
      <c r="D5" s="56" t="s">
        <v>779</v>
      </c>
      <c r="E5" s="56" t="s">
        <v>780</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=SUM(X2:X19)</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65" customHeight="1" spans="1:27" s="53" customFormat="1" x14ac:dyDescent="0.25">
      <c r="A6" s="77" t="s">
        <v>71</v>
      </c>
      <c r="B6" s="78" t="s">
        <v>781</v>
      </c>
      <c r="C6" s="56">
        <f>=IF(CLOUDWATCHInUse="Yes","Yes","No")</f>
      </c>
      <c r="D6" s="56" t="s">
        <v>782</v>
      </c>
      <c r="E6" s="56" t="s">
        <v>783</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=SUM(Z2:Z19)</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50" customHeight="1" spans="1:27" s="53" customFormat="1" x14ac:dyDescent="0.25">
      <c r="A7" s="79" t="s">
        <v>75</v>
      </c>
      <c r="B7" s="80" t="s">
        <v>784</v>
      </c>
      <c r="C7" s="56">
        <f>=IF(AUTO_SCALINGInUse="Yes","Yes","No")</f>
      </c>
      <c r="D7" s="56" t="s">
        <v>785</v>
      </c>
      <c r="E7" s="56" t="s">
        <v>786</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=SUM(AA2:AA19)</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35" customHeight="1" spans="1:27" s="53" customFormat="1" x14ac:dyDescent="0.25">
      <c r="A8" s="79" t="s">
        <v>75</v>
      </c>
      <c r="B8" s="80" t="s">
        <v>787</v>
      </c>
      <c r="C8" s="56">
        <f>=IF(AUTO_SCALINGInUse="Yes","Yes","No")</f>
      </c>
      <c r="D8" s="56" t="s">
        <v>788</v>
      </c>
      <c r="E8" s="56" t="s">
        <v>789</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35" customHeight="1" spans="1:27" s="53" customFormat="1" x14ac:dyDescent="0.25">
      <c r="A9" s="79" t="s">
        <v>75</v>
      </c>
      <c r="B9" s="80" t="s">
        <v>790</v>
      </c>
      <c r="C9" s="56">
        <f>=IF(AUTO_SCALINGInUse="Yes","Yes","No")</f>
      </c>
      <c r="D9" s="56" t="s">
        <v>791</v>
      </c>
      <c r="E9" s="56" t="s">
        <v>792</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79" t="s">
        <v>75</v>
      </c>
      <c r="B10" s="80" t="s">
        <v>793</v>
      </c>
      <c r="C10" s="56">
        <f>=IF(AUTO_SCALINGInUse="Yes","Yes","No")</f>
      </c>
      <c r="D10" s="56" t="s">
        <v>794</v>
      </c>
      <c r="E10" s="56" t="s">
        <v>795</v>
      </c>
      <c r="F10" s="56">
        <f>=IF(AND(C10="Yes",G10="-"), "Yes", "No")</f>
      </c>
      <c r="G10" s="56" t="s">
        <v>13</v>
      </c>
      <c r="H10" s="56" t="s">
        <v>5</v>
      </c>
      <c r="I10" s="56" t="s">
        <v>242</v>
      </c>
      <c r="J10" s="56" t="s">
        <v>32</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79" t="s">
        <v>75</v>
      </c>
      <c r="B11" s="80" t="s">
        <v>796</v>
      </c>
      <c r="C11" s="56">
        <f>=IF(AUTO_SCALINGInUse="Yes","Yes","No")</f>
      </c>
      <c r="D11" s="56" t="s">
        <v>797</v>
      </c>
      <c r="E11" s="56" t="s">
        <v>798</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80" customHeight="1" spans="1:27" s="53" customFormat="1" x14ac:dyDescent="0.25">
      <c r="A12" s="79" t="s">
        <v>75</v>
      </c>
      <c r="B12" s="80" t="s">
        <v>799</v>
      </c>
      <c r="C12" s="56">
        <f>=IF(AUTO_SCALINGInUse="Yes","Yes","No")</f>
      </c>
      <c r="D12" s="56" t="s">
        <v>800</v>
      </c>
      <c r="E12" s="56" t="s">
        <v>801</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35" customHeight="1" spans="1:27" s="53" customFormat="1" x14ac:dyDescent="0.25">
      <c r="A13" s="77" t="s">
        <v>78</v>
      </c>
      <c r="B13" s="78" t="s">
        <v>802</v>
      </c>
      <c r="C13" s="56">
        <f>=IF(AWS_SYSTEM_MANAGER_AUTOMATION_DOCUMENTInUse="Yes","Yes","No")</f>
      </c>
      <c r="D13" s="56" t="s">
        <v>803</v>
      </c>
      <c r="E13" s="56" t="s">
        <v>804</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20" customHeight="1" spans="1:27" s="53" customFormat="1" x14ac:dyDescent="0.25">
      <c r="A14" s="77" t="s">
        <v>78</v>
      </c>
      <c r="B14" s="78" t="s">
        <v>805</v>
      </c>
      <c r="C14" s="56">
        <f>=IF(AWS_SYSTEM_MANAGER_AUTOMATION_DOCUMENTInUse="Yes","Yes","No")</f>
      </c>
      <c r="D14" s="56" t="s">
        <v>806</v>
      </c>
      <c r="E14" s="56" t="s">
        <v>807</v>
      </c>
      <c r="F14" s="56">
        <f>=IF(AND(C14="Yes",G14="-"), "Yes", "No")</f>
      </c>
      <c r="G14" s="56" t="s">
        <v>13</v>
      </c>
      <c r="H14" s="56" t="s">
        <v>5</v>
      </c>
      <c r="I14" s="56" t="s">
        <v>242</v>
      </c>
      <c r="J14" s="56" t="s">
        <v>32</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35" customHeight="1" spans="1:27" s="53" customFormat="1" x14ac:dyDescent="0.25">
      <c r="A15" s="77" t="s">
        <v>78</v>
      </c>
      <c r="B15" s="78" t="s">
        <v>808</v>
      </c>
      <c r="C15" s="56">
        <f>=IF(AWS_SYSTEM_MANAGER_AUTOMATION_DOCUMENTInUse="Yes","Yes","No")</f>
      </c>
      <c r="D15" s="56" t="s">
        <v>809</v>
      </c>
      <c r="E15" s="56" t="s">
        <v>810</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77" t="s">
        <v>78</v>
      </c>
      <c r="B16" s="78" t="s">
        <v>811</v>
      </c>
      <c r="C16" s="56">
        <f>=IF(AWS_SYSTEM_MANAGER_AUTOMATION_DOCUMENTInUse="Yes","Yes","No")</f>
      </c>
      <c r="D16" s="56" t="s">
        <v>812</v>
      </c>
      <c r="E16" s="56" t="s">
        <v>813</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35" customHeight="1" spans="1:27" s="53" customFormat="1" x14ac:dyDescent="0.25">
      <c r="A17" s="77" t="s">
        <v>78</v>
      </c>
      <c r="B17" s="78" t="s">
        <v>814</v>
      </c>
      <c r="C17" s="56">
        <f>=IF(AWS_SYSTEM_MANAGER_AUTOMATION_DOCUMENTInUse="Yes","Yes","No")</f>
      </c>
      <c r="D17" s="56" t="s">
        <v>815</v>
      </c>
      <c r="E17" s="56" t="s">
        <v>816</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35" customHeight="1" spans="1:27" s="53" customFormat="1" x14ac:dyDescent="0.25">
      <c r="A18" s="77" t="s">
        <v>78</v>
      </c>
      <c r="B18" s="78" t="s">
        <v>817</v>
      </c>
      <c r="C18" s="56">
        <f>=IF(AWS_SYSTEM_MANAGER_AUTOMATION_DOCUMENTInUse="Yes","Yes","No")</f>
      </c>
      <c r="D18" s="56" t="s">
        <v>818</v>
      </c>
      <c r="E18" s="56" t="s">
        <v>819</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35" customHeight="1" spans="1:27" s="53" customFormat="1" x14ac:dyDescent="0.25">
      <c r="A19" s="77" t="s">
        <v>78</v>
      </c>
      <c r="B19" s="78" t="s">
        <v>820</v>
      </c>
      <c r="C19" s="56">
        <f>=IF(AWS_SYSTEM_MANAGER_AUTOMATION_DOCUMENTInUse="Yes","Yes","No")</f>
      </c>
      <c r="D19" s="56" t="s">
        <v>821</v>
      </c>
      <c r="E19" s="56" t="s">
        <v>822</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sheetData>
  <autoFilter ref="A1:L1"/>
  <conditionalFormatting sqref="$F$2">
    <cfRule type="containsText" dxfId="1240" priority="1">
      <formula>NOT(ISERROR(SEARCH("Yes",F2)))</formula>
    </cfRule>
  </conditionalFormatting>
  <conditionalFormatting sqref="$G$2">
    <cfRule type="containsText" dxfId="1241" priority="1">
      <formula>NOT(ISERROR(SEARCH("Yes",G2)))</formula>
    </cfRule>
    <cfRule type="containsText" dxfId="1242" priority="2">
      <formula>NOT(ISERROR(SEARCH("No; explanation in comments",G2)))</formula>
    </cfRule>
  </conditionalFormatting>
  <conditionalFormatting sqref="$J$2">
    <cfRule type="containsText" dxfId="1243" priority="1">
      <formula>NOT(ISERROR(SEARCH("Yes",J2)))</formula>
    </cfRule>
  </conditionalFormatting>
  <conditionalFormatting sqref="$K$2">
    <cfRule type="containsText" dxfId="1244" priority="1">
      <formula>NOT(ISERROR(SEARCH("Mitigated",K2)))</formula>
    </cfRule>
    <cfRule type="containsText" dxfId="1245" priority="2">
      <formula>NOT(ISERROR(SEARCH("Not Mitigated",K2)))</formula>
    </cfRule>
  </conditionalFormatting>
  <conditionalFormatting sqref="$F$3">
    <cfRule type="containsText" dxfId="1246" priority="1">
      <formula>NOT(ISERROR(SEARCH("Yes",F3)))</formula>
    </cfRule>
  </conditionalFormatting>
  <conditionalFormatting sqref="$G$3">
    <cfRule type="containsText" dxfId="1247" priority="1">
      <formula>NOT(ISERROR(SEARCH("Yes",G3)))</formula>
    </cfRule>
    <cfRule type="containsText" dxfId="1248" priority="2">
      <formula>NOT(ISERROR(SEARCH("No; explanation in comments",G3)))</formula>
    </cfRule>
  </conditionalFormatting>
  <conditionalFormatting sqref="$J$3">
    <cfRule type="containsText" dxfId="1249" priority="1">
      <formula>NOT(ISERROR(SEARCH("Yes",J3)))</formula>
    </cfRule>
  </conditionalFormatting>
  <conditionalFormatting sqref="$K$3">
    <cfRule type="containsText" dxfId="1250" priority="1">
      <formula>NOT(ISERROR(SEARCH("Mitigated",K3)))</formula>
    </cfRule>
    <cfRule type="containsText" dxfId="1251" priority="2">
      <formula>NOT(ISERROR(SEARCH("Not Mitigated",K3)))</formula>
    </cfRule>
  </conditionalFormatting>
  <conditionalFormatting sqref="$F$4">
    <cfRule type="containsText" dxfId="1252" priority="1">
      <formula>NOT(ISERROR(SEARCH("Yes",F4)))</formula>
    </cfRule>
  </conditionalFormatting>
  <conditionalFormatting sqref="$G$4">
    <cfRule type="containsText" dxfId="1253" priority="1">
      <formula>NOT(ISERROR(SEARCH("Yes",G4)))</formula>
    </cfRule>
    <cfRule type="containsText" dxfId="1254" priority="2">
      <formula>NOT(ISERROR(SEARCH("No; explanation in comments",G4)))</formula>
    </cfRule>
  </conditionalFormatting>
  <conditionalFormatting sqref="$J$4">
    <cfRule type="containsText" dxfId="1255" priority="1">
      <formula>NOT(ISERROR(SEARCH("Yes",J4)))</formula>
    </cfRule>
  </conditionalFormatting>
  <conditionalFormatting sqref="$K$4">
    <cfRule type="containsText" dxfId="1256" priority="1">
      <formula>NOT(ISERROR(SEARCH("Mitigated",K4)))</formula>
    </cfRule>
    <cfRule type="containsText" dxfId="1257" priority="2">
      <formula>NOT(ISERROR(SEARCH("Not Mitigated",K4)))</formula>
    </cfRule>
  </conditionalFormatting>
  <conditionalFormatting sqref="$F$5">
    <cfRule type="containsText" dxfId="1258" priority="1">
      <formula>NOT(ISERROR(SEARCH("Yes",F5)))</formula>
    </cfRule>
  </conditionalFormatting>
  <conditionalFormatting sqref="$G$5">
    <cfRule type="containsText" dxfId="1259" priority="1">
      <formula>NOT(ISERROR(SEARCH("Yes",G5)))</formula>
    </cfRule>
    <cfRule type="containsText" dxfId="1260" priority="2">
      <formula>NOT(ISERROR(SEARCH("No; explanation in comments",G5)))</formula>
    </cfRule>
  </conditionalFormatting>
  <conditionalFormatting sqref="$J$5">
    <cfRule type="containsText" dxfId="1261" priority="1">
      <formula>NOT(ISERROR(SEARCH("Yes",J5)))</formula>
    </cfRule>
  </conditionalFormatting>
  <conditionalFormatting sqref="$K$5">
    <cfRule type="containsText" dxfId="1262" priority="1">
      <formula>NOT(ISERROR(SEARCH("Mitigated",K5)))</formula>
    </cfRule>
    <cfRule type="containsText" dxfId="1263" priority="2">
      <formula>NOT(ISERROR(SEARCH("Not Mitigated",K5)))</formula>
    </cfRule>
  </conditionalFormatting>
  <conditionalFormatting sqref="$F$6">
    <cfRule type="containsText" dxfId="1264" priority="1">
      <formula>NOT(ISERROR(SEARCH("Yes",F6)))</formula>
    </cfRule>
  </conditionalFormatting>
  <conditionalFormatting sqref="$G$6">
    <cfRule type="containsText" dxfId="1265" priority="1">
      <formula>NOT(ISERROR(SEARCH("Yes",G6)))</formula>
    </cfRule>
    <cfRule type="containsText" dxfId="1266" priority="2">
      <formula>NOT(ISERROR(SEARCH("No; explanation in comments",G6)))</formula>
    </cfRule>
  </conditionalFormatting>
  <conditionalFormatting sqref="$J$6">
    <cfRule type="containsText" dxfId="1267" priority="1">
      <formula>NOT(ISERROR(SEARCH("Yes",J6)))</formula>
    </cfRule>
  </conditionalFormatting>
  <conditionalFormatting sqref="$K$6">
    <cfRule type="containsText" dxfId="1268" priority="1">
      <formula>NOT(ISERROR(SEARCH("Mitigated",K6)))</formula>
    </cfRule>
    <cfRule type="containsText" dxfId="1269" priority="2">
      <formula>NOT(ISERROR(SEARCH("Not Mitigated",K6)))</formula>
    </cfRule>
  </conditionalFormatting>
  <conditionalFormatting sqref="$F$7">
    <cfRule type="containsText" dxfId="1270" priority="1">
      <formula>NOT(ISERROR(SEARCH("Yes",F7)))</formula>
    </cfRule>
  </conditionalFormatting>
  <conditionalFormatting sqref="$G$7">
    <cfRule type="containsText" dxfId="1271" priority="1">
      <formula>NOT(ISERROR(SEARCH("Yes",G7)))</formula>
    </cfRule>
    <cfRule type="containsText" dxfId="1272" priority="2">
      <formula>NOT(ISERROR(SEARCH("No; explanation in comments",G7)))</formula>
    </cfRule>
  </conditionalFormatting>
  <conditionalFormatting sqref="$J$7">
    <cfRule type="containsText" dxfId="1273" priority="1">
      <formula>NOT(ISERROR(SEARCH("Yes",J7)))</formula>
    </cfRule>
  </conditionalFormatting>
  <conditionalFormatting sqref="$K$7">
    <cfRule type="containsText" dxfId="1274" priority="1">
      <formula>NOT(ISERROR(SEARCH("Mitigated",K7)))</formula>
    </cfRule>
    <cfRule type="containsText" dxfId="1275" priority="2">
      <formula>NOT(ISERROR(SEARCH("Not Mitigated",K7)))</formula>
    </cfRule>
  </conditionalFormatting>
  <conditionalFormatting sqref="$F$8">
    <cfRule type="containsText" dxfId="1276" priority="1">
      <formula>NOT(ISERROR(SEARCH("Yes",F8)))</formula>
    </cfRule>
  </conditionalFormatting>
  <conditionalFormatting sqref="$G$8">
    <cfRule type="containsText" dxfId="1277" priority="1">
      <formula>NOT(ISERROR(SEARCH("Yes",G8)))</formula>
    </cfRule>
    <cfRule type="containsText" dxfId="1278" priority="2">
      <formula>NOT(ISERROR(SEARCH("No; explanation in comments",G8)))</formula>
    </cfRule>
  </conditionalFormatting>
  <conditionalFormatting sqref="$J$8">
    <cfRule type="containsText" dxfId="1279" priority="1">
      <formula>NOT(ISERROR(SEARCH("Yes",J8)))</formula>
    </cfRule>
  </conditionalFormatting>
  <conditionalFormatting sqref="$K$8">
    <cfRule type="containsText" dxfId="1280" priority="1">
      <formula>NOT(ISERROR(SEARCH("Mitigated",K8)))</formula>
    </cfRule>
    <cfRule type="containsText" dxfId="1281" priority="2">
      <formula>NOT(ISERROR(SEARCH("Not Mitigated",K8)))</formula>
    </cfRule>
  </conditionalFormatting>
  <conditionalFormatting sqref="$F$9">
    <cfRule type="containsText" dxfId="1282" priority="1">
      <formula>NOT(ISERROR(SEARCH("Yes",F9)))</formula>
    </cfRule>
  </conditionalFormatting>
  <conditionalFormatting sqref="$G$9">
    <cfRule type="containsText" dxfId="1283" priority="1">
      <formula>NOT(ISERROR(SEARCH("Yes",G9)))</formula>
    </cfRule>
    <cfRule type="containsText" dxfId="1284" priority="2">
      <formula>NOT(ISERROR(SEARCH("No; explanation in comments",G9)))</formula>
    </cfRule>
  </conditionalFormatting>
  <conditionalFormatting sqref="$J$9">
    <cfRule type="containsText" dxfId="1285" priority="1">
      <formula>NOT(ISERROR(SEARCH("Yes",J9)))</formula>
    </cfRule>
  </conditionalFormatting>
  <conditionalFormatting sqref="$K$9">
    <cfRule type="containsText" dxfId="1286" priority="1">
      <formula>NOT(ISERROR(SEARCH("Mitigated",K9)))</formula>
    </cfRule>
    <cfRule type="containsText" dxfId="1287" priority="2">
      <formula>NOT(ISERROR(SEARCH("Not Mitigated",K9)))</formula>
    </cfRule>
  </conditionalFormatting>
  <conditionalFormatting sqref="$F$10">
    <cfRule type="containsText" dxfId="1288" priority="1">
      <formula>NOT(ISERROR(SEARCH("Yes",F10)))</formula>
    </cfRule>
  </conditionalFormatting>
  <conditionalFormatting sqref="$G$10">
    <cfRule type="containsText" dxfId="1289" priority="1">
      <formula>NOT(ISERROR(SEARCH("Yes",G10)))</formula>
    </cfRule>
    <cfRule type="containsText" dxfId="1290" priority="2">
      <formula>NOT(ISERROR(SEARCH("No; explanation in comments",G10)))</formula>
    </cfRule>
  </conditionalFormatting>
  <conditionalFormatting sqref="$J$10">
    <cfRule type="containsText" dxfId="1291" priority="1">
      <formula>NOT(ISERROR(SEARCH("Yes",J10)))</formula>
    </cfRule>
  </conditionalFormatting>
  <conditionalFormatting sqref="$K$10">
    <cfRule type="containsText" dxfId="1292" priority="1">
      <formula>NOT(ISERROR(SEARCH("Mitigated",K10)))</formula>
    </cfRule>
    <cfRule type="containsText" dxfId="1293" priority="2">
      <formula>NOT(ISERROR(SEARCH("Not Mitigated",K10)))</formula>
    </cfRule>
  </conditionalFormatting>
  <conditionalFormatting sqref="$F$11">
    <cfRule type="containsText" dxfId="1294" priority="1">
      <formula>NOT(ISERROR(SEARCH("Yes",F11)))</formula>
    </cfRule>
  </conditionalFormatting>
  <conditionalFormatting sqref="$G$11">
    <cfRule type="containsText" dxfId="1295" priority="1">
      <formula>NOT(ISERROR(SEARCH("Yes",G11)))</formula>
    </cfRule>
    <cfRule type="containsText" dxfId="1296" priority="2">
      <formula>NOT(ISERROR(SEARCH("No; explanation in comments",G11)))</formula>
    </cfRule>
  </conditionalFormatting>
  <conditionalFormatting sqref="$J$11">
    <cfRule type="containsText" dxfId="1297" priority="1">
      <formula>NOT(ISERROR(SEARCH("Yes",J11)))</formula>
    </cfRule>
  </conditionalFormatting>
  <conditionalFormatting sqref="$K$11">
    <cfRule type="containsText" dxfId="1298" priority="1">
      <formula>NOT(ISERROR(SEARCH("Mitigated",K11)))</formula>
    </cfRule>
    <cfRule type="containsText" dxfId="1299" priority="2">
      <formula>NOT(ISERROR(SEARCH("Not Mitigated",K11)))</formula>
    </cfRule>
  </conditionalFormatting>
  <conditionalFormatting sqref="$F$12">
    <cfRule type="containsText" dxfId="1300" priority="1">
      <formula>NOT(ISERROR(SEARCH("Yes",F12)))</formula>
    </cfRule>
  </conditionalFormatting>
  <conditionalFormatting sqref="$G$12">
    <cfRule type="containsText" dxfId="1301" priority="1">
      <formula>NOT(ISERROR(SEARCH("Yes",G12)))</formula>
    </cfRule>
    <cfRule type="containsText" dxfId="1302" priority="2">
      <formula>NOT(ISERROR(SEARCH("No; explanation in comments",G12)))</formula>
    </cfRule>
  </conditionalFormatting>
  <conditionalFormatting sqref="$J$12">
    <cfRule type="containsText" dxfId="1303" priority="1">
      <formula>NOT(ISERROR(SEARCH("Yes",J12)))</formula>
    </cfRule>
  </conditionalFormatting>
  <conditionalFormatting sqref="$K$12">
    <cfRule type="containsText" dxfId="1304" priority="1">
      <formula>NOT(ISERROR(SEARCH("Mitigated",K12)))</formula>
    </cfRule>
    <cfRule type="containsText" dxfId="1305" priority="2">
      <formula>NOT(ISERROR(SEARCH("Not Mitigated",K12)))</formula>
    </cfRule>
  </conditionalFormatting>
  <conditionalFormatting sqref="$F$13">
    <cfRule type="containsText" dxfId="1306" priority="1">
      <formula>NOT(ISERROR(SEARCH("Yes",F13)))</formula>
    </cfRule>
  </conditionalFormatting>
  <conditionalFormatting sqref="$G$13">
    <cfRule type="containsText" dxfId="1307" priority="1">
      <formula>NOT(ISERROR(SEARCH("Yes",G13)))</formula>
    </cfRule>
    <cfRule type="containsText" dxfId="1308" priority="2">
      <formula>NOT(ISERROR(SEARCH("No; explanation in comments",G13)))</formula>
    </cfRule>
  </conditionalFormatting>
  <conditionalFormatting sqref="$J$13">
    <cfRule type="containsText" dxfId="1309" priority="1">
      <formula>NOT(ISERROR(SEARCH("Yes",J13)))</formula>
    </cfRule>
  </conditionalFormatting>
  <conditionalFormatting sqref="$K$13">
    <cfRule type="containsText" dxfId="1310" priority="1">
      <formula>NOT(ISERROR(SEARCH("Mitigated",K13)))</formula>
    </cfRule>
    <cfRule type="containsText" dxfId="1311" priority="2">
      <formula>NOT(ISERROR(SEARCH("Not Mitigated",K13)))</formula>
    </cfRule>
  </conditionalFormatting>
  <conditionalFormatting sqref="$F$14">
    <cfRule type="containsText" dxfId="1312" priority="1">
      <formula>NOT(ISERROR(SEARCH("Yes",F14)))</formula>
    </cfRule>
  </conditionalFormatting>
  <conditionalFormatting sqref="$G$14">
    <cfRule type="containsText" dxfId="1313" priority="1">
      <formula>NOT(ISERROR(SEARCH("Yes",G14)))</formula>
    </cfRule>
    <cfRule type="containsText" dxfId="1314" priority="2">
      <formula>NOT(ISERROR(SEARCH("No; explanation in comments",G14)))</formula>
    </cfRule>
  </conditionalFormatting>
  <conditionalFormatting sqref="$J$14">
    <cfRule type="containsText" dxfId="1315" priority="1">
      <formula>NOT(ISERROR(SEARCH("Yes",J14)))</formula>
    </cfRule>
  </conditionalFormatting>
  <conditionalFormatting sqref="$K$14">
    <cfRule type="containsText" dxfId="1316" priority="1">
      <formula>NOT(ISERROR(SEARCH("Mitigated",K14)))</formula>
    </cfRule>
    <cfRule type="containsText" dxfId="1317" priority="2">
      <formula>NOT(ISERROR(SEARCH("Not Mitigated",K14)))</formula>
    </cfRule>
  </conditionalFormatting>
  <conditionalFormatting sqref="$F$15">
    <cfRule type="containsText" dxfId="1318" priority="1">
      <formula>NOT(ISERROR(SEARCH("Yes",F15)))</formula>
    </cfRule>
  </conditionalFormatting>
  <conditionalFormatting sqref="$G$15">
    <cfRule type="containsText" dxfId="1319" priority="1">
      <formula>NOT(ISERROR(SEARCH("Yes",G15)))</formula>
    </cfRule>
    <cfRule type="containsText" dxfId="1320" priority="2">
      <formula>NOT(ISERROR(SEARCH("No; explanation in comments",G15)))</formula>
    </cfRule>
  </conditionalFormatting>
  <conditionalFormatting sqref="$J$15">
    <cfRule type="containsText" dxfId="1321" priority="1">
      <formula>NOT(ISERROR(SEARCH("Yes",J15)))</formula>
    </cfRule>
  </conditionalFormatting>
  <conditionalFormatting sqref="$K$15">
    <cfRule type="containsText" dxfId="1322" priority="1">
      <formula>NOT(ISERROR(SEARCH("Mitigated",K15)))</formula>
    </cfRule>
    <cfRule type="containsText" dxfId="1323" priority="2">
      <formula>NOT(ISERROR(SEARCH("Not Mitigated",K15)))</formula>
    </cfRule>
  </conditionalFormatting>
  <conditionalFormatting sqref="$F$16">
    <cfRule type="containsText" dxfId="1324" priority="1">
      <formula>NOT(ISERROR(SEARCH("Yes",F16)))</formula>
    </cfRule>
  </conditionalFormatting>
  <conditionalFormatting sqref="$G$16">
    <cfRule type="containsText" dxfId="1325" priority="1">
      <formula>NOT(ISERROR(SEARCH("Yes",G16)))</formula>
    </cfRule>
    <cfRule type="containsText" dxfId="1326" priority="2">
      <formula>NOT(ISERROR(SEARCH("No; explanation in comments",G16)))</formula>
    </cfRule>
  </conditionalFormatting>
  <conditionalFormatting sqref="$J$16">
    <cfRule type="containsText" dxfId="1327" priority="1">
      <formula>NOT(ISERROR(SEARCH("Yes",J16)))</formula>
    </cfRule>
  </conditionalFormatting>
  <conditionalFormatting sqref="$K$16">
    <cfRule type="containsText" dxfId="1328" priority="1">
      <formula>NOT(ISERROR(SEARCH("Mitigated",K16)))</formula>
    </cfRule>
    <cfRule type="containsText" dxfId="1329" priority="2">
      <formula>NOT(ISERROR(SEARCH("Not Mitigated",K16)))</formula>
    </cfRule>
  </conditionalFormatting>
  <conditionalFormatting sqref="$F$17">
    <cfRule type="containsText" dxfId="1330" priority="1">
      <formula>NOT(ISERROR(SEARCH("Yes",F17)))</formula>
    </cfRule>
  </conditionalFormatting>
  <conditionalFormatting sqref="$G$17">
    <cfRule type="containsText" dxfId="1331" priority="1">
      <formula>NOT(ISERROR(SEARCH("Yes",G17)))</formula>
    </cfRule>
    <cfRule type="containsText" dxfId="1332" priority="2">
      <formula>NOT(ISERROR(SEARCH("No; explanation in comments",G17)))</formula>
    </cfRule>
  </conditionalFormatting>
  <conditionalFormatting sqref="$J$17">
    <cfRule type="containsText" dxfId="1333" priority="1">
      <formula>NOT(ISERROR(SEARCH("Yes",J17)))</formula>
    </cfRule>
  </conditionalFormatting>
  <conditionalFormatting sqref="$K$17">
    <cfRule type="containsText" dxfId="1334" priority="1">
      <formula>NOT(ISERROR(SEARCH("Mitigated",K17)))</formula>
    </cfRule>
    <cfRule type="containsText" dxfId="1335" priority="2">
      <formula>NOT(ISERROR(SEARCH("Not Mitigated",K17)))</formula>
    </cfRule>
  </conditionalFormatting>
  <conditionalFormatting sqref="$F$18">
    <cfRule type="containsText" dxfId="1336" priority="1">
      <formula>NOT(ISERROR(SEARCH("Yes",F18)))</formula>
    </cfRule>
  </conditionalFormatting>
  <conditionalFormatting sqref="$G$18">
    <cfRule type="containsText" dxfId="1337" priority="1">
      <formula>NOT(ISERROR(SEARCH("Yes",G18)))</formula>
    </cfRule>
    <cfRule type="containsText" dxfId="1338" priority="2">
      <formula>NOT(ISERROR(SEARCH("No; explanation in comments",G18)))</formula>
    </cfRule>
  </conditionalFormatting>
  <conditionalFormatting sqref="$J$18">
    <cfRule type="containsText" dxfId="1339" priority="1">
      <formula>NOT(ISERROR(SEARCH("Yes",J18)))</formula>
    </cfRule>
  </conditionalFormatting>
  <conditionalFormatting sqref="$K$18">
    <cfRule type="containsText" dxfId="1340" priority="1">
      <formula>NOT(ISERROR(SEARCH("Mitigated",K18)))</formula>
    </cfRule>
    <cfRule type="containsText" dxfId="1341" priority="2">
      <formula>NOT(ISERROR(SEARCH("Not Mitigated",K18)))</formula>
    </cfRule>
  </conditionalFormatting>
  <conditionalFormatting sqref="$F$19">
    <cfRule type="containsText" dxfId="1342" priority="1">
      <formula>NOT(ISERROR(SEARCH("Yes",F19)))</formula>
    </cfRule>
  </conditionalFormatting>
  <conditionalFormatting sqref="$G$19">
    <cfRule type="containsText" dxfId="1343" priority="1">
      <formula>NOT(ISERROR(SEARCH("Yes",G19)))</formula>
    </cfRule>
    <cfRule type="containsText" dxfId="1344" priority="2">
      <formula>NOT(ISERROR(SEARCH("No; explanation in comments",G19)))</formula>
    </cfRule>
  </conditionalFormatting>
  <conditionalFormatting sqref="$J$19">
    <cfRule type="containsText" dxfId="1345" priority="1">
      <formula>NOT(ISERROR(SEARCH("Yes",J19)))</formula>
    </cfRule>
  </conditionalFormatting>
  <conditionalFormatting sqref="$K$19">
    <cfRule type="containsText" dxfId="1346" priority="1">
      <formula>NOT(ISERROR(SEARCH("Mitigated",K19)))</formula>
    </cfRule>
    <cfRule type="containsText" dxfId="1347" priority="2">
      <formula>NOT(ISERROR(SEARCH("Not Mitigated",K19)))</formula>
    </cfRule>
  </conditionalFormatting>
  <dataValidations count="4">
    <dataValidation type="list" sqref="G10:G19">
      <formula1>"-,Yes,No; explanation in comments"</formula1>
    </dataValidation>
    <dataValidation type="list" sqref="G2:G19">
      <formula1>"-,Yes,No; explanation in comments"</formula1>
    </dataValidation>
    <dataValidation type="list" sqref="K10:K19">
      <formula1>"Mitigated,Not Mitigated,Not Assessed Yet,N/A"</formula1>
    </dataValidation>
    <dataValidation type="list" sqref="K2:K19">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65" customHeight="1" spans="1:27" s="53" customFormat="1" x14ac:dyDescent="0.25">
      <c r="A2" s="81" t="s">
        <v>85</v>
      </c>
      <c r="B2" s="82" t="s">
        <v>823</v>
      </c>
      <c r="C2" s="56">
        <f>=IF(SAGEMAKERInUse="Yes","Yes","No")</f>
      </c>
      <c r="D2" s="56" t="s">
        <v>824</v>
      </c>
      <c r="E2" s="56" t="s">
        <v>825</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=COUNTIFS(C2:C19,"Yes")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50" customHeight="1" spans="1:27" s="53" customFormat="1" x14ac:dyDescent="0.25">
      <c r="A3" s="81" t="s">
        <v>85</v>
      </c>
      <c r="B3" s="82" t="s">
        <v>826</v>
      </c>
      <c r="C3" s="56">
        <f>=IF(SAGEMAKERInUse="Yes","Yes","No")</f>
      </c>
      <c r="D3" s="56" t="s">
        <v>827</v>
      </c>
      <c r="E3" s="56" t="s">
        <v>828</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81" t="s">
        <v>85</v>
      </c>
      <c r="B4" s="82" t="s">
        <v>829</v>
      </c>
      <c r="C4" s="56">
        <f>=IF(SAGEMAKERInUse="Yes","Yes","No")</f>
      </c>
      <c r="D4" s="56" t="s">
        <v>830</v>
      </c>
      <c r="E4" s="56" t="s">
        <v>831</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=SUM(W2:W19)</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81" t="s">
        <v>85</v>
      </c>
      <c r="B5" s="82" t="s">
        <v>832</v>
      </c>
      <c r="C5" s="56">
        <f>=IF(SAGEMAKERInUse="Yes","Yes","No")</f>
      </c>
      <c r="D5" s="56" t="s">
        <v>833</v>
      </c>
      <c r="E5" s="56" t="s">
        <v>834</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=SUM(X2:X19)</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81" t="s">
        <v>85</v>
      </c>
      <c r="B6" s="82" t="s">
        <v>835</v>
      </c>
      <c r="C6" s="56">
        <f>=IF(SAGEMAKERInUse="Yes","Yes","No")</f>
      </c>
      <c r="D6" s="56" t="s">
        <v>836</v>
      </c>
      <c r="E6" s="56" t="s">
        <v>837</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=SUM(Z2:Z19)</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50" customHeight="1" spans="1:27" s="53" customFormat="1" x14ac:dyDescent="0.25">
      <c r="A7" s="81" t="s">
        <v>85</v>
      </c>
      <c r="B7" s="82" t="s">
        <v>838</v>
      </c>
      <c r="C7" s="56">
        <f>=IF(SAGEMAKERInUse="Yes","Yes","No")</f>
      </c>
      <c r="D7" s="56" t="s">
        <v>839</v>
      </c>
      <c r="E7" s="56" t="s">
        <v>840</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=SUM(AA2:AA19)</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81" t="s">
        <v>85</v>
      </c>
      <c r="B8" s="82" t="s">
        <v>841</v>
      </c>
      <c r="C8" s="56">
        <f>=IF(SAGEMAKERInUse="Yes","Yes","No")</f>
      </c>
      <c r="D8" s="56" t="s">
        <v>842</v>
      </c>
      <c r="E8" s="56" t="s">
        <v>843</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65" customHeight="1" spans="1:27" s="53" customFormat="1" x14ac:dyDescent="0.25">
      <c r="A9" s="81" t="s">
        <v>85</v>
      </c>
      <c r="B9" s="82" t="s">
        <v>844</v>
      </c>
      <c r="C9" s="56">
        <f>=IF(SAGEMAKERInUse="Yes","Yes","No")</f>
      </c>
      <c r="D9" s="56" t="s">
        <v>845</v>
      </c>
      <c r="E9" s="56" t="s">
        <v>846</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81" t="s">
        <v>85</v>
      </c>
      <c r="B10" s="82" t="s">
        <v>847</v>
      </c>
      <c r="C10" s="56">
        <f>=IF(SAGEMAKERInUse="Yes","Yes","No")</f>
      </c>
      <c r="D10" s="56" t="s">
        <v>848</v>
      </c>
      <c r="E10" s="56" t="s">
        <v>849</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81" t="s">
        <v>85</v>
      </c>
      <c r="B11" s="82" t="s">
        <v>850</v>
      </c>
      <c r="C11" s="56">
        <f>=IF(SAGEMAKERInUse="Yes","Yes","No")</f>
      </c>
      <c r="D11" s="56" t="s">
        <v>851</v>
      </c>
      <c r="E11" s="56" t="s">
        <v>852</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65" customHeight="1" spans="1:27" s="53" customFormat="1" x14ac:dyDescent="0.25">
      <c r="A12" s="83" t="s">
        <v>89</v>
      </c>
      <c r="B12" s="84" t="s">
        <v>853</v>
      </c>
      <c r="C12" s="56">
        <f>=IF(AMAZON_LEXInUse="Yes","Yes","No")</f>
      </c>
      <c r="D12" s="56" t="s">
        <v>854</v>
      </c>
      <c r="E12" s="56" t="s">
        <v>855</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83" t="s">
        <v>89</v>
      </c>
      <c r="B13" s="84" t="s">
        <v>856</v>
      </c>
      <c r="C13" s="56">
        <f>=IF(AMAZON_LEXInUse="Yes","Yes","No")</f>
      </c>
      <c r="D13" s="56" t="s">
        <v>857</v>
      </c>
      <c r="E13" s="56" t="s">
        <v>858</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50" customHeight="1" spans="1:27" s="53" customFormat="1" x14ac:dyDescent="0.25">
      <c r="A14" s="83" t="s">
        <v>89</v>
      </c>
      <c r="B14" s="84" t="s">
        <v>859</v>
      </c>
      <c r="C14" s="56">
        <f>=IF(AMAZON_LEXInUse="Yes","Yes","No")</f>
      </c>
      <c r="D14" s="56" t="s">
        <v>860</v>
      </c>
      <c r="E14" s="56" t="s">
        <v>861</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81" t="s">
        <v>93</v>
      </c>
      <c r="B15" s="82" t="s">
        <v>862</v>
      </c>
      <c r="C15" s="56">
        <f>=IF(AMAZON_REKOGNITIONInUse="Yes","Yes","No")</f>
      </c>
      <c r="D15" s="56" t="s">
        <v>861</v>
      </c>
      <c r="E15" s="56" t="s">
        <v>863</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83" t="s">
        <v>97</v>
      </c>
      <c r="B16" s="84" t="s">
        <v>864</v>
      </c>
      <c r="C16" s="56">
        <f>=IF(AMAZON_BEDROCKInUse="Yes","Yes","No")</f>
      </c>
      <c r="D16" s="56" t="s">
        <v>865</v>
      </c>
      <c r="E16" s="56" t="s">
        <v>866</v>
      </c>
      <c r="F16" s="56">
        <f>=IF(AND(C16="Yes",G16="-"), "Yes", "No")</f>
      </c>
      <c r="G16" s="56" t="s">
        <v>13</v>
      </c>
      <c r="H16" s="56" t="s">
        <v>5</v>
      </c>
      <c r="I16" s="56" t="s">
        <v>242</v>
      </c>
      <c r="J16" s="56" t="s">
        <v>32</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83" t="s">
        <v>97</v>
      </c>
      <c r="B17" s="84" t="s">
        <v>867</v>
      </c>
      <c r="C17" s="56">
        <f>=IF(AMAZON_BEDROCKInUse="Yes","Yes","No")</f>
      </c>
      <c r="D17" s="56" t="s">
        <v>868</v>
      </c>
      <c r="E17" s="56" t="s">
        <v>869</v>
      </c>
      <c r="F17" s="56">
        <f>=IF(AND(C17="Yes",G17="-"), "Yes", "No")</f>
      </c>
      <c r="G17" s="56" t="s">
        <v>13</v>
      </c>
      <c r="H17" s="56" t="s">
        <v>5</v>
      </c>
      <c r="I17" s="56" t="s">
        <v>242</v>
      </c>
      <c r="J17" s="56" t="s">
        <v>32</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50" customHeight="1" spans="1:27" s="53" customFormat="1" x14ac:dyDescent="0.25">
      <c r="A18" s="83" t="s">
        <v>97</v>
      </c>
      <c r="B18" s="84" t="s">
        <v>870</v>
      </c>
      <c r="C18" s="56">
        <f>=IF(AMAZON_BEDROCKInUse="Yes","Yes","No")</f>
      </c>
      <c r="D18" s="56" t="s">
        <v>871</v>
      </c>
      <c r="E18" s="56" t="s">
        <v>872</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35" customHeight="1" spans="1:27" s="53" customFormat="1" x14ac:dyDescent="0.25">
      <c r="A19" s="83" t="s">
        <v>97</v>
      </c>
      <c r="B19" s="84" t="s">
        <v>873</v>
      </c>
      <c r="C19" s="56">
        <f>=IF(AMAZON_BEDROCKInUse="Yes","Yes","No")</f>
      </c>
      <c r="D19" s="56" t="s">
        <v>874</v>
      </c>
      <c r="E19" s="56" t="s">
        <v>875</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sheetData>
  <autoFilter ref="A1:L1"/>
  <conditionalFormatting sqref="$F$2">
    <cfRule type="containsText" dxfId="1348" priority="1">
      <formula>NOT(ISERROR(SEARCH("Yes",F2)))</formula>
    </cfRule>
  </conditionalFormatting>
  <conditionalFormatting sqref="$G$2">
    <cfRule type="containsText" dxfId="1349" priority="1">
      <formula>NOT(ISERROR(SEARCH("Yes",G2)))</formula>
    </cfRule>
    <cfRule type="containsText" dxfId="1350" priority="2">
      <formula>NOT(ISERROR(SEARCH("No; explanation in comments",G2)))</formula>
    </cfRule>
  </conditionalFormatting>
  <conditionalFormatting sqref="$J$2">
    <cfRule type="containsText" dxfId="1351" priority="1">
      <formula>NOT(ISERROR(SEARCH("Yes",J2)))</formula>
    </cfRule>
  </conditionalFormatting>
  <conditionalFormatting sqref="$K$2">
    <cfRule type="containsText" dxfId="1352" priority="1">
      <formula>NOT(ISERROR(SEARCH("Mitigated",K2)))</formula>
    </cfRule>
    <cfRule type="containsText" dxfId="1353" priority="2">
      <formula>NOT(ISERROR(SEARCH("Not Mitigated",K2)))</formula>
    </cfRule>
  </conditionalFormatting>
  <conditionalFormatting sqref="$F$3">
    <cfRule type="containsText" dxfId="1354" priority="1">
      <formula>NOT(ISERROR(SEARCH("Yes",F3)))</formula>
    </cfRule>
  </conditionalFormatting>
  <conditionalFormatting sqref="$G$3">
    <cfRule type="containsText" dxfId="1355" priority="1">
      <formula>NOT(ISERROR(SEARCH("Yes",G3)))</formula>
    </cfRule>
    <cfRule type="containsText" dxfId="1356" priority="2">
      <formula>NOT(ISERROR(SEARCH("No; explanation in comments",G3)))</formula>
    </cfRule>
  </conditionalFormatting>
  <conditionalFormatting sqref="$J$3">
    <cfRule type="containsText" dxfId="1357" priority="1">
      <formula>NOT(ISERROR(SEARCH("Yes",J3)))</formula>
    </cfRule>
  </conditionalFormatting>
  <conditionalFormatting sqref="$K$3">
    <cfRule type="containsText" dxfId="1358" priority="1">
      <formula>NOT(ISERROR(SEARCH("Mitigated",K3)))</formula>
    </cfRule>
    <cfRule type="containsText" dxfId="1359" priority="2">
      <formula>NOT(ISERROR(SEARCH("Not Mitigated",K3)))</formula>
    </cfRule>
  </conditionalFormatting>
  <conditionalFormatting sqref="$F$4">
    <cfRule type="containsText" dxfId="1360" priority="1">
      <formula>NOT(ISERROR(SEARCH("Yes",F4)))</formula>
    </cfRule>
  </conditionalFormatting>
  <conditionalFormatting sqref="$G$4">
    <cfRule type="containsText" dxfId="1361" priority="1">
      <formula>NOT(ISERROR(SEARCH("Yes",G4)))</formula>
    </cfRule>
    <cfRule type="containsText" dxfId="1362" priority="2">
      <formula>NOT(ISERROR(SEARCH("No; explanation in comments",G4)))</formula>
    </cfRule>
  </conditionalFormatting>
  <conditionalFormatting sqref="$J$4">
    <cfRule type="containsText" dxfId="1363" priority="1">
      <formula>NOT(ISERROR(SEARCH("Yes",J4)))</formula>
    </cfRule>
  </conditionalFormatting>
  <conditionalFormatting sqref="$K$4">
    <cfRule type="containsText" dxfId="1364" priority="1">
      <formula>NOT(ISERROR(SEARCH("Mitigated",K4)))</formula>
    </cfRule>
    <cfRule type="containsText" dxfId="1365" priority="2">
      <formula>NOT(ISERROR(SEARCH("Not Mitigated",K4)))</formula>
    </cfRule>
  </conditionalFormatting>
  <conditionalFormatting sqref="$F$5">
    <cfRule type="containsText" dxfId="1366" priority="1">
      <formula>NOT(ISERROR(SEARCH("Yes",F5)))</formula>
    </cfRule>
  </conditionalFormatting>
  <conditionalFormatting sqref="$G$5">
    <cfRule type="containsText" dxfId="1367" priority="1">
      <formula>NOT(ISERROR(SEARCH("Yes",G5)))</formula>
    </cfRule>
    <cfRule type="containsText" dxfId="1368" priority="2">
      <formula>NOT(ISERROR(SEARCH("No; explanation in comments",G5)))</formula>
    </cfRule>
  </conditionalFormatting>
  <conditionalFormatting sqref="$J$5">
    <cfRule type="containsText" dxfId="1369" priority="1">
      <formula>NOT(ISERROR(SEARCH("Yes",J5)))</formula>
    </cfRule>
  </conditionalFormatting>
  <conditionalFormatting sqref="$K$5">
    <cfRule type="containsText" dxfId="1370" priority="1">
      <formula>NOT(ISERROR(SEARCH("Mitigated",K5)))</formula>
    </cfRule>
    <cfRule type="containsText" dxfId="1371" priority="2">
      <formula>NOT(ISERROR(SEARCH("Not Mitigated",K5)))</formula>
    </cfRule>
  </conditionalFormatting>
  <conditionalFormatting sqref="$F$6">
    <cfRule type="containsText" dxfId="1372" priority="1">
      <formula>NOT(ISERROR(SEARCH("Yes",F6)))</formula>
    </cfRule>
  </conditionalFormatting>
  <conditionalFormatting sqref="$G$6">
    <cfRule type="containsText" dxfId="1373" priority="1">
      <formula>NOT(ISERROR(SEARCH("Yes",G6)))</formula>
    </cfRule>
    <cfRule type="containsText" dxfId="1374" priority="2">
      <formula>NOT(ISERROR(SEARCH("No; explanation in comments",G6)))</formula>
    </cfRule>
  </conditionalFormatting>
  <conditionalFormatting sqref="$J$6">
    <cfRule type="containsText" dxfId="1375" priority="1">
      <formula>NOT(ISERROR(SEARCH("Yes",J6)))</formula>
    </cfRule>
  </conditionalFormatting>
  <conditionalFormatting sqref="$K$6">
    <cfRule type="containsText" dxfId="1376" priority="1">
      <formula>NOT(ISERROR(SEARCH("Mitigated",K6)))</formula>
    </cfRule>
    <cfRule type="containsText" dxfId="1377" priority="2">
      <formula>NOT(ISERROR(SEARCH("Not Mitigated",K6)))</formula>
    </cfRule>
  </conditionalFormatting>
  <conditionalFormatting sqref="$F$7">
    <cfRule type="containsText" dxfId="1378" priority="1">
      <formula>NOT(ISERROR(SEARCH("Yes",F7)))</formula>
    </cfRule>
  </conditionalFormatting>
  <conditionalFormatting sqref="$G$7">
    <cfRule type="containsText" dxfId="1379" priority="1">
      <formula>NOT(ISERROR(SEARCH("Yes",G7)))</formula>
    </cfRule>
    <cfRule type="containsText" dxfId="1380" priority="2">
      <formula>NOT(ISERROR(SEARCH("No; explanation in comments",G7)))</formula>
    </cfRule>
  </conditionalFormatting>
  <conditionalFormatting sqref="$J$7">
    <cfRule type="containsText" dxfId="1381" priority="1">
      <formula>NOT(ISERROR(SEARCH("Yes",J7)))</formula>
    </cfRule>
  </conditionalFormatting>
  <conditionalFormatting sqref="$K$7">
    <cfRule type="containsText" dxfId="1382" priority="1">
      <formula>NOT(ISERROR(SEARCH("Mitigated",K7)))</formula>
    </cfRule>
    <cfRule type="containsText" dxfId="1383" priority="2">
      <formula>NOT(ISERROR(SEARCH("Not Mitigated",K7)))</formula>
    </cfRule>
  </conditionalFormatting>
  <conditionalFormatting sqref="$F$8">
    <cfRule type="containsText" dxfId="1384" priority="1">
      <formula>NOT(ISERROR(SEARCH("Yes",F8)))</formula>
    </cfRule>
  </conditionalFormatting>
  <conditionalFormatting sqref="$G$8">
    <cfRule type="containsText" dxfId="1385" priority="1">
      <formula>NOT(ISERROR(SEARCH("Yes",G8)))</formula>
    </cfRule>
    <cfRule type="containsText" dxfId="1386" priority="2">
      <formula>NOT(ISERROR(SEARCH("No; explanation in comments",G8)))</formula>
    </cfRule>
  </conditionalFormatting>
  <conditionalFormatting sqref="$J$8">
    <cfRule type="containsText" dxfId="1387" priority="1">
      <formula>NOT(ISERROR(SEARCH("Yes",J8)))</formula>
    </cfRule>
  </conditionalFormatting>
  <conditionalFormatting sqref="$K$8">
    <cfRule type="containsText" dxfId="1388" priority="1">
      <formula>NOT(ISERROR(SEARCH("Mitigated",K8)))</formula>
    </cfRule>
    <cfRule type="containsText" dxfId="1389" priority="2">
      <formula>NOT(ISERROR(SEARCH("Not Mitigated",K8)))</formula>
    </cfRule>
  </conditionalFormatting>
  <conditionalFormatting sqref="$F$9">
    <cfRule type="containsText" dxfId="1390" priority="1">
      <formula>NOT(ISERROR(SEARCH("Yes",F9)))</formula>
    </cfRule>
  </conditionalFormatting>
  <conditionalFormatting sqref="$G$9">
    <cfRule type="containsText" dxfId="1391" priority="1">
      <formula>NOT(ISERROR(SEARCH("Yes",G9)))</formula>
    </cfRule>
    <cfRule type="containsText" dxfId="1392" priority="2">
      <formula>NOT(ISERROR(SEARCH("No; explanation in comments",G9)))</formula>
    </cfRule>
  </conditionalFormatting>
  <conditionalFormatting sqref="$J$9">
    <cfRule type="containsText" dxfId="1393" priority="1">
      <formula>NOT(ISERROR(SEARCH("Yes",J9)))</formula>
    </cfRule>
  </conditionalFormatting>
  <conditionalFormatting sqref="$K$9">
    <cfRule type="containsText" dxfId="1394" priority="1">
      <formula>NOT(ISERROR(SEARCH("Mitigated",K9)))</formula>
    </cfRule>
    <cfRule type="containsText" dxfId="1395" priority="2">
      <formula>NOT(ISERROR(SEARCH("Not Mitigated",K9)))</formula>
    </cfRule>
  </conditionalFormatting>
  <conditionalFormatting sqref="$F$10">
    <cfRule type="containsText" dxfId="1396" priority="1">
      <formula>NOT(ISERROR(SEARCH("Yes",F10)))</formula>
    </cfRule>
  </conditionalFormatting>
  <conditionalFormatting sqref="$G$10">
    <cfRule type="containsText" dxfId="1397" priority="1">
      <formula>NOT(ISERROR(SEARCH("Yes",G10)))</formula>
    </cfRule>
    <cfRule type="containsText" dxfId="1398" priority="2">
      <formula>NOT(ISERROR(SEARCH("No; explanation in comments",G10)))</formula>
    </cfRule>
  </conditionalFormatting>
  <conditionalFormatting sqref="$J$10">
    <cfRule type="containsText" dxfId="1399" priority="1">
      <formula>NOT(ISERROR(SEARCH("Yes",J10)))</formula>
    </cfRule>
  </conditionalFormatting>
  <conditionalFormatting sqref="$K$10">
    <cfRule type="containsText" dxfId="1400" priority="1">
      <formula>NOT(ISERROR(SEARCH("Mitigated",K10)))</formula>
    </cfRule>
    <cfRule type="containsText" dxfId="1401" priority="2">
      <formula>NOT(ISERROR(SEARCH("Not Mitigated",K10)))</formula>
    </cfRule>
  </conditionalFormatting>
  <conditionalFormatting sqref="$F$11">
    <cfRule type="containsText" dxfId="1402" priority="1">
      <formula>NOT(ISERROR(SEARCH("Yes",F11)))</formula>
    </cfRule>
  </conditionalFormatting>
  <conditionalFormatting sqref="$G$11">
    <cfRule type="containsText" dxfId="1403" priority="1">
      <formula>NOT(ISERROR(SEARCH("Yes",G11)))</formula>
    </cfRule>
    <cfRule type="containsText" dxfId="1404" priority="2">
      <formula>NOT(ISERROR(SEARCH("No; explanation in comments",G11)))</formula>
    </cfRule>
  </conditionalFormatting>
  <conditionalFormatting sqref="$J$11">
    <cfRule type="containsText" dxfId="1405" priority="1">
      <formula>NOT(ISERROR(SEARCH("Yes",J11)))</formula>
    </cfRule>
  </conditionalFormatting>
  <conditionalFormatting sqref="$K$11">
    <cfRule type="containsText" dxfId="1406" priority="1">
      <formula>NOT(ISERROR(SEARCH("Mitigated",K11)))</formula>
    </cfRule>
    <cfRule type="containsText" dxfId="1407" priority="2">
      <formula>NOT(ISERROR(SEARCH("Not Mitigated",K11)))</formula>
    </cfRule>
  </conditionalFormatting>
  <conditionalFormatting sqref="$F$12">
    <cfRule type="containsText" dxfId="1408" priority="1">
      <formula>NOT(ISERROR(SEARCH("Yes",F12)))</formula>
    </cfRule>
  </conditionalFormatting>
  <conditionalFormatting sqref="$G$12">
    <cfRule type="containsText" dxfId="1409" priority="1">
      <formula>NOT(ISERROR(SEARCH("Yes",G12)))</formula>
    </cfRule>
    <cfRule type="containsText" dxfId="1410" priority="2">
      <formula>NOT(ISERROR(SEARCH("No; explanation in comments",G12)))</formula>
    </cfRule>
  </conditionalFormatting>
  <conditionalFormatting sqref="$J$12">
    <cfRule type="containsText" dxfId="1411" priority="1">
      <formula>NOT(ISERROR(SEARCH("Yes",J12)))</formula>
    </cfRule>
  </conditionalFormatting>
  <conditionalFormatting sqref="$K$12">
    <cfRule type="containsText" dxfId="1412" priority="1">
      <formula>NOT(ISERROR(SEARCH("Mitigated",K12)))</formula>
    </cfRule>
    <cfRule type="containsText" dxfId="1413" priority="2">
      <formula>NOT(ISERROR(SEARCH("Not Mitigated",K12)))</formula>
    </cfRule>
  </conditionalFormatting>
  <conditionalFormatting sqref="$F$13">
    <cfRule type="containsText" dxfId="1414" priority="1">
      <formula>NOT(ISERROR(SEARCH("Yes",F13)))</formula>
    </cfRule>
  </conditionalFormatting>
  <conditionalFormatting sqref="$G$13">
    <cfRule type="containsText" dxfId="1415" priority="1">
      <formula>NOT(ISERROR(SEARCH("Yes",G13)))</formula>
    </cfRule>
    <cfRule type="containsText" dxfId="1416" priority="2">
      <formula>NOT(ISERROR(SEARCH("No; explanation in comments",G13)))</formula>
    </cfRule>
  </conditionalFormatting>
  <conditionalFormatting sqref="$J$13">
    <cfRule type="containsText" dxfId="1417" priority="1">
      <formula>NOT(ISERROR(SEARCH("Yes",J13)))</formula>
    </cfRule>
  </conditionalFormatting>
  <conditionalFormatting sqref="$K$13">
    <cfRule type="containsText" dxfId="1418" priority="1">
      <formula>NOT(ISERROR(SEARCH("Mitigated",K13)))</formula>
    </cfRule>
    <cfRule type="containsText" dxfId="1419" priority="2">
      <formula>NOT(ISERROR(SEARCH("Not Mitigated",K13)))</formula>
    </cfRule>
  </conditionalFormatting>
  <conditionalFormatting sqref="$F$14">
    <cfRule type="containsText" dxfId="1420" priority="1">
      <formula>NOT(ISERROR(SEARCH("Yes",F14)))</formula>
    </cfRule>
  </conditionalFormatting>
  <conditionalFormatting sqref="$G$14">
    <cfRule type="containsText" dxfId="1421" priority="1">
      <formula>NOT(ISERROR(SEARCH("Yes",G14)))</formula>
    </cfRule>
    <cfRule type="containsText" dxfId="1422" priority="2">
      <formula>NOT(ISERROR(SEARCH("No; explanation in comments",G14)))</formula>
    </cfRule>
  </conditionalFormatting>
  <conditionalFormatting sqref="$J$14">
    <cfRule type="containsText" dxfId="1423" priority="1">
      <formula>NOT(ISERROR(SEARCH("Yes",J14)))</formula>
    </cfRule>
  </conditionalFormatting>
  <conditionalFormatting sqref="$K$14">
    <cfRule type="containsText" dxfId="1424" priority="1">
      <formula>NOT(ISERROR(SEARCH("Mitigated",K14)))</formula>
    </cfRule>
    <cfRule type="containsText" dxfId="1425" priority="2">
      <formula>NOT(ISERROR(SEARCH("Not Mitigated",K14)))</formula>
    </cfRule>
  </conditionalFormatting>
  <conditionalFormatting sqref="$F$15">
    <cfRule type="containsText" dxfId="1426" priority="1">
      <formula>NOT(ISERROR(SEARCH("Yes",F15)))</formula>
    </cfRule>
  </conditionalFormatting>
  <conditionalFormatting sqref="$G$15">
    <cfRule type="containsText" dxfId="1427" priority="1">
      <formula>NOT(ISERROR(SEARCH("Yes",G15)))</formula>
    </cfRule>
    <cfRule type="containsText" dxfId="1428" priority="2">
      <formula>NOT(ISERROR(SEARCH("No; explanation in comments",G15)))</formula>
    </cfRule>
  </conditionalFormatting>
  <conditionalFormatting sqref="$J$15">
    <cfRule type="containsText" dxfId="1429" priority="1">
      <formula>NOT(ISERROR(SEARCH("Yes",J15)))</formula>
    </cfRule>
  </conditionalFormatting>
  <conditionalFormatting sqref="$K$15">
    <cfRule type="containsText" dxfId="1430" priority="1">
      <formula>NOT(ISERROR(SEARCH("Mitigated",K15)))</formula>
    </cfRule>
    <cfRule type="containsText" dxfId="1431" priority="2">
      <formula>NOT(ISERROR(SEARCH("Not Mitigated",K15)))</formula>
    </cfRule>
  </conditionalFormatting>
  <conditionalFormatting sqref="$F$16">
    <cfRule type="containsText" dxfId="1432" priority="1">
      <formula>NOT(ISERROR(SEARCH("Yes",F16)))</formula>
    </cfRule>
  </conditionalFormatting>
  <conditionalFormatting sqref="$G$16">
    <cfRule type="containsText" dxfId="1433" priority="1">
      <formula>NOT(ISERROR(SEARCH("Yes",G16)))</formula>
    </cfRule>
    <cfRule type="containsText" dxfId="1434" priority="2">
      <formula>NOT(ISERROR(SEARCH("No; explanation in comments",G16)))</formula>
    </cfRule>
  </conditionalFormatting>
  <conditionalFormatting sqref="$J$16">
    <cfRule type="containsText" dxfId="1435" priority="1">
      <formula>NOT(ISERROR(SEARCH("Yes",J16)))</formula>
    </cfRule>
  </conditionalFormatting>
  <conditionalFormatting sqref="$K$16">
    <cfRule type="containsText" dxfId="1436" priority="1">
      <formula>NOT(ISERROR(SEARCH("Mitigated",K16)))</formula>
    </cfRule>
    <cfRule type="containsText" dxfId="1437" priority="2">
      <formula>NOT(ISERROR(SEARCH("Not Mitigated",K16)))</formula>
    </cfRule>
  </conditionalFormatting>
  <conditionalFormatting sqref="$F$17">
    <cfRule type="containsText" dxfId="1438" priority="1">
      <formula>NOT(ISERROR(SEARCH("Yes",F17)))</formula>
    </cfRule>
  </conditionalFormatting>
  <conditionalFormatting sqref="$G$17">
    <cfRule type="containsText" dxfId="1439" priority="1">
      <formula>NOT(ISERROR(SEARCH("Yes",G17)))</formula>
    </cfRule>
    <cfRule type="containsText" dxfId="1440" priority="2">
      <formula>NOT(ISERROR(SEARCH("No; explanation in comments",G17)))</formula>
    </cfRule>
  </conditionalFormatting>
  <conditionalFormatting sqref="$J$17">
    <cfRule type="containsText" dxfId="1441" priority="1">
      <formula>NOT(ISERROR(SEARCH("Yes",J17)))</formula>
    </cfRule>
  </conditionalFormatting>
  <conditionalFormatting sqref="$K$17">
    <cfRule type="containsText" dxfId="1442" priority="1">
      <formula>NOT(ISERROR(SEARCH("Mitigated",K17)))</formula>
    </cfRule>
    <cfRule type="containsText" dxfId="1443" priority="2">
      <formula>NOT(ISERROR(SEARCH("Not Mitigated",K17)))</formula>
    </cfRule>
  </conditionalFormatting>
  <conditionalFormatting sqref="$F$18">
    <cfRule type="containsText" dxfId="1444" priority="1">
      <formula>NOT(ISERROR(SEARCH("Yes",F18)))</formula>
    </cfRule>
  </conditionalFormatting>
  <conditionalFormatting sqref="$G$18">
    <cfRule type="containsText" dxfId="1445" priority="1">
      <formula>NOT(ISERROR(SEARCH("Yes",G18)))</formula>
    </cfRule>
    <cfRule type="containsText" dxfId="1446" priority="2">
      <formula>NOT(ISERROR(SEARCH("No; explanation in comments",G18)))</formula>
    </cfRule>
  </conditionalFormatting>
  <conditionalFormatting sqref="$J$18">
    <cfRule type="containsText" dxfId="1447" priority="1">
      <formula>NOT(ISERROR(SEARCH("Yes",J18)))</formula>
    </cfRule>
  </conditionalFormatting>
  <conditionalFormatting sqref="$K$18">
    <cfRule type="containsText" dxfId="1448" priority="1">
      <formula>NOT(ISERROR(SEARCH("Mitigated",K18)))</formula>
    </cfRule>
    <cfRule type="containsText" dxfId="1449" priority="2">
      <formula>NOT(ISERROR(SEARCH("Not Mitigated",K18)))</formula>
    </cfRule>
  </conditionalFormatting>
  <conditionalFormatting sqref="$F$19">
    <cfRule type="containsText" dxfId="1450" priority="1">
      <formula>NOT(ISERROR(SEARCH("Yes",F19)))</formula>
    </cfRule>
  </conditionalFormatting>
  <conditionalFormatting sqref="$G$19">
    <cfRule type="containsText" dxfId="1451" priority="1">
      <formula>NOT(ISERROR(SEARCH("Yes",G19)))</formula>
    </cfRule>
    <cfRule type="containsText" dxfId="1452" priority="2">
      <formula>NOT(ISERROR(SEARCH("No; explanation in comments",G19)))</formula>
    </cfRule>
  </conditionalFormatting>
  <conditionalFormatting sqref="$J$19">
    <cfRule type="containsText" dxfId="1453" priority="1">
      <formula>NOT(ISERROR(SEARCH("Yes",J19)))</formula>
    </cfRule>
  </conditionalFormatting>
  <conditionalFormatting sqref="$K$19">
    <cfRule type="containsText" dxfId="1454" priority="1">
      <formula>NOT(ISERROR(SEARCH("Mitigated",K19)))</formula>
    </cfRule>
    <cfRule type="containsText" dxfId="1455" priority="2">
      <formula>NOT(ISERROR(SEARCH("Not Mitigated",K19)))</formula>
    </cfRule>
  </conditionalFormatting>
  <dataValidations count="4">
    <dataValidation type="list" sqref="G10:G19">
      <formula1>"-,Yes,No; explanation in comments"</formula1>
    </dataValidation>
    <dataValidation type="list" sqref="G2:G19">
      <formula1>"-,Yes,No; explanation in comments"</formula1>
    </dataValidation>
    <dataValidation type="list" sqref="K10:K19">
      <formula1>"Mitigated,Not Mitigated,Not Assessed Yet,N/A"</formula1>
    </dataValidation>
    <dataValidation type="list" sqref="K2:K19">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85" t="s">
        <v>39</v>
      </c>
      <c r="B2" s="86" t="s">
        <v>876</v>
      </c>
      <c r="C2" s="56">
        <f>=IF(ATHENAInUse="Yes","Yes","No")</f>
      </c>
      <c r="D2" s="56" t="s">
        <v>877</v>
      </c>
      <c r="E2" s="56" t="s">
        <v>878</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=COUNTIFS(C2:C28,"Yes")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85" t="s">
        <v>39</v>
      </c>
      <c r="B3" s="86" t="s">
        <v>879</v>
      </c>
      <c r="C3" s="56">
        <f>=IF(ATHENAInUse="Yes","Yes","No")</f>
      </c>
      <c r="D3" s="56" t="s">
        <v>880</v>
      </c>
      <c r="E3" s="56" t="s">
        <v>881</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20" customHeight="1" spans="1:27" s="53" customFormat="1" x14ac:dyDescent="0.25">
      <c r="A4" s="87" t="s">
        <v>44</v>
      </c>
      <c r="B4" s="88" t="s">
        <v>882</v>
      </c>
      <c r="C4" s="56">
        <f>=IF(ELASTIC_MAP_REDUCEInUse="Yes","Yes","No")</f>
      </c>
      <c r="D4" s="56" t="s">
        <v>883</v>
      </c>
      <c r="E4" s="56" t="s">
        <v>884</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=SUM(W2:W28)</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35" customHeight="1" spans="1:27" s="53" customFormat="1" x14ac:dyDescent="0.25">
      <c r="A5" s="87" t="s">
        <v>44</v>
      </c>
      <c r="B5" s="88" t="s">
        <v>885</v>
      </c>
      <c r="C5" s="56">
        <f>=IF(ELASTIC_MAP_REDUCEInUse="Yes","Yes","No")</f>
      </c>
      <c r="D5" s="56" t="s">
        <v>886</v>
      </c>
      <c r="E5" s="56" t="s">
        <v>887</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=SUM(X2:X28)</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65" customHeight="1" spans="1:27" s="53" customFormat="1" x14ac:dyDescent="0.25">
      <c r="A6" s="87" t="s">
        <v>44</v>
      </c>
      <c r="B6" s="88" t="s">
        <v>888</v>
      </c>
      <c r="C6" s="56">
        <f>=IF(ELASTIC_MAP_REDUCEInUse="Yes","Yes","No")</f>
      </c>
      <c r="D6" s="56" t="s">
        <v>889</v>
      </c>
      <c r="E6" s="56" t="s">
        <v>890</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=SUM(Z2:Z28)</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35" customHeight="1" spans="1:27" s="53" customFormat="1" x14ac:dyDescent="0.25">
      <c r="A7" s="87" t="s">
        <v>44</v>
      </c>
      <c r="B7" s="88" t="s">
        <v>891</v>
      </c>
      <c r="C7" s="56">
        <f>=IF(ELASTIC_MAP_REDUCEInUse="Yes","Yes","No")</f>
      </c>
      <c r="D7" s="56" t="s">
        <v>892</v>
      </c>
      <c r="E7" s="56" t="s">
        <v>893</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=SUM(AA2:AA28)</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85" t="s">
        <v>48</v>
      </c>
      <c r="B8" s="86" t="s">
        <v>894</v>
      </c>
      <c r="C8" s="56">
        <f>=IF(OPENSEARCHInUse="Yes","Yes","No")</f>
      </c>
      <c r="D8" s="56" t="s">
        <v>895</v>
      </c>
      <c r="E8" s="56" t="s">
        <v>896</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50" customHeight="1" spans="1:27" s="53" customFormat="1" x14ac:dyDescent="0.25">
      <c r="A9" s="85" t="s">
        <v>48</v>
      </c>
      <c r="B9" s="86" t="s">
        <v>897</v>
      </c>
      <c r="C9" s="56">
        <f>=IF(OPENSEARCHInUse="Yes","Yes","No")</f>
      </c>
      <c r="D9" s="56" t="s">
        <v>898</v>
      </c>
      <c r="E9" s="56" t="s">
        <v>5</v>
      </c>
      <c r="F9" s="56">
        <f>=IF(AND(C9="Yes",G9="-"), "Yes", "No")</f>
      </c>
      <c r="G9" s="56" t="s">
        <v>13</v>
      </c>
      <c r="H9" s="56" t="s">
        <v>5</v>
      </c>
      <c r="I9" s="56" t="s">
        <v>242</v>
      </c>
      <c r="J9" s="56" t="s">
        <v>32</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85" t="s">
        <v>48</v>
      </c>
      <c r="B10" s="86" t="s">
        <v>899</v>
      </c>
      <c r="C10" s="56">
        <f>=IF(OPENSEARCHInUse="Yes","Yes","No")</f>
      </c>
      <c r="D10" s="56" t="s">
        <v>900</v>
      </c>
      <c r="E10" s="56" t="s">
        <v>901</v>
      </c>
      <c r="F10" s="56">
        <f>=IF(AND(C10="Yes",G10="-"), "Yes", "No")</f>
      </c>
      <c r="G10" s="56" t="s">
        <v>13</v>
      </c>
      <c r="H10" s="56" t="s">
        <v>5</v>
      </c>
      <c r="I10" s="56" t="s">
        <v>242</v>
      </c>
      <c r="J10" s="56" t="s">
        <v>32</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85" t="s">
        <v>48</v>
      </c>
      <c r="B11" s="86" t="s">
        <v>902</v>
      </c>
      <c r="C11" s="56">
        <f>=IF(OPENSEARCHInUse="Yes","Yes","No")</f>
      </c>
      <c r="D11" s="56" t="s">
        <v>903</v>
      </c>
      <c r="E11" s="56" t="s">
        <v>904</v>
      </c>
      <c r="F11" s="56">
        <f>=IF(AND(C11="Yes",G11="-"), "Yes", "No")</f>
      </c>
      <c r="G11" s="56" t="s">
        <v>13</v>
      </c>
      <c r="H11" s="56" t="s">
        <v>5</v>
      </c>
      <c r="I11" s="56" t="s">
        <v>242</v>
      </c>
      <c r="J11" s="56" t="s">
        <v>32</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65" customHeight="1" spans="1:27" s="53" customFormat="1" x14ac:dyDescent="0.25">
      <c r="A12" s="85" t="s">
        <v>48</v>
      </c>
      <c r="B12" s="86" t="s">
        <v>905</v>
      </c>
      <c r="C12" s="56">
        <f>=IF(OPENSEARCHInUse="Yes","Yes","No")</f>
      </c>
      <c r="D12" s="56" t="s">
        <v>906</v>
      </c>
      <c r="E12" s="56" t="s">
        <v>907</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35" customHeight="1" spans="1:27" s="53" customFormat="1" x14ac:dyDescent="0.25">
      <c r="A13" s="85" t="s">
        <v>48</v>
      </c>
      <c r="B13" s="86" t="s">
        <v>908</v>
      </c>
      <c r="C13" s="56">
        <f>=IF(OPENSEARCHInUse="Yes","Yes","No")</f>
      </c>
      <c r="D13" s="56" t="s">
        <v>909</v>
      </c>
      <c r="E13" s="56" t="s">
        <v>910</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65" customHeight="1" spans="1:27" s="53" customFormat="1" x14ac:dyDescent="0.25">
      <c r="A14" s="85" t="s">
        <v>48</v>
      </c>
      <c r="B14" s="86" t="s">
        <v>911</v>
      </c>
      <c r="C14" s="56">
        <f>=IF(OPENSEARCHInUse="Yes","Yes","No")</f>
      </c>
      <c r="D14" s="56" t="s">
        <v>912</v>
      </c>
      <c r="E14" s="56" t="s">
        <v>913</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35" customHeight="1" spans="1:27" s="53" customFormat="1" x14ac:dyDescent="0.25">
      <c r="A15" s="87" t="s">
        <v>52</v>
      </c>
      <c r="B15" s="88" t="s">
        <v>914</v>
      </c>
      <c r="C15" s="56">
        <f>=IF(KINESIS_DATA_ANALYTICSInUse="Yes","Yes","No")</f>
      </c>
      <c r="D15" s="56" t="s">
        <v>915</v>
      </c>
      <c r="E15" s="56" t="s">
        <v>916</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20" customHeight="1" spans="1:27" s="53" customFormat="1" x14ac:dyDescent="0.25">
      <c r="A16" s="85" t="s">
        <v>55</v>
      </c>
      <c r="B16" s="86" t="s">
        <v>917</v>
      </c>
      <c r="C16" s="56">
        <f>=IF(MANAGED_STREAMING_FOR_APACHE_KAFKAInUse="Yes","Yes","No")</f>
      </c>
      <c r="D16" s="56" t="s">
        <v>918</v>
      </c>
      <c r="E16" s="56" t="s">
        <v>919</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95" customHeight="1" spans="1:27" s="53" customFormat="1" x14ac:dyDescent="0.25">
      <c r="A17" s="85" t="s">
        <v>55</v>
      </c>
      <c r="B17" s="86" t="s">
        <v>920</v>
      </c>
      <c r="C17" s="56">
        <f>=IF(MANAGED_STREAMING_FOR_APACHE_KAFKAInUse="Yes","Yes","No")</f>
      </c>
      <c r="D17" s="56" t="s">
        <v>921</v>
      </c>
      <c r="E17" s="56" t="s">
        <v>922</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35" customHeight="1" spans="1:27" s="53" customFormat="1" x14ac:dyDescent="0.25">
      <c r="A18" s="85" t="s">
        <v>55</v>
      </c>
      <c r="B18" s="86" t="s">
        <v>923</v>
      </c>
      <c r="C18" s="56">
        <f>=IF(MANAGED_STREAMING_FOR_APACHE_KAFKAInUse="Yes","Yes","No")</f>
      </c>
      <c r="D18" s="56" t="s">
        <v>924</v>
      </c>
      <c r="E18" s="56" t="s">
        <v>925</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125" customHeight="1" spans="1:27" s="53" customFormat="1" x14ac:dyDescent="0.25">
      <c r="A19" s="85" t="s">
        <v>55</v>
      </c>
      <c r="B19" s="86" t="s">
        <v>926</v>
      </c>
      <c r="C19" s="56">
        <f>=IF(MANAGED_STREAMING_FOR_APACHE_KAFKAInUse="Yes","Yes","No")</f>
      </c>
      <c r="D19" s="56" t="s">
        <v>927</v>
      </c>
      <c r="E19" s="56" t="s">
        <v>928</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65" customHeight="1" spans="1:27" s="53" customFormat="1" x14ac:dyDescent="0.25">
      <c r="A20" s="85" t="s">
        <v>55</v>
      </c>
      <c r="B20" s="86" t="s">
        <v>929</v>
      </c>
      <c r="C20" s="56">
        <f>=IF(MANAGED_STREAMING_FOR_APACHE_KAFKAInUse="Yes","Yes","No")</f>
      </c>
      <c r="D20" s="56" t="s">
        <v>930</v>
      </c>
      <c r="E20" s="56" t="s">
        <v>931</v>
      </c>
      <c r="F20" s="56">
        <f>=IF(AND(C20="Yes",G20="-"), "Yes", "No")</f>
      </c>
      <c r="G20" s="56" t="s">
        <v>13</v>
      </c>
      <c r="H20" s="56" t="s">
        <v>5</v>
      </c>
      <c r="I20" s="56" t="s">
        <v>242</v>
      </c>
      <c r="J20" s="56" t="s">
        <v>32</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80" customHeight="1" spans="1:27" s="53" customFormat="1" x14ac:dyDescent="0.25">
      <c r="A21" s="85" t="s">
        <v>55</v>
      </c>
      <c r="B21" s="86" t="s">
        <v>932</v>
      </c>
      <c r="C21" s="56">
        <f>=IF(MANAGED_STREAMING_FOR_APACHE_KAFKAInUse="Yes","Yes","No")</f>
      </c>
      <c r="D21" s="56" t="s">
        <v>933</v>
      </c>
      <c r="E21" s="56" t="s">
        <v>934</v>
      </c>
      <c r="F21" s="56">
        <f>=IF(AND(C21="Yes",G21="-"), "Yes", "No")</f>
      </c>
      <c r="G21" s="56" t="s">
        <v>13</v>
      </c>
      <c r="H21" s="56" t="s">
        <v>5</v>
      </c>
      <c r="I21" s="56" t="s">
        <v>242</v>
      </c>
      <c r="J21" s="56" t="s">
        <v>32</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35" customHeight="1" spans="1:27" s="53" customFormat="1" x14ac:dyDescent="0.25">
      <c r="A22" s="85" t="s">
        <v>55</v>
      </c>
      <c r="B22" s="86" t="s">
        <v>935</v>
      </c>
      <c r="C22" s="56">
        <f>=IF(MANAGED_STREAMING_FOR_APACHE_KAFKAInUse="Yes","Yes","No")</f>
      </c>
      <c r="D22" s="56" t="s">
        <v>936</v>
      </c>
      <c r="E22" s="56" t="s">
        <v>937</v>
      </c>
      <c r="F22" s="56">
        <f>=IF(AND(C22="Yes",G22="-"), "Yes", "No")</f>
      </c>
      <c r="G22" s="56" t="s">
        <v>13</v>
      </c>
      <c r="H22" s="56" t="s">
        <v>5</v>
      </c>
      <c r="I22" s="56" t="s">
        <v>242</v>
      </c>
      <c r="J22" s="56" t="s">
        <v>32</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85" t="s">
        <v>55</v>
      </c>
      <c r="B23" s="86" t="s">
        <v>938</v>
      </c>
      <c r="C23" s="56">
        <f>=IF(MANAGED_STREAMING_FOR_APACHE_KAFKAInUse="Yes","Yes","No")</f>
      </c>
      <c r="D23" s="56" t="s">
        <v>939</v>
      </c>
      <c r="E23" s="56" t="s">
        <v>940</v>
      </c>
      <c r="F23" s="56">
        <f>=IF(AND(C23="Yes",G23="-"), "Yes", "No")</f>
      </c>
      <c r="G23" s="56" t="s">
        <v>13</v>
      </c>
      <c r="H23" s="56" t="s">
        <v>5</v>
      </c>
      <c r="I23" s="56" t="s">
        <v>242</v>
      </c>
      <c r="J23" s="56" t="s">
        <v>32</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row r="24" ht="50" customHeight="1" spans="1:27" s="53" customFormat="1" x14ac:dyDescent="0.25">
      <c r="A24" s="85" t="s">
        <v>55</v>
      </c>
      <c r="B24" s="86" t="s">
        <v>941</v>
      </c>
      <c r="C24" s="56">
        <f>=IF(MANAGED_STREAMING_FOR_APACHE_KAFKAInUse="Yes","Yes","No")</f>
      </c>
      <c r="D24" s="56" t="s">
        <v>942</v>
      </c>
      <c r="E24" s="56" t="s">
        <v>943</v>
      </c>
      <c r="F24" s="56">
        <f>=IF(AND(C24="Yes",G24="-"), "Yes", "No")</f>
      </c>
      <c r="G24" s="56" t="s">
        <v>13</v>
      </c>
      <c r="H24" s="56" t="s">
        <v>5</v>
      </c>
      <c r="I24" s="56" t="s">
        <v>229</v>
      </c>
      <c r="J24" s="56" t="s">
        <v>226</v>
      </c>
      <c r="K24" s="56" t="s">
        <v>230</v>
      </c>
      <c r="L24" s="56" t="s">
        <v>5</v>
      </c>
      <c r="M24" s="56" t="s">
        <v>5</v>
      </c>
      <c r="N24" s="56" t="s">
        <v>5</v>
      </c>
      <c r="O24" s="56" t="s">
        <v>5</v>
      </c>
      <c r="P24" s="56" t="s">
        <v>5</v>
      </c>
      <c r="Q24" s="56" t="s">
        <v>5</v>
      </c>
      <c r="R24" s="56" t="s">
        <v>5</v>
      </c>
      <c r="S24" s="56" t="s">
        <v>5</v>
      </c>
      <c r="T24" s="56" t="s">
        <v>5</v>
      </c>
      <c r="U24" s="56" t="s">
        <v>5</v>
      </c>
      <c r="V24" s="56">
        <f>=IF(AND(C24="Yes",G24="-"), 1, 0)</f>
      </c>
      <c r="W24" s="56">
        <f>=IF(AND(C24="Yes",G24="Yes"), 1, 0)</f>
      </c>
      <c r="X24" s="56">
        <f>=IF(AND(C24="Yes",G24="No; explanation in comments"), 1, 0)</f>
      </c>
      <c r="Y24" s="56">
        <f>=IF(AND(C24="Yes",K24="Not Assessed Yet"), 1, 0)</f>
      </c>
      <c r="Z24" s="56">
        <f>=IF(AND(C24="Yes",AND(G24&lt;&gt;"-",K24="Mitigated")), 1, 0)</f>
      </c>
      <c r="AA24" s="56">
        <f>=IF(AND(C24="Yes",AND(G24&lt;&gt;"-",K24="Not Mitigated")), 1, 0)</f>
      </c>
    </row>
    <row r="25" ht="50" customHeight="1" spans="1:27" s="53" customFormat="1" x14ac:dyDescent="0.25">
      <c r="A25" s="87" t="s">
        <v>58</v>
      </c>
      <c r="B25" s="88" t="s">
        <v>944</v>
      </c>
      <c r="C25" s="56">
        <f>=IF(QUICKSIGHTInUse="Yes","Yes","No")</f>
      </c>
      <c r="D25" s="56" t="s">
        <v>945</v>
      </c>
      <c r="E25" s="56" t="s">
        <v>946</v>
      </c>
      <c r="F25" s="56">
        <f>=IF(AND(C25="Yes",G25="-"), "Yes", "No")</f>
      </c>
      <c r="G25" s="56" t="s">
        <v>13</v>
      </c>
      <c r="H25" s="56" t="s">
        <v>5</v>
      </c>
      <c r="I25" s="56" t="s">
        <v>229</v>
      </c>
      <c r="J25" s="56" t="s">
        <v>226</v>
      </c>
      <c r="K25" s="56" t="s">
        <v>230</v>
      </c>
      <c r="L25" s="56" t="s">
        <v>5</v>
      </c>
      <c r="M25" s="56" t="s">
        <v>5</v>
      </c>
      <c r="N25" s="56" t="s">
        <v>5</v>
      </c>
      <c r="O25" s="56" t="s">
        <v>5</v>
      </c>
      <c r="P25" s="56" t="s">
        <v>5</v>
      </c>
      <c r="Q25" s="56" t="s">
        <v>5</v>
      </c>
      <c r="R25" s="56" t="s">
        <v>5</v>
      </c>
      <c r="S25" s="56" t="s">
        <v>5</v>
      </c>
      <c r="T25" s="56" t="s">
        <v>5</v>
      </c>
      <c r="U25" s="56" t="s">
        <v>5</v>
      </c>
      <c r="V25" s="56">
        <f>=IF(AND(C25="Yes",G25="-"), 1, 0)</f>
      </c>
      <c r="W25" s="56">
        <f>=IF(AND(C25="Yes",G25="Yes"), 1, 0)</f>
      </c>
      <c r="X25" s="56">
        <f>=IF(AND(C25="Yes",G25="No; explanation in comments"), 1, 0)</f>
      </c>
      <c r="Y25" s="56">
        <f>=IF(AND(C25="Yes",K25="Not Assessed Yet"), 1, 0)</f>
      </c>
      <c r="Z25" s="56">
        <f>=IF(AND(C25="Yes",AND(G25&lt;&gt;"-",K25="Mitigated")), 1, 0)</f>
      </c>
      <c r="AA25" s="56">
        <f>=IF(AND(C25="Yes",AND(G25&lt;&gt;"-",K25="Not Mitigated")), 1, 0)</f>
      </c>
    </row>
    <row r="26" ht="35" customHeight="1" spans="1:27" s="53" customFormat="1" x14ac:dyDescent="0.25">
      <c r="A26" s="87" t="s">
        <v>58</v>
      </c>
      <c r="B26" s="88" t="s">
        <v>947</v>
      </c>
      <c r="C26" s="56">
        <f>=IF(QUICKSIGHTInUse="Yes","Yes","No")</f>
      </c>
      <c r="D26" s="56" t="s">
        <v>948</v>
      </c>
      <c r="E26" s="56" t="s">
        <v>949</v>
      </c>
      <c r="F26" s="56">
        <f>=IF(AND(C26="Yes",G26="-"), "Yes", "No")</f>
      </c>
      <c r="G26" s="56" t="s">
        <v>13</v>
      </c>
      <c r="H26" s="56" t="s">
        <v>5</v>
      </c>
      <c r="I26" s="56" t="s">
        <v>229</v>
      </c>
      <c r="J26" s="56" t="s">
        <v>226</v>
      </c>
      <c r="K26" s="56" t="s">
        <v>230</v>
      </c>
      <c r="L26" s="56" t="s">
        <v>5</v>
      </c>
      <c r="M26" s="56" t="s">
        <v>5</v>
      </c>
      <c r="N26" s="56" t="s">
        <v>5</v>
      </c>
      <c r="O26" s="56" t="s">
        <v>5</v>
      </c>
      <c r="P26" s="56" t="s">
        <v>5</v>
      </c>
      <c r="Q26" s="56" t="s">
        <v>5</v>
      </c>
      <c r="R26" s="56" t="s">
        <v>5</v>
      </c>
      <c r="S26" s="56" t="s">
        <v>5</v>
      </c>
      <c r="T26" s="56" t="s">
        <v>5</v>
      </c>
      <c r="U26" s="56" t="s">
        <v>5</v>
      </c>
      <c r="V26" s="56">
        <f>=IF(AND(C26="Yes",G26="-"), 1, 0)</f>
      </c>
      <c r="W26" s="56">
        <f>=IF(AND(C26="Yes",G26="Yes"), 1, 0)</f>
      </c>
      <c r="X26" s="56">
        <f>=IF(AND(C26="Yes",G26="No; explanation in comments"), 1, 0)</f>
      </c>
      <c r="Y26" s="56">
        <f>=IF(AND(C26="Yes",K26="Not Assessed Yet"), 1, 0)</f>
      </c>
      <c r="Z26" s="56">
        <f>=IF(AND(C26="Yes",AND(G26&lt;&gt;"-",K26="Mitigated")), 1, 0)</f>
      </c>
      <c r="AA26" s="56">
        <f>=IF(AND(C26="Yes",AND(G26&lt;&gt;"-",K26="Not Mitigated")), 1, 0)</f>
      </c>
    </row>
    <row r="27" ht="50" customHeight="1" spans="1:27" s="53" customFormat="1" x14ac:dyDescent="0.25">
      <c r="A27" s="85" t="s">
        <v>60</v>
      </c>
      <c r="B27" s="86" t="s">
        <v>950</v>
      </c>
      <c r="C27" s="56">
        <f>=IF(KINESIS_DATA_FIREHOSEInUse="Yes","Yes","No")</f>
      </c>
      <c r="D27" s="56" t="s">
        <v>951</v>
      </c>
      <c r="E27" s="56" t="s">
        <v>952</v>
      </c>
      <c r="F27" s="56">
        <f>=IF(AND(C27="Yes",G27="-"), "Yes", "No")</f>
      </c>
      <c r="G27" s="56" t="s">
        <v>13</v>
      </c>
      <c r="H27" s="56" t="s">
        <v>5</v>
      </c>
      <c r="I27" s="56" t="s">
        <v>229</v>
      </c>
      <c r="J27" s="56" t="s">
        <v>226</v>
      </c>
      <c r="K27" s="56" t="s">
        <v>230</v>
      </c>
      <c r="L27" s="56" t="s">
        <v>5</v>
      </c>
      <c r="M27" s="56" t="s">
        <v>5</v>
      </c>
      <c r="N27" s="56" t="s">
        <v>5</v>
      </c>
      <c r="O27" s="56" t="s">
        <v>5</v>
      </c>
      <c r="P27" s="56" t="s">
        <v>5</v>
      </c>
      <c r="Q27" s="56" t="s">
        <v>5</v>
      </c>
      <c r="R27" s="56" t="s">
        <v>5</v>
      </c>
      <c r="S27" s="56" t="s">
        <v>5</v>
      </c>
      <c r="T27" s="56" t="s">
        <v>5</v>
      </c>
      <c r="U27" s="56" t="s">
        <v>5</v>
      </c>
      <c r="V27" s="56">
        <f>=IF(AND(C27="Yes",G27="-"), 1, 0)</f>
      </c>
      <c r="W27" s="56">
        <f>=IF(AND(C27="Yes",G27="Yes"), 1, 0)</f>
      </c>
      <c r="X27" s="56">
        <f>=IF(AND(C27="Yes",G27="No; explanation in comments"), 1, 0)</f>
      </c>
      <c r="Y27" s="56">
        <f>=IF(AND(C27="Yes",K27="Not Assessed Yet"), 1, 0)</f>
      </c>
      <c r="Z27" s="56">
        <f>=IF(AND(C27="Yes",AND(G27&lt;&gt;"-",K27="Mitigated")), 1, 0)</f>
      </c>
      <c r="AA27" s="56">
        <f>=IF(AND(C27="Yes",AND(G27&lt;&gt;"-",K27="Not Mitigated")), 1, 0)</f>
      </c>
    </row>
    <row r="28" ht="35" customHeight="1" spans="1:27" s="53" customFormat="1" x14ac:dyDescent="0.25">
      <c r="A28" s="85" t="s">
        <v>60</v>
      </c>
      <c r="B28" s="86" t="s">
        <v>953</v>
      </c>
      <c r="C28" s="56">
        <f>=IF(KINESIS_DATA_FIREHOSEInUse="Yes","Yes","No")</f>
      </c>
      <c r="D28" s="56" t="s">
        <v>954</v>
      </c>
      <c r="E28" s="56" t="s">
        <v>955</v>
      </c>
      <c r="F28" s="56">
        <f>=IF(AND(C28="Yes",G28="-"), "Yes", "No")</f>
      </c>
      <c r="G28" s="56" t="s">
        <v>13</v>
      </c>
      <c r="H28" s="56" t="s">
        <v>5</v>
      </c>
      <c r="I28" s="56" t="s">
        <v>229</v>
      </c>
      <c r="J28" s="56" t="s">
        <v>226</v>
      </c>
      <c r="K28" s="56" t="s">
        <v>230</v>
      </c>
      <c r="L28" s="56" t="s">
        <v>5</v>
      </c>
      <c r="M28" s="56" t="s">
        <v>5</v>
      </c>
      <c r="N28" s="56" t="s">
        <v>5</v>
      </c>
      <c r="O28" s="56" t="s">
        <v>5</v>
      </c>
      <c r="P28" s="56" t="s">
        <v>5</v>
      </c>
      <c r="Q28" s="56" t="s">
        <v>5</v>
      </c>
      <c r="R28" s="56" t="s">
        <v>5</v>
      </c>
      <c r="S28" s="56" t="s">
        <v>5</v>
      </c>
      <c r="T28" s="56" t="s">
        <v>5</v>
      </c>
      <c r="U28" s="56" t="s">
        <v>5</v>
      </c>
      <c r="V28" s="56">
        <f>=IF(AND(C28="Yes",G28="-"), 1, 0)</f>
      </c>
      <c r="W28" s="56">
        <f>=IF(AND(C28="Yes",G28="Yes"), 1, 0)</f>
      </c>
      <c r="X28" s="56">
        <f>=IF(AND(C28="Yes",G28="No; explanation in comments"), 1, 0)</f>
      </c>
      <c r="Y28" s="56">
        <f>=IF(AND(C28="Yes",K28="Not Assessed Yet"), 1, 0)</f>
      </c>
      <c r="Z28" s="56">
        <f>=IF(AND(C28="Yes",AND(G28&lt;&gt;"-",K28="Mitigated")), 1, 0)</f>
      </c>
      <c r="AA28" s="56">
        <f>=IF(AND(C28="Yes",AND(G28&lt;&gt;"-",K28="Not Mitigated")), 1, 0)</f>
      </c>
    </row>
  </sheetData>
  <autoFilter ref="A1:L1"/>
  <conditionalFormatting sqref="$F$2">
    <cfRule type="containsText" dxfId="1456" priority="1">
      <formula>NOT(ISERROR(SEARCH("Yes",F2)))</formula>
    </cfRule>
  </conditionalFormatting>
  <conditionalFormatting sqref="$G$2">
    <cfRule type="containsText" dxfId="1457" priority="1">
      <formula>NOT(ISERROR(SEARCH("Yes",G2)))</formula>
    </cfRule>
    <cfRule type="containsText" dxfId="1458" priority="2">
      <formula>NOT(ISERROR(SEARCH("No; explanation in comments",G2)))</formula>
    </cfRule>
  </conditionalFormatting>
  <conditionalFormatting sqref="$J$2">
    <cfRule type="containsText" dxfId="1459" priority="1">
      <formula>NOT(ISERROR(SEARCH("Yes",J2)))</formula>
    </cfRule>
  </conditionalFormatting>
  <conditionalFormatting sqref="$K$2">
    <cfRule type="containsText" dxfId="1460" priority="1">
      <formula>NOT(ISERROR(SEARCH("Mitigated",K2)))</formula>
    </cfRule>
    <cfRule type="containsText" dxfId="1461" priority="2">
      <formula>NOT(ISERROR(SEARCH("Not Mitigated",K2)))</formula>
    </cfRule>
  </conditionalFormatting>
  <conditionalFormatting sqref="$F$3">
    <cfRule type="containsText" dxfId="1462" priority="1">
      <formula>NOT(ISERROR(SEARCH("Yes",F3)))</formula>
    </cfRule>
  </conditionalFormatting>
  <conditionalFormatting sqref="$G$3">
    <cfRule type="containsText" dxfId="1463" priority="1">
      <formula>NOT(ISERROR(SEARCH("Yes",G3)))</formula>
    </cfRule>
    <cfRule type="containsText" dxfId="1464" priority="2">
      <formula>NOT(ISERROR(SEARCH("No; explanation in comments",G3)))</formula>
    </cfRule>
  </conditionalFormatting>
  <conditionalFormatting sqref="$J$3">
    <cfRule type="containsText" dxfId="1465" priority="1">
      <formula>NOT(ISERROR(SEARCH("Yes",J3)))</formula>
    </cfRule>
  </conditionalFormatting>
  <conditionalFormatting sqref="$K$3">
    <cfRule type="containsText" dxfId="1466" priority="1">
      <formula>NOT(ISERROR(SEARCH("Mitigated",K3)))</formula>
    </cfRule>
    <cfRule type="containsText" dxfId="1467" priority="2">
      <formula>NOT(ISERROR(SEARCH("Not Mitigated",K3)))</formula>
    </cfRule>
  </conditionalFormatting>
  <conditionalFormatting sqref="$F$4">
    <cfRule type="containsText" dxfId="1468" priority="1">
      <formula>NOT(ISERROR(SEARCH("Yes",F4)))</formula>
    </cfRule>
  </conditionalFormatting>
  <conditionalFormatting sqref="$G$4">
    <cfRule type="containsText" dxfId="1469" priority="1">
      <formula>NOT(ISERROR(SEARCH("Yes",G4)))</formula>
    </cfRule>
    <cfRule type="containsText" dxfId="1470" priority="2">
      <formula>NOT(ISERROR(SEARCH("No; explanation in comments",G4)))</formula>
    </cfRule>
  </conditionalFormatting>
  <conditionalFormatting sqref="$J$4">
    <cfRule type="containsText" dxfId="1471" priority="1">
      <formula>NOT(ISERROR(SEARCH("Yes",J4)))</formula>
    </cfRule>
  </conditionalFormatting>
  <conditionalFormatting sqref="$K$4">
    <cfRule type="containsText" dxfId="1472" priority="1">
      <formula>NOT(ISERROR(SEARCH("Mitigated",K4)))</formula>
    </cfRule>
    <cfRule type="containsText" dxfId="1473" priority="2">
      <formula>NOT(ISERROR(SEARCH("Not Mitigated",K4)))</formula>
    </cfRule>
  </conditionalFormatting>
  <conditionalFormatting sqref="$F$5">
    <cfRule type="containsText" dxfId="1474" priority="1">
      <formula>NOT(ISERROR(SEARCH("Yes",F5)))</formula>
    </cfRule>
  </conditionalFormatting>
  <conditionalFormatting sqref="$G$5">
    <cfRule type="containsText" dxfId="1475" priority="1">
      <formula>NOT(ISERROR(SEARCH("Yes",G5)))</formula>
    </cfRule>
    <cfRule type="containsText" dxfId="1476" priority="2">
      <formula>NOT(ISERROR(SEARCH("No; explanation in comments",G5)))</formula>
    </cfRule>
  </conditionalFormatting>
  <conditionalFormatting sqref="$J$5">
    <cfRule type="containsText" dxfId="1477" priority="1">
      <formula>NOT(ISERROR(SEARCH("Yes",J5)))</formula>
    </cfRule>
  </conditionalFormatting>
  <conditionalFormatting sqref="$K$5">
    <cfRule type="containsText" dxfId="1478" priority="1">
      <formula>NOT(ISERROR(SEARCH("Mitigated",K5)))</formula>
    </cfRule>
    <cfRule type="containsText" dxfId="1479" priority="2">
      <formula>NOT(ISERROR(SEARCH("Not Mitigated",K5)))</formula>
    </cfRule>
  </conditionalFormatting>
  <conditionalFormatting sqref="$F$6">
    <cfRule type="containsText" dxfId="1480" priority="1">
      <formula>NOT(ISERROR(SEARCH("Yes",F6)))</formula>
    </cfRule>
  </conditionalFormatting>
  <conditionalFormatting sqref="$G$6">
    <cfRule type="containsText" dxfId="1481" priority="1">
      <formula>NOT(ISERROR(SEARCH("Yes",G6)))</formula>
    </cfRule>
    <cfRule type="containsText" dxfId="1482" priority="2">
      <formula>NOT(ISERROR(SEARCH("No; explanation in comments",G6)))</formula>
    </cfRule>
  </conditionalFormatting>
  <conditionalFormatting sqref="$J$6">
    <cfRule type="containsText" dxfId="1483" priority="1">
      <formula>NOT(ISERROR(SEARCH("Yes",J6)))</formula>
    </cfRule>
  </conditionalFormatting>
  <conditionalFormatting sqref="$K$6">
    <cfRule type="containsText" dxfId="1484" priority="1">
      <formula>NOT(ISERROR(SEARCH("Mitigated",K6)))</formula>
    </cfRule>
    <cfRule type="containsText" dxfId="1485" priority="2">
      <formula>NOT(ISERROR(SEARCH("Not Mitigated",K6)))</formula>
    </cfRule>
  </conditionalFormatting>
  <conditionalFormatting sqref="$F$7">
    <cfRule type="containsText" dxfId="1486" priority="1">
      <formula>NOT(ISERROR(SEARCH("Yes",F7)))</formula>
    </cfRule>
  </conditionalFormatting>
  <conditionalFormatting sqref="$G$7">
    <cfRule type="containsText" dxfId="1487" priority="1">
      <formula>NOT(ISERROR(SEARCH("Yes",G7)))</formula>
    </cfRule>
    <cfRule type="containsText" dxfId="1488" priority="2">
      <formula>NOT(ISERROR(SEARCH("No; explanation in comments",G7)))</formula>
    </cfRule>
  </conditionalFormatting>
  <conditionalFormatting sqref="$J$7">
    <cfRule type="containsText" dxfId="1489" priority="1">
      <formula>NOT(ISERROR(SEARCH("Yes",J7)))</formula>
    </cfRule>
  </conditionalFormatting>
  <conditionalFormatting sqref="$K$7">
    <cfRule type="containsText" dxfId="1490" priority="1">
      <formula>NOT(ISERROR(SEARCH("Mitigated",K7)))</formula>
    </cfRule>
    <cfRule type="containsText" dxfId="1491" priority="2">
      <formula>NOT(ISERROR(SEARCH("Not Mitigated",K7)))</formula>
    </cfRule>
  </conditionalFormatting>
  <conditionalFormatting sqref="$F$8">
    <cfRule type="containsText" dxfId="1492" priority="1">
      <formula>NOT(ISERROR(SEARCH("Yes",F8)))</formula>
    </cfRule>
  </conditionalFormatting>
  <conditionalFormatting sqref="$G$8">
    <cfRule type="containsText" dxfId="1493" priority="1">
      <formula>NOT(ISERROR(SEARCH("Yes",G8)))</formula>
    </cfRule>
    <cfRule type="containsText" dxfId="1494" priority="2">
      <formula>NOT(ISERROR(SEARCH("No; explanation in comments",G8)))</formula>
    </cfRule>
  </conditionalFormatting>
  <conditionalFormatting sqref="$J$8">
    <cfRule type="containsText" dxfId="1495" priority="1">
      <formula>NOT(ISERROR(SEARCH("Yes",J8)))</formula>
    </cfRule>
  </conditionalFormatting>
  <conditionalFormatting sqref="$K$8">
    <cfRule type="containsText" dxfId="1496" priority="1">
      <formula>NOT(ISERROR(SEARCH("Mitigated",K8)))</formula>
    </cfRule>
    <cfRule type="containsText" dxfId="1497" priority="2">
      <formula>NOT(ISERROR(SEARCH("Not Mitigated",K8)))</formula>
    </cfRule>
  </conditionalFormatting>
  <conditionalFormatting sqref="$F$9">
    <cfRule type="containsText" dxfId="1498" priority="1">
      <formula>NOT(ISERROR(SEARCH("Yes",F9)))</formula>
    </cfRule>
  </conditionalFormatting>
  <conditionalFormatting sqref="$G$9">
    <cfRule type="containsText" dxfId="1499" priority="1">
      <formula>NOT(ISERROR(SEARCH("Yes",G9)))</formula>
    </cfRule>
    <cfRule type="containsText" dxfId="1500" priority="2">
      <formula>NOT(ISERROR(SEARCH("No; explanation in comments",G9)))</formula>
    </cfRule>
  </conditionalFormatting>
  <conditionalFormatting sqref="$J$9">
    <cfRule type="containsText" dxfId="1501" priority="1">
      <formula>NOT(ISERROR(SEARCH("Yes",J9)))</formula>
    </cfRule>
  </conditionalFormatting>
  <conditionalFormatting sqref="$K$9">
    <cfRule type="containsText" dxfId="1502" priority="1">
      <formula>NOT(ISERROR(SEARCH("Mitigated",K9)))</formula>
    </cfRule>
    <cfRule type="containsText" dxfId="1503" priority="2">
      <formula>NOT(ISERROR(SEARCH("Not Mitigated",K9)))</formula>
    </cfRule>
  </conditionalFormatting>
  <conditionalFormatting sqref="$F$10">
    <cfRule type="containsText" dxfId="1504" priority="1">
      <formula>NOT(ISERROR(SEARCH("Yes",F10)))</formula>
    </cfRule>
  </conditionalFormatting>
  <conditionalFormatting sqref="$G$10">
    <cfRule type="containsText" dxfId="1505" priority="1">
      <formula>NOT(ISERROR(SEARCH("Yes",G10)))</formula>
    </cfRule>
    <cfRule type="containsText" dxfId="1506" priority="2">
      <formula>NOT(ISERROR(SEARCH("No; explanation in comments",G10)))</formula>
    </cfRule>
  </conditionalFormatting>
  <conditionalFormatting sqref="$J$10">
    <cfRule type="containsText" dxfId="1507" priority="1">
      <formula>NOT(ISERROR(SEARCH("Yes",J10)))</formula>
    </cfRule>
  </conditionalFormatting>
  <conditionalFormatting sqref="$K$10">
    <cfRule type="containsText" dxfId="1508" priority="1">
      <formula>NOT(ISERROR(SEARCH("Mitigated",K10)))</formula>
    </cfRule>
    <cfRule type="containsText" dxfId="1509" priority="2">
      <formula>NOT(ISERROR(SEARCH("Not Mitigated",K10)))</formula>
    </cfRule>
  </conditionalFormatting>
  <conditionalFormatting sqref="$F$11">
    <cfRule type="containsText" dxfId="1510" priority="1">
      <formula>NOT(ISERROR(SEARCH("Yes",F11)))</formula>
    </cfRule>
  </conditionalFormatting>
  <conditionalFormatting sqref="$G$11">
    <cfRule type="containsText" dxfId="1511" priority="1">
      <formula>NOT(ISERROR(SEARCH("Yes",G11)))</formula>
    </cfRule>
    <cfRule type="containsText" dxfId="1512" priority="2">
      <formula>NOT(ISERROR(SEARCH("No; explanation in comments",G11)))</formula>
    </cfRule>
  </conditionalFormatting>
  <conditionalFormatting sqref="$J$11">
    <cfRule type="containsText" dxfId="1513" priority="1">
      <formula>NOT(ISERROR(SEARCH("Yes",J11)))</formula>
    </cfRule>
  </conditionalFormatting>
  <conditionalFormatting sqref="$K$11">
    <cfRule type="containsText" dxfId="1514" priority="1">
      <formula>NOT(ISERROR(SEARCH("Mitigated",K11)))</formula>
    </cfRule>
    <cfRule type="containsText" dxfId="1515" priority="2">
      <formula>NOT(ISERROR(SEARCH("Not Mitigated",K11)))</formula>
    </cfRule>
  </conditionalFormatting>
  <conditionalFormatting sqref="$F$12">
    <cfRule type="containsText" dxfId="1516" priority="1">
      <formula>NOT(ISERROR(SEARCH("Yes",F12)))</formula>
    </cfRule>
  </conditionalFormatting>
  <conditionalFormatting sqref="$G$12">
    <cfRule type="containsText" dxfId="1517" priority="1">
      <formula>NOT(ISERROR(SEARCH("Yes",G12)))</formula>
    </cfRule>
    <cfRule type="containsText" dxfId="1518" priority="2">
      <formula>NOT(ISERROR(SEARCH("No; explanation in comments",G12)))</formula>
    </cfRule>
  </conditionalFormatting>
  <conditionalFormatting sqref="$J$12">
    <cfRule type="containsText" dxfId="1519" priority="1">
      <formula>NOT(ISERROR(SEARCH("Yes",J12)))</formula>
    </cfRule>
  </conditionalFormatting>
  <conditionalFormatting sqref="$K$12">
    <cfRule type="containsText" dxfId="1520" priority="1">
      <formula>NOT(ISERROR(SEARCH("Mitigated",K12)))</formula>
    </cfRule>
    <cfRule type="containsText" dxfId="1521" priority="2">
      <formula>NOT(ISERROR(SEARCH("Not Mitigated",K12)))</formula>
    </cfRule>
  </conditionalFormatting>
  <conditionalFormatting sqref="$F$13">
    <cfRule type="containsText" dxfId="1522" priority="1">
      <formula>NOT(ISERROR(SEARCH("Yes",F13)))</formula>
    </cfRule>
  </conditionalFormatting>
  <conditionalFormatting sqref="$G$13">
    <cfRule type="containsText" dxfId="1523" priority="1">
      <formula>NOT(ISERROR(SEARCH("Yes",G13)))</formula>
    </cfRule>
    <cfRule type="containsText" dxfId="1524" priority="2">
      <formula>NOT(ISERROR(SEARCH("No; explanation in comments",G13)))</formula>
    </cfRule>
  </conditionalFormatting>
  <conditionalFormatting sqref="$J$13">
    <cfRule type="containsText" dxfId="1525" priority="1">
      <formula>NOT(ISERROR(SEARCH("Yes",J13)))</formula>
    </cfRule>
  </conditionalFormatting>
  <conditionalFormatting sqref="$K$13">
    <cfRule type="containsText" dxfId="1526" priority="1">
      <formula>NOT(ISERROR(SEARCH("Mitigated",K13)))</formula>
    </cfRule>
    <cfRule type="containsText" dxfId="1527" priority="2">
      <formula>NOT(ISERROR(SEARCH("Not Mitigated",K13)))</formula>
    </cfRule>
  </conditionalFormatting>
  <conditionalFormatting sqref="$F$14">
    <cfRule type="containsText" dxfId="1528" priority="1">
      <formula>NOT(ISERROR(SEARCH("Yes",F14)))</formula>
    </cfRule>
  </conditionalFormatting>
  <conditionalFormatting sqref="$G$14">
    <cfRule type="containsText" dxfId="1529" priority="1">
      <formula>NOT(ISERROR(SEARCH("Yes",G14)))</formula>
    </cfRule>
    <cfRule type="containsText" dxfId="1530" priority="2">
      <formula>NOT(ISERROR(SEARCH("No; explanation in comments",G14)))</formula>
    </cfRule>
  </conditionalFormatting>
  <conditionalFormatting sqref="$J$14">
    <cfRule type="containsText" dxfId="1531" priority="1">
      <formula>NOT(ISERROR(SEARCH("Yes",J14)))</formula>
    </cfRule>
  </conditionalFormatting>
  <conditionalFormatting sqref="$K$14">
    <cfRule type="containsText" dxfId="1532" priority="1">
      <formula>NOT(ISERROR(SEARCH("Mitigated",K14)))</formula>
    </cfRule>
    <cfRule type="containsText" dxfId="1533" priority="2">
      <formula>NOT(ISERROR(SEARCH("Not Mitigated",K14)))</formula>
    </cfRule>
  </conditionalFormatting>
  <conditionalFormatting sqref="$F$15">
    <cfRule type="containsText" dxfId="1534" priority="1">
      <formula>NOT(ISERROR(SEARCH("Yes",F15)))</formula>
    </cfRule>
  </conditionalFormatting>
  <conditionalFormatting sqref="$G$15">
    <cfRule type="containsText" dxfId="1535" priority="1">
      <formula>NOT(ISERROR(SEARCH("Yes",G15)))</formula>
    </cfRule>
    <cfRule type="containsText" dxfId="1536" priority="2">
      <formula>NOT(ISERROR(SEARCH("No; explanation in comments",G15)))</formula>
    </cfRule>
  </conditionalFormatting>
  <conditionalFormatting sqref="$J$15">
    <cfRule type="containsText" dxfId="1537" priority="1">
      <formula>NOT(ISERROR(SEARCH("Yes",J15)))</formula>
    </cfRule>
  </conditionalFormatting>
  <conditionalFormatting sqref="$K$15">
    <cfRule type="containsText" dxfId="1538" priority="1">
      <formula>NOT(ISERROR(SEARCH("Mitigated",K15)))</formula>
    </cfRule>
    <cfRule type="containsText" dxfId="1539" priority="2">
      <formula>NOT(ISERROR(SEARCH("Not Mitigated",K15)))</formula>
    </cfRule>
  </conditionalFormatting>
  <conditionalFormatting sqref="$F$16">
    <cfRule type="containsText" dxfId="1540" priority="1">
      <formula>NOT(ISERROR(SEARCH("Yes",F16)))</formula>
    </cfRule>
  </conditionalFormatting>
  <conditionalFormatting sqref="$G$16">
    <cfRule type="containsText" dxfId="1541" priority="1">
      <formula>NOT(ISERROR(SEARCH("Yes",G16)))</formula>
    </cfRule>
    <cfRule type="containsText" dxfId="1542" priority="2">
      <formula>NOT(ISERROR(SEARCH("No; explanation in comments",G16)))</formula>
    </cfRule>
  </conditionalFormatting>
  <conditionalFormatting sqref="$J$16">
    <cfRule type="containsText" dxfId="1543" priority="1">
      <formula>NOT(ISERROR(SEARCH("Yes",J16)))</formula>
    </cfRule>
  </conditionalFormatting>
  <conditionalFormatting sqref="$K$16">
    <cfRule type="containsText" dxfId="1544" priority="1">
      <formula>NOT(ISERROR(SEARCH("Mitigated",K16)))</formula>
    </cfRule>
    <cfRule type="containsText" dxfId="1545" priority="2">
      <formula>NOT(ISERROR(SEARCH("Not Mitigated",K16)))</formula>
    </cfRule>
  </conditionalFormatting>
  <conditionalFormatting sqref="$F$17">
    <cfRule type="containsText" dxfId="1546" priority="1">
      <formula>NOT(ISERROR(SEARCH("Yes",F17)))</formula>
    </cfRule>
  </conditionalFormatting>
  <conditionalFormatting sqref="$G$17">
    <cfRule type="containsText" dxfId="1547" priority="1">
      <formula>NOT(ISERROR(SEARCH("Yes",G17)))</formula>
    </cfRule>
    <cfRule type="containsText" dxfId="1548" priority="2">
      <formula>NOT(ISERROR(SEARCH("No; explanation in comments",G17)))</formula>
    </cfRule>
  </conditionalFormatting>
  <conditionalFormatting sqref="$J$17">
    <cfRule type="containsText" dxfId="1549" priority="1">
      <formula>NOT(ISERROR(SEARCH("Yes",J17)))</formula>
    </cfRule>
  </conditionalFormatting>
  <conditionalFormatting sqref="$K$17">
    <cfRule type="containsText" dxfId="1550" priority="1">
      <formula>NOT(ISERROR(SEARCH("Mitigated",K17)))</formula>
    </cfRule>
    <cfRule type="containsText" dxfId="1551" priority="2">
      <formula>NOT(ISERROR(SEARCH("Not Mitigated",K17)))</formula>
    </cfRule>
  </conditionalFormatting>
  <conditionalFormatting sqref="$F$18">
    <cfRule type="containsText" dxfId="1552" priority="1">
      <formula>NOT(ISERROR(SEARCH("Yes",F18)))</formula>
    </cfRule>
  </conditionalFormatting>
  <conditionalFormatting sqref="$G$18">
    <cfRule type="containsText" dxfId="1553" priority="1">
      <formula>NOT(ISERROR(SEARCH("Yes",G18)))</formula>
    </cfRule>
    <cfRule type="containsText" dxfId="1554" priority="2">
      <formula>NOT(ISERROR(SEARCH("No; explanation in comments",G18)))</formula>
    </cfRule>
  </conditionalFormatting>
  <conditionalFormatting sqref="$J$18">
    <cfRule type="containsText" dxfId="1555" priority="1">
      <formula>NOT(ISERROR(SEARCH("Yes",J18)))</formula>
    </cfRule>
  </conditionalFormatting>
  <conditionalFormatting sqref="$K$18">
    <cfRule type="containsText" dxfId="1556" priority="1">
      <formula>NOT(ISERROR(SEARCH("Mitigated",K18)))</formula>
    </cfRule>
    <cfRule type="containsText" dxfId="1557" priority="2">
      <formula>NOT(ISERROR(SEARCH("Not Mitigated",K18)))</formula>
    </cfRule>
  </conditionalFormatting>
  <conditionalFormatting sqref="$F$19">
    <cfRule type="containsText" dxfId="1558" priority="1">
      <formula>NOT(ISERROR(SEARCH("Yes",F19)))</formula>
    </cfRule>
  </conditionalFormatting>
  <conditionalFormatting sqref="$G$19">
    <cfRule type="containsText" dxfId="1559" priority="1">
      <formula>NOT(ISERROR(SEARCH("Yes",G19)))</formula>
    </cfRule>
    <cfRule type="containsText" dxfId="1560" priority="2">
      <formula>NOT(ISERROR(SEARCH("No; explanation in comments",G19)))</formula>
    </cfRule>
  </conditionalFormatting>
  <conditionalFormatting sqref="$J$19">
    <cfRule type="containsText" dxfId="1561" priority="1">
      <formula>NOT(ISERROR(SEARCH("Yes",J19)))</formula>
    </cfRule>
  </conditionalFormatting>
  <conditionalFormatting sqref="$K$19">
    <cfRule type="containsText" dxfId="1562" priority="1">
      <formula>NOT(ISERROR(SEARCH("Mitigated",K19)))</formula>
    </cfRule>
    <cfRule type="containsText" dxfId="1563" priority="2">
      <formula>NOT(ISERROR(SEARCH("Not Mitigated",K19)))</formula>
    </cfRule>
  </conditionalFormatting>
  <conditionalFormatting sqref="$F$20">
    <cfRule type="containsText" dxfId="1564" priority="1">
      <formula>NOT(ISERROR(SEARCH("Yes",F20)))</formula>
    </cfRule>
  </conditionalFormatting>
  <conditionalFormatting sqref="$G$20">
    <cfRule type="containsText" dxfId="1565" priority="1">
      <formula>NOT(ISERROR(SEARCH("Yes",G20)))</formula>
    </cfRule>
    <cfRule type="containsText" dxfId="1566" priority="2">
      <formula>NOT(ISERROR(SEARCH("No; explanation in comments",G20)))</formula>
    </cfRule>
  </conditionalFormatting>
  <conditionalFormatting sqref="$J$20">
    <cfRule type="containsText" dxfId="1567" priority="1">
      <formula>NOT(ISERROR(SEARCH("Yes",J20)))</formula>
    </cfRule>
  </conditionalFormatting>
  <conditionalFormatting sqref="$K$20">
    <cfRule type="containsText" dxfId="1568" priority="1">
      <formula>NOT(ISERROR(SEARCH("Mitigated",K20)))</formula>
    </cfRule>
    <cfRule type="containsText" dxfId="1569" priority="2">
      <formula>NOT(ISERROR(SEARCH("Not Mitigated",K20)))</formula>
    </cfRule>
  </conditionalFormatting>
  <conditionalFormatting sqref="$F$21">
    <cfRule type="containsText" dxfId="1570" priority="1">
      <formula>NOT(ISERROR(SEARCH("Yes",F21)))</formula>
    </cfRule>
  </conditionalFormatting>
  <conditionalFormatting sqref="$G$21">
    <cfRule type="containsText" dxfId="1571" priority="1">
      <formula>NOT(ISERROR(SEARCH("Yes",G21)))</formula>
    </cfRule>
    <cfRule type="containsText" dxfId="1572" priority="2">
      <formula>NOT(ISERROR(SEARCH("No; explanation in comments",G21)))</formula>
    </cfRule>
  </conditionalFormatting>
  <conditionalFormatting sqref="$J$21">
    <cfRule type="containsText" dxfId="1573" priority="1">
      <formula>NOT(ISERROR(SEARCH("Yes",J21)))</formula>
    </cfRule>
  </conditionalFormatting>
  <conditionalFormatting sqref="$K$21">
    <cfRule type="containsText" dxfId="1574" priority="1">
      <formula>NOT(ISERROR(SEARCH("Mitigated",K21)))</formula>
    </cfRule>
    <cfRule type="containsText" dxfId="1575" priority="2">
      <formula>NOT(ISERROR(SEARCH("Not Mitigated",K21)))</formula>
    </cfRule>
  </conditionalFormatting>
  <conditionalFormatting sqref="$F$22">
    <cfRule type="containsText" dxfId="1576" priority="1">
      <formula>NOT(ISERROR(SEARCH("Yes",F22)))</formula>
    </cfRule>
  </conditionalFormatting>
  <conditionalFormatting sqref="$G$22">
    <cfRule type="containsText" dxfId="1577" priority="1">
      <formula>NOT(ISERROR(SEARCH("Yes",G22)))</formula>
    </cfRule>
    <cfRule type="containsText" dxfId="1578" priority="2">
      <formula>NOT(ISERROR(SEARCH("No; explanation in comments",G22)))</formula>
    </cfRule>
  </conditionalFormatting>
  <conditionalFormatting sqref="$J$22">
    <cfRule type="containsText" dxfId="1579" priority="1">
      <formula>NOT(ISERROR(SEARCH("Yes",J22)))</formula>
    </cfRule>
  </conditionalFormatting>
  <conditionalFormatting sqref="$K$22">
    <cfRule type="containsText" dxfId="1580" priority="1">
      <formula>NOT(ISERROR(SEARCH("Mitigated",K22)))</formula>
    </cfRule>
    <cfRule type="containsText" dxfId="1581" priority="2">
      <formula>NOT(ISERROR(SEARCH("Not Mitigated",K22)))</formula>
    </cfRule>
  </conditionalFormatting>
  <conditionalFormatting sqref="$F$23">
    <cfRule type="containsText" dxfId="1582" priority="1">
      <formula>NOT(ISERROR(SEARCH("Yes",F23)))</formula>
    </cfRule>
  </conditionalFormatting>
  <conditionalFormatting sqref="$G$23">
    <cfRule type="containsText" dxfId="1583" priority="1">
      <formula>NOT(ISERROR(SEARCH("Yes",G23)))</formula>
    </cfRule>
    <cfRule type="containsText" dxfId="1584" priority="2">
      <formula>NOT(ISERROR(SEARCH("No; explanation in comments",G23)))</formula>
    </cfRule>
  </conditionalFormatting>
  <conditionalFormatting sqref="$J$23">
    <cfRule type="containsText" dxfId="1585" priority="1">
      <formula>NOT(ISERROR(SEARCH("Yes",J23)))</formula>
    </cfRule>
  </conditionalFormatting>
  <conditionalFormatting sqref="$K$23">
    <cfRule type="containsText" dxfId="1586" priority="1">
      <formula>NOT(ISERROR(SEARCH("Mitigated",K23)))</formula>
    </cfRule>
    <cfRule type="containsText" dxfId="1587" priority="2">
      <formula>NOT(ISERROR(SEARCH("Not Mitigated",K23)))</formula>
    </cfRule>
  </conditionalFormatting>
  <conditionalFormatting sqref="$F$24">
    <cfRule type="containsText" dxfId="1588" priority="1">
      <formula>NOT(ISERROR(SEARCH("Yes",F24)))</formula>
    </cfRule>
  </conditionalFormatting>
  <conditionalFormatting sqref="$G$24">
    <cfRule type="containsText" dxfId="1589" priority="1">
      <formula>NOT(ISERROR(SEARCH("Yes",G24)))</formula>
    </cfRule>
    <cfRule type="containsText" dxfId="1590" priority="2">
      <formula>NOT(ISERROR(SEARCH("No; explanation in comments",G24)))</formula>
    </cfRule>
  </conditionalFormatting>
  <conditionalFormatting sqref="$J$24">
    <cfRule type="containsText" dxfId="1591" priority="1">
      <formula>NOT(ISERROR(SEARCH("Yes",J24)))</formula>
    </cfRule>
  </conditionalFormatting>
  <conditionalFormatting sqref="$K$24">
    <cfRule type="containsText" dxfId="1592" priority="1">
      <formula>NOT(ISERROR(SEARCH("Mitigated",K24)))</formula>
    </cfRule>
    <cfRule type="containsText" dxfId="1593" priority="2">
      <formula>NOT(ISERROR(SEARCH("Not Mitigated",K24)))</formula>
    </cfRule>
  </conditionalFormatting>
  <conditionalFormatting sqref="$F$25">
    <cfRule type="containsText" dxfId="1594" priority="1">
      <formula>NOT(ISERROR(SEARCH("Yes",F25)))</formula>
    </cfRule>
  </conditionalFormatting>
  <conditionalFormatting sqref="$G$25">
    <cfRule type="containsText" dxfId="1595" priority="1">
      <formula>NOT(ISERROR(SEARCH("Yes",G25)))</formula>
    </cfRule>
    <cfRule type="containsText" dxfId="1596" priority="2">
      <formula>NOT(ISERROR(SEARCH("No; explanation in comments",G25)))</formula>
    </cfRule>
  </conditionalFormatting>
  <conditionalFormatting sqref="$J$25">
    <cfRule type="containsText" dxfId="1597" priority="1">
      <formula>NOT(ISERROR(SEARCH("Yes",J25)))</formula>
    </cfRule>
  </conditionalFormatting>
  <conditionalFormatting sqref="$K$25">
    <cfRule type="containsText" dxfId="1598" priority="1">
      <formula>NOT(ISERROR(SEARCH("Mitigated",K25)))</formula>
    </cfRule>
    <cfRule type="containsText" dxfId="1599" priority="2">
      <formula>NOT(ISERROR(SEARCH("Not Mitigated",K25)))</formula>
    </cfRule>
  </conditionalFormatting>
  <conditionalFormatting sqref="$F$26">
    <cfRule type="containsText" dxfId="1600" priority="1">
      <formula>NOT(ISERROR(SEARCH("Yes",F26)))</formula>
    </cfRule>
  </conditionalFormatting>
  <conditionalFormatting sqref="$G$26">
    <cfRule type="containsText" dxfId="1601" priority="1">
      <formula>NOT(ISERROR(SEARCH("Yes",G26)))</formula>
    </cfRule>
    <cfRule type="containsText" dxfId="1602" priority="2">
      <formula>NOT(ISERROR(SEARCH("No; explanation in comments",G26)))</formula>
    </cfRule>
  </conditionalFormatting>
  <conditionalFormatting sqref="$J$26">
    <cfRule type="containsText" dxfId="1603" priority="1">
      <formula>NOT(ISERROR(SEARCH("Yes",J26)))</formula>
    </cfRule>
  </conditionalFormatting>
  <conditionalFormatting sqref="$K$26">
    <cfRule type="containsText" dxfId="1604" priority="1">
      <formula>NOT(ISERROR(SEARCH("Mitigated",K26)))</formula>
    </cfRule>
    <cfRule type="containsText" dxfId="1605" priority="2">
      <formula>NOT(ISERROR(SEARCH("Not Mitigated",K26)))</formula>
    </cfRule>
  </conditionalFormatting>
  <conditionalFormatting sqref="$F$27">
    <cfRule type="containsText" dxfId="1606" priority="1">
      <formula>NOT(ISERROR(SEARCH("Yes",F27)))</formula>
    </cfRule>
  </conditionalFormatting>
  <conditionalFormatting sqref="$G$27">
    <cfRule type="containsText" dxfId="1607" priority="1">
      <formula>NOT(ISERROR(SEARCH("Yes",G27)))</formula>
    </cfRule>
    <cfRule type="containsText" dxfId="1608" priority="2">
      <formula>NOT(ISERROR(SEARCH("No; explanation in comments",G27)))</formula>
    </cfRule>
  </conditionalFormatting>
  <conditionalFormatting sqref="$J$27">
    <cfRule type="containsText" dxfId="1609" priority="1">
      <formula>NOT(ISERROR(SEARCH("Yes",J27)))</formula>
    </cfRule>
  </conditionalFormatting>
  <conditionalFormatting sqref="$K$27">
    <cfRule type="containsText" dxfId="1610" priority="1">
      <formula>NOT(ISERROR(SEARCH("Mitigated",K27)))</formula>
    </cfRule>
    <cfRule type="containsText" dxfId="1611" priority="2">
      <formula>NOT(ISERROR(SEARCH("Not Mitigated",K27)))</formula>
    </cfRule>
  </conditionalFormatting>
  <conditionalFormatting sqref="$F$28">
    <cfRule type="containsText" dxfId="1612" priority="1">
      <formula>NOT(ISERROR(SEARCH("Yes",F28)))</formula>
    </cfRule>
  </conditionalFormatting>
  <conditionalFormatting sqref="$G$28">
    <cfRule type="containsText" dxfId="1613" priority="1">
      <formula>NOT(ISERROR(SEARCH("Yes",G28)))</formula>
    </cfRule>
    <cfRule type="containsText" dxfId="1614" priority="2">
      <formula>NOT(ISERROR(SEARCH("No; explanation in comments",G28)))</formula>
    </cfRule>
  </conditionalFormatting>
  <conditionalFormatting sqref="$J$28">
    <cfRule type="containsText" dxfId="1615" priority="1">
      <formula>NOT(ISERROR(SEARCH("Yes",J28)))</formula>
    </cfRule>
  </conditionalFormatting>
  <conditionalFormatting sqref="$K$28">
    <cfRule type="containsText" dxfId="1616" priority="1">
      <formula>NOT(ISERROR(SEARCH("Mitigated",K28)))</formula>
    </cfRule>
    <cfRule type="containsText" dxfId="1617" priority="2">
      <formula>NOT(ISERROR(SEARCH("Not Mitigated",K28)))</formula>
    </cfRule>
  </conditionalFormatting>
  <dataValidations count="4">
    <dataValidation type="list" sqref="G10:G28">
      <formula1>"-,Yes,No; explanation in comments"</formula1>
    </dataValidation>
    <dataValidation type="list" sqref="G2:G28">
      <formula1>"-,Yes,No; explanation in comments"</formula1>
    </dataValidation>
    <dataValidation type="list" sqref="K10:K28">
      <formula1>"Mitigated,Not Mitigated,Not Assessed Yet,N/A"</formula1>
    </dataValidation>
    <dataValidation type="list" sqref="K2:K28">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89" t="s">
        <v>64</v>
      </c>
      <c r="B2" s="90" t="s">
        <v>956</v>
      </c>
      <c r="C2" s="56">
        <f>=IF(IAMInUse="Yes","Yes","No")</f>
      </c>
      <c r="D2" s="56" t="s">
        <v>957</v>
      </c>
      <c r="E2" s="56" t="s">
        <v>958</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=COUNTIFS(C2:C42,"Yes")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50" customHeight="1" spans="1:27" s="53" customFormat="1" x14ac:dyDescent="0.25">
      <c r="A3" s="89" t="s">
        <v>64</v>
      </c>
      <c r="B3" s="90" t="s">
        <v>959</v>
      </c>
      <c r="C3" s="56">
        <f>=IF(IAMInUse="Yes","Yes","No")</f>
      </c>
      <c r="D3" s="56" t="s">
        <v>960</v>
      </c>
      <c r="E3" s="56" t="s">
        <v>961</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89" t="s">
        <v>64</v>
      </c>
      <c r="B4" s="90" t="s">
        <v>962</v>
      </c>
      <c r="C4" s="56">
        <f>=IF(IAMInUse="Yes","Yes","No")</f>
      </c>
      <c r="D4" s="56" t="s">
        <v>963</v>
      </c>
      <c r="E4" s="56" t="s">
        <v>964</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=SUM(W2:W42)</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35" customHeight="1" spans="1:27" s="53" customFormat="1" x14ac:dyDescent="0.25">
      <c r="A5" s="89" t="s">
        <v>64</v>
      </c>
      <c r="B5" s="90" t="s">
        <v>965</v>
      </c>
      <c r="C5" s="56">
        <f>=IF(IAMInUse="Yes","Yes","No")</f>
      </c>
      <c r="D5" s="56" t="s">
        <v>966</v>
      </c>
      <c r="E5" s="56" t="s">
        <v>967</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=SUM(X2:X42)</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89" t="s">
        <v>64</v>
      </c>
      <c r="B6" s="90" t="s">
        <v>968</v>
      </c>
      <c r="C6" s="56">
        <f>=IF(IAMInUse="Yes","Yes","No")</f>
      </c>
      <c r="D6" s="56" t="s">
        <v>969</v>
      </c>
      <c r="E6" s="56" t="s">
        <v>970</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=SUM(Z2:Z42)</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65" customHeight="1" spans="1:27" s="53" customFormat="1" x14ac:dyDescent="0.25">
      <c r="A7" s="89" t="s">
        <v>64</v>
      </c>
      <c r="B7" s="90" t="s">
        <v>971</v>
      </c>
      <c r="C7" s="56">
        <f>=IF(IAMInUse="Yes","Yes","No")</f>
      </c>
      <c r="D7" s="56" t="s">
        <v>972</v>
      </c>
      <c r="E7" s="56" t="s">
        <v>973</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=SUM(AA2:AA42)</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89" t="s">
        <v>64</v>
      </c>
      <c r="B8" s="90" t="s">
        <v>974</v>
      </c>
      <c r="C8" s="56">
        <f>=IF(IAMInUse="Yes","Yes","No")</f>
      </c>
      <c r="D8" s="56" t="s">
        <v>975</v>
      </c>
      <c r="E8" s="56" t="s">
        <v>976</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50" customHeight="1" spans="1:27" s="53" customFormat="1" x14ac:dyDescent="0.25">
      <c r="A9" s="89" t="s">
        <v>64</v>
      </c>
      <c r="B9" s="90" t="s">
        <v>977</v>
      </c>
      <c r="C9" s="56">
        <f>=IF(IAMInUse="Yes","Yes","No")</f>
      </c>
      <c r="D9" s="56" t="s">
        <v>978</v>
      </c>
      <c r="E9" s="56" t="s">
        <v>979</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89" t="s">
        <v>64</v>
      </c>
      <c r="B10" s="90" t="s">
        <v>980</v>
      </c>
      <c r="C10" s="56">
        <f>=IF(IAMInUse="Yes","Yes","No")</f>
      </c>
      <c r="D10" s="56" t="s">
        <v>981</v>
      </c>
      <c r="E10" s="56" t="s">
        <v>982</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89" t="s">
        <v>64</v>
      </c>
      <c r="B11" s="90" t="s">
        <v>983</v>
      </c>
      <c r="C11" s="56">
        <f>=IF(IAMInUse="Yes","Yes","No")</f>
      </c>
      <c r="D11" s="56" t="s">
        <v>443</v>
      </c>
      <c r="E11" s="56" t="s">
        <v>444</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65" customHeight="1" spans="1:27" s="53" customFormat="1" x14ac:dyDescent="0.25">
      <c r="A12" s="91" t="s">
        <v>68</v>
      </c>
      <c r="B12" s="92" t="s">
        <v>984</v>
      </c>
      <c r="C12" s="56">
        <f>=IF(IAM_IDENTITY_CENTERInUse="Yes","Yes","No")</f>
      </c>
      <c r="D12" s="56" t="s">
        <v>985</v>
      </c>
      <c r="E12" s="56" t="s">
        <v>986</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65" customHeight="1" spans="1:27" s="53" customFormat="1" x14ac:dyDescent="0.25">
      <c r="A13" s="91" t="s">
        <v>68</v>
      </c>
      <c r="B13" s="92" t="s">
        <v>987</v>
      </c>
      <c r="C13" s="56">
        <f>=IF(IAM_IDENTITY_CENTERInUse="Yes","Yes","No")</f>
      </c>
      <c r="D13" s="56" t="s">
        <v>988</v>
      </c>
      <c r="E13" s="56" t="s">
        <v>989</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65" customHeight="1" spans="1:27" s="53" customFormat="1" x14ac:dyDescent="0.25">
      <c r="A14" s="91" t="s">
        <v>68</v>
      </c>
      <c r="B14" s="92" t="s">
        <v>990</v>
      </c>
      <c r="C14" s="56">
        <f>=IF(IAM_IDENTITY_CENTERInUse="Yes","Yes","No")</f>
      </c>
      <c r="D14" s="56" t="s">
        <v>991</v>
      </c>
      <c r="E14" s="56" t="s">
        <v>992</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91" t="s">
        <v>68</v>
      </c>
      <c r="B15" s="92" t="s">
        <v>993</v>
      </c>
      <c r="C15" s="56">
        <f>=IF(IAM_IDENTITY_CENTERInUse="Yes","Yes","No")</f>
      </c>
      <c r="D15" s="56" t="s">
        <v>994</v>
      </c>
      <c r="E15" s="56" t="s">
        <v>995</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50" customHeight="1" spans="1:27" s="53" customFormat="1" x14ac:dyDescent="0.25">
      <c r="A16" s="91" t="s">
        <v>68</v>
      </c>
      <c r="B16" s="92" t="s">
        <v>996</v>
      </c>
      <c r="C16" s="56">
        <f>=IF(IAM_IDENTITY_CENTERInUse="Yes","Yes","No")</f>
      </c>
      <c r="D16" s="56" t="s">
        <v>997</v>
      </c>
      <c r="E16" s="56" t="s">
        <v>998</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91" t="s">
        <v>68</v>
      </c>
      <c r="B17" s="92" t="s">
        <v>999</v>
      </c>
      <c r="C17" s="56">
        <f>=IF(IAM_IDENTITY_CENTERInUse="Yes","Yes","No")</f>
      </c>
      <c r="D17" s="56" t="s">
        <v>1000</v>
      </c>
      <c r="E17" s="56" t="s">
        <v>1001</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65" customHeight="1" spans="1:27" s="53" customFormat="1" x14ac:dyDescent="0.25">
      <c r="A18" s="91" t="s">
        <v>68</v>
      </c>
      <c r="B18" s="92" t="s">
        <v>1002</v>
      </c>
      <c r="C18" s="56">
        <f>=IF(IAM_IDENTITY_CENTERInUse="Yes","Yes","No")</f>
      </c>
      <c r="D18" s="56" t="s">
        <v>1003</v>
      </c>
      <c r="E18" s="56" t="s">
        <v>1004</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20" customHeight="1" spans="1:27" s="53" customFormat="1" x14ac:dyDescent="0.25">
      <c r="A19" s="89" t="s">
        <v>72</v>
      </c>
      <c r="B19" s="90" t="s">
        <v>1005</v>
      </c>
      <c r="C19" s="56">
        <f>=IF(COGNITOInUse="Yes","Yes","No")</f>
      </c>
      <c r="D19" s="56" t="s">
        <v>1006</v>
      </c>
      <c r="E19" s="56" t="s">
        <v>1007</v>
      </c>
      <c r="F19" s="56">
        <f>=IF(AND(C19="Yes",G19="-"), "Yes", "No")</f>
      </c>
      <c r="G19" s="56" t="s">
        <v>13</v>
      </c>
      <c r="H19" s="56" t="s">
        <v>5</v>
      </c>
      <c r="I19" s="56" t="s">
        <v>229</v>
      </c>
      <c r="J19" s="56" t="s">
        <v>226</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35" customHeight="1" spans="1:27" s="53" customFormat="1" x14ac:dyDescent="0.25">
      <c r="A20" s="89" t="s">
        <v>72</v>
      </c>
      <c r="B20" s="90" t="s">
        <v>1008</v>
      </c>
      <c r="C20" s="56">
        <f>=IF(COGNITOInUse="Yes","Yes","No")</f>
      </c>
      <c r="D20" s="56" t="s">
        <v>1009</v>
      </c>
      <c r="E20" s="56" t="s">
        <v>1010</v>
      </c>
      <c r="F20" s="56">
        <f>=IF(AND(C20="Yes",G20="-"), "Yes", "No")</f>
      </c>
      <c r="G20" s="56" t="s">
        <v>13</v>
      </c>
      <c r="H20" s="56" t="s">
        <v>5</v>
      </c>
      <c r="I20" s="56" t="s">
        <v>242</v>
      </c>
      <c r="J20" s="56" t="s">
        <v>32</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50" customHeight="1" spans="1:27" s="53" customFormat="1" x14ac:dyDescent="0.25">
      <c r="A21" s="89" t="s">
        <v>72</v>
      </c>
      <c r="B21" s="90" t="s">
        <v>1011</v>
      </c>
      <c r="C21" s="56">
        <f>=IF(COGNITOInUse="Yes","Yes","No")</f>
      </c>
      <c r="D21" s="56" t="s">
        <v>1012</v>
      </c>
      <c r="E21" s="56" t="s">
        <v>1013</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50" customHeight="1" spans="1:27" s="53" customFormat="1" x14ac:dyDescent="0.25">
      <c r="A22" s="89" t="s">
        <v>72</v>
      </c>
      <c r="B22" s="90" t="s">
        <v>1014</v>
      </c>
      <c r="C22" s="56">
        <f>=IF(COGNITOInUse="Yes","Yes","No")</f>
      </c>
      <c r="D22" s="56" t="s">
        <v>1015</v>
      </c>
      <c r="E22" s="56" t="s">
        <v>1016</v>
      </c>
      <c r="F22" s="56">
        <f>=IF(AND(C22="Yes",G22="-"), "Yes", "No")</f>
      </c>
      <c r="G22" s="56" t="s">
        <v>13</v>
      </c>
      <c r="H22" s="56" t="s">
        <v>5</v>
      </c>
      <c r="I22" s="56" t="s">
        <v>242</v>
      </c>
      <c r="J22" s="56" t="s">
        <v>32</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89" t="s">
        <v>72</v>
      </c>
      <c r="B23" s="90" t="s">
        <v>1017</v>
      </c>
      <c r="C23" s="56">
        <f>=IF(COGNITOInUse="Yes","Yes","No")</f>
      </c>
      <c r="D23" s="56" t="s">
        <v>1018</v>
      </c>
      <c r="E23" s="56" t="s">
        <v>1019</v>
      </c>
      <c r="F23" s="56">
        <f>=IF(AND(C23="Yes",G23="-"), "Yes", "No")</f>
      </c>
      <c r="G23" s="56" t="s">
        <v>13</v>
      </c>
      <c r="H23" s="56" t="s">
        <v>5</v>
      </c>
      <c r="I23" s="56" t="s">
        <v>229</v>
      </c>
      <c r="J23" s="56" t="s">
        <v>226</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row r="24" ht="35" customHeight="1" spans="1:27" s="53" customFormat="1" x14ac:dyDescent="0.25">
      <c r="A24" s="89" t="s">
        <v>72</v>
      </c>
      <c r="B24" s="90" t="s">
        <v>1020</v>
      </c>
      <c r="C24" s="56">
        <f>=IF(COGNITOInUse="Yes","Yes","No")</f>
      </c>
      <c r="D24" s="56" t="s">
        <v>1021</v>
      </c>
      <c r="E24" s="56" t="s">
        <v>1022</v>
      </c>
      <c r="F24" s="56">
        <f>=IF(AND(C24="Yes",G24="-"), "Yes", "No")</f>
      </c>
      <c r="G24" s="56" t="s">
        <v>13</v>
      </c>
      <c r="H24" s="56" t="s">
        <v>5</v>
      </c>
      <c r="I24" s="56" t="s">
        <v>229</v>
      </c>
      <c r="J24" s="56" t="s">
        <v>226</v>
      </c>
      <c r="K24" s="56" t="s">
        <v>230</v>
      </c>
      <c r="L24" s="56" t="s">
        <v>5</v>
      </c>
      <c r="M24" s="56" t="s">
        <v>5</v>
      </c>
      <c r="N24" s="56" t="s">
        <v>5</v>
      </c>
      <c r="O24" s="56" t="s">
        <v>5</v>
      </c>
      <c r="P24" s="56" t="s">
        <v>5</v>
      </c>
      <c r="Q24" s="56" t="s">
        <v>5</v>
      </c>
      <c r="R24" s="56" t="s">
        <v>5</v>
      </c>
      <c r="S24" s="56" t="s">
        <v>5</v>
      </c>
      <c r="T24" s="56" t="s">
        <v>5</v>
      </c>
      <c r="U24" s="56" t="s">
        <v>5</v>
      </c>
      <c r="V24" s="56">
        <f>=IF(AND(C24="Yes",G24="-"), 1, 0)</f>
      </c>
      <c r="W24" s="56">
        <f>=IF(AND(C24="Yes",G24="Yes"), 1, 0)</f>
      </c>
      <c r="X24" s="56">
        <f>=IF(AND(C24="Yes",G24="No; explanation in comments"), 1, 0)</f>
      </c>
      <c r="Y24" s="56">
        <f>=IF(AND(C24="Yes",K24="Not Assessed Yet"), 1, 0)</f>
      </c>
      <c r="Z24" s="56">
        <f>=IF(AND(C24="Yes",AND(G24&lt;&gt;"-",K24="Mitigated")), 1, 0)</f>
      </c>
      <c r="AA24" s="56">
        <f>=IF(AND(C24="Yes",AND(G24&lt;&gt;"-",K24="Not Mitigated")), 1, 0)</f>
      </c>
    </row>
    <row r="25" ht="35" customHeight="1" spans="1:27" s="53" customFormat="1" x14ac:dyDescent="0.25">
      <c r="A25" s="91" t="s">
        <v>76</v>
      </c>
      <c r="B25" s="92" t="s">
        <v>1023</v>
      </c>
      <c r="C25" s="56">
        <f>=IF(SECRETS_MANAGERInUse="Yes","Yes","No")</f>
      </c>
      <c r="D25" s="56" t="s">
        <v>1024</v>
      </c>
      <c r="E25" s="56" t="s">
        <v>1025</v>
      </c>
      <c r="F25" s="56">
        <f>=IF(AND(C25="Yes",G25="-"), "Yes", "No")</f>
      </c>
      <c r="G25" s="56" t="s">
        <v>13</v>
      </c>
      <c r="H25" s="56" t="s">
        <v>5</v>
      </c>
      <c r="I25" s="56" t="s">
        <v>229</v>
      </c>
      <c r="J25" s="56" t="s">
        <v>226</v>
      </c>
      <c r="K25" s="56" t="s">
        <v>230</v>
      </c>
      <c r="L25" s="56" t="s">
        <v>5</v>
      </c>
      <c r="M25" s="56" t="s">
        <v>5</v>
      </c>
      <c r="N25" s="56" t="s">
        <v>5</v>
      </c>
      <c r="O25" s="56" t="s">
        <v>5</v>
      </c>
      <c r="P25" s="56" t="s">
        <v>5</v>
      </c>
      <c r="Q25" s="56" t="s">
        <v>5</v>
      </c>
      <c r="R25" s="56" t="s">
        <v>5</v>
      </c>
      <c r="S25" s="56" t="s">
        <v>5</v>
      </c>
      <c r="T25" s="56" t="s">
        <v>5</v>
      </c>
      <c r="U25" s="56" t="s">
        <v>5</v>
      </c>
      <c r="V25" s="56">
        <f>=IF(AND(C25="Yes",G25="-"), 1, 0)</f>
      </c>
      <c r="W25" s="56">
        <f>=IF(AND(C25="Yes",G25="Yes"), 1, 0)</f>
      </c>
      <c r="X25" s="56">
        <f>=IF(AND(C25="Yes",G25="No; explanation in comments"), 1, 0)</f>
      </c>
      <c r="Y25" s="56">
        <f>=IF(AND(C25="Yes",K25="Not Assessed Yet"), 1, 0)</f>
      </c>
      <c r="Z25" s="56">
        <f>=IF(AND(C25="Yes",AND(G25&lt;&gt;"-",K25="Mitigated")), 1, 0)</f>
      </c>
      <c r="AA25" s="56">
        <f>=IF(AND(C25="Yes",AND(G25&lt;&gt;"-",K25="Not Mitigated")), 1, 0)</f>
      </c>
    </row>
    <row r="26" ht="35" customHeight="1" spans="1:27" s="53" customFormat="1" x14ac:dyDescent="0.25">
      <c r="A26" s="91" t="s">
        <v>76</v>
      </c>
      <c r="B26" s="92" t="s">
        <v>1026</v>
      </c>
      <c r="C26" s="56">
        <f>=IF(SECRETS_MANAGERInUse="Yes","Yes","No")</f>
      </c>
      <c r="D26" s="56" t="s">
        <v>1027</v>
      </c>
      <c r="E26" s="56" t="s">
        <v>1028</v>
      </c>
      <c r="F26" s="56">
        <f>=IF(AND(C26="Yes",G26="-"), "Yes", "No")</f>
      </c>
      <c r="G26" s="56" t="s">
        <v>13</v>
      </c>
      <c r="H26" s="56" t="s">
        <v>5</v>
      </c>
      <c r="I26" s="56" t="s">
        <v>229</v>
      </c>
      <c r="J26" s="56" t="s">
        <v>226</v>
      </c>
      <c r="K26" s="56" t="s">
        <v>230</v>
      </c>
      <c r="L26" s="56" t="s">
        <v>5</v>
      </c>
      <c r="M26" s="56" t="s">
        <v>5</v>
      </c>
      <c r="N26" s="56" t="s">
        <v>5</v>
      </c>
      <c r="O26" s="56" t="s">
        <v>5</v>
      </c>
      <c r="P26" s="56" t="s">
        <v>5</v>
      </c>
      <c r="Q26" s="56" t="s">
        <v>5</v>
      </c>
      <c r="R26" s="56" t="s">
        <v>5</v>
      </c>
      <c r="S26" s="56" t="s">
        <v>5</v>
      </c>
      <c r="T26" s="56" t="s">
        <v>5</v>
      </c>
      <c r="U26" s="56" t="s">
        <v>5</v>
      </c>
      <c r="V26" s="56">
        <f>=IF(AND(C26="Yes",G26="-"), 1, 0)</f>
      </c>
      <c r="W26" s="56">
        <f>=IF(AND(C26="Yes",G26="Yes"), 1, 0)</f>
      </c>
      <c r="X26" s="56">
        <f>=IF(AND(C26="Yes",G26="No; explanation in comments"), 1, 0)</f>
      </c>
      <c r="Y26" s="56">
        <f>=IF(AND(C26="Yes",K26="Not Assessed Yet"), 1, 0)</f>
      </c>
      <c r="Z26" s="56">
        <f>=IF(AND(C26="Yes",AND(G26&lt;&gt;"-",K26="Mitigated")), 1, 0)</f>
      </c>
      <c r="AA26" s="56">
        <f>=IF(AND(C26="Yes",AND(G26&lt;&gt;"-",K26="Not Mitigated")), 1, 0)</f>
      </c>
    </row>
    <row r="27" ht="35" customHeight="1" spans="1:27" s="53" customFormat="1" x14ac:dyDescent="0.25">
      <c r="A27" s="89" t="s">
        <v>79</v>
      </c>
      <c r="B27" s="90" t="s">
        <v>1029</v>
      </c>
      <c r="C27" s="56">
        <f>=IF(SECURITY_LAKEInUse="Yes","Yes","No")</f>
      </c>
      <c r="D27" s="56" t="s">
        <v>1030</v>
      </c>
      <c r="E27" s="56" t="s">
        <v>1031</v>
      </c>
      <c r="F27" s="56">
        <f>=IF(AND(C27="Yes",G27="-"), "Yes", "No")</f>
      </c>
      <c r="G27" s="56" t="s">
        <v>13</v>
      </c>
      <c r="H27" s="56" t="s">
        <v>5</v>
      </c>
      <c r="I27" s="56" t="s">
        <v>229</v>
      </c>
      <c r="J27" s="56" t="s">
        <v>226</v>
      </c>
      <c r="K27" s="56" t="s">
        <v>230</v>
      </c>
      <c r="L27" s="56" t="s">
        <v>5</v>
      </c>
      <c r="M27" s="56" t="s">
        <v>5</v>
      </c>
      <c r="N27" s="56" t="s">
        <v>5</v>
      </c>
      <c r="O27" s="56" t="s">
        <v>5</v>
      </c>
      <c r="P27" s="56" t="s">
        <v>5</v>
      </c>
      <c r="Q27" s="56" t="s">
        <v>5</v>
      </c>
      <c r="R27" s="56" t="s">
        <v>5</v>
      </c>
      <c r="S27" s="56" t="s">
        <v>5</v>
      </c>
      <c r="T27" s="56" t="s">
        <v>5</v>
      </c>
      <c r="U27" s="56" t="s">
        <v>5</v>
      </c>
      <c r="V27" s="56">
        <f>=IF(AND(C27="Yes",G27="-"), 1, 0)</f>
      </c>
      <c r="W27" s="56">
        <f>=IF(AND(C27="Yes",G27="Yes"), 1, 0)</f>
      </c>
      <c r="X27" s="56">
        <f>=IF(AND(C27="Yes",G27="No; explanation in comments"), 1, 0)</f>
      </c>
      <c r="Y27" s="56">
        <f>=IF(AND(C27="Yes",K27="Not Assessed Yet"), 1, 0)</f>
      </c>
      <c r="Z27" s="56">
        <f>=IF(AND(C27="Yes",AND(G27&lt;&gt;"-",K27="Mitigated")), 1, 0)</f>
      </c>
      <c r="AA27" s="56">
        <f>=IF(AND(C27="Yes",AND(G27&lt;&gt;"-",K27="Not Mitigated")), 1, 0)</f>
      </c>
    </row>
    <row r="28" ht="50" customHeight="1" spans="1:27" s="53" customFormat="1" x14ac:dyDescent="0.25">
      <c r="A28" s="89" t="s">
        <v>79</v>
      </c>
      <c r="B28" s="90" t="s">
        <v>1032</v>
      </c>
      <c r="C28" s="56">
        <f>=IF(SECURITY_LAKEInUse="Yes","Yes","No")</f>
      </c>
      <c r="D28" s="56" t="s">
        <v>1033</v>
      </c>
      <c r="E28" s="56" t="s">
        <v>1034</v>
      </c>
      <c r="F28" s="56">
        <f>=IF(AND(C28="Yes",G28="-"), "Yes", "No")</f>
      </c>
      <c r="G28" s="56" t="s">
        <v>13</v>
      </c>
      <c r="H28" s="56" t="s">
        <v>5</v>
      </c>
      <c r="I28" s="56" t="s">
        <v>229</v>
      </c>
      <c r="J28" s="56" t="s">
        <v>226</v>
      </c>
      <c r="K28" s="56" t="s">
        <v>230</v>
      </c>
      <c r="L28" s="56" t="s">
        <v>5</v>
      </c>
      <c r="M28" s="56" t="s">
        <v>5</v>
      </c>
      <c r="N28" s="56" t="s">
        <v>5</v>
      </c>
      <c r="O28" s="56" t="s">
        <v>5</v>
      </c>
      <c r="P28" s="56" t="s">
        <v>5</v>
      </c>
      <c r="Q28" s="56" t="s">
        <v>5</v>
      </c>
      <c r="R28" s="56" t="s">
        <v>5</v>
      </c>
      <c r="S28" s="56" t="s">
        <v>5</v>
      </c>
      <c r="T28" s="56" t="s">
        <v>5</v>
      </c>
      <c r="U28" s="56" t="s">
        <v>5</v>
      </c>
      <c r="V28" s="56">
        <f>=IF(AND(C28="Yes",G28="-"), 1, 0)</f>
      </c>
      <c r="W28" s="56">
        <f>=IF(AND(C28="Yes",G28="Yes"), 1, 0)</f>
      </c>
      <c r="X28" s="56">
        <f>=IF(AND(C28="Yes",G28="No; explanation in comments"), 1, 0)</f>
      </c>
      <c r="Y28" s="56">
        <f>=IF(AND(C28="Yes",K28="Not Assessed Yet"), 1, 0)</f>
      </c>
      <c r="Z28" s="56">
        <f>=IF(AND(C28="Yes",AND(G28&lt;&gt;"-",K28="Mitigated")), 1, 0)</f>
      </c>
      <c r="AA28" s="56">
        <f>=IF(AND(C28="Yes",AND(G28&lt;&gt;"-",K28="Not Mitigated")), 1, 0)</f>
      </c>
    </row>
    <row r="29" ht="50" customHeight="1" spans="1:27" s="53" customFormat="1" x14ac:dyDescent="0.25">
      <c r="A29" s="89" t="s">
        <v>79</v>
      </c>
      <c r="B29" s="90" t="s">
        <v>1035</v>
      </c>
      <c r="C29" s="56">
        <f>=IF(SECURITY_LAKEInUse="Yes","Yes","No")</f>
      </c>
      <c r="D29" s="56" t="s">
        <v>1036</v>
      </c>
      <c r="E29" s="56" t="s">
        <v>1037</v>
      </c>
      <c r="F29" s="56">
        <f>=IF(AND(C29="Yes",G29="-"), "Yes", "No")</f>
      </c>
      <c r="G29" s="56" t="s">
        <v>13</v>
      </c>
      <c r="H29" s="56" t="s">
        <v>5</v>
      </c>
      <c r="I29" s="56" t="s">
        <v>229</v>
      </c>
      <c r="J29" s="56" t="s">
        <v>226</v>
      </c>
      <c r="K29" s="56" t="s">
        <v>230</v>
      </c>
      <c r="L29" s="56" t="s">
        <v>5</v>
      </c>
      <c r="M29" s="56" t="s">
        <v>5</v>
      </c>
      <c r="N29" s="56" t="s">
        <v>5</v>
      </c>
      <c r="O29" s="56" t="s">
        <v>5</v>
      </c>
      <c r="P29" s="56" t="s">
        <v>5</v>
      </c>
      <c r="Q29" s="56" t="s">
        <v>5</v>
      </c>
      <c r="R29" s="56" t="s">
        <v>5</v>
      </c>
      <c r="S29" s="56" t="s">
        <v>5</v>
      </c>
      <c r="T29" s="56" t="s">
        <v>5</v>
      </c>
      <c r="U29" s="56" t="s">
        <v>5</v>
      </c>
      <c r="V29" s="56">
        <f>=IF(AND(C29="Yes",G29="-"), 1, 0)</f>
      </c>
      <c r="W29" s="56">
        <f>=IF(AND(C29="Yes",G29="Yes"), 1, 0)</f>
      </c>
      <c r="X29" s="56">
        <f>=IF(AND(C29="Yes",G29="No; explanation in comments"), 1, 0)</f>
      </c>
      <c r="Y29" s="56">
        <f>=IF(AND(C29="Yes",K29="Not Assessed Yet"), 1, 0)</f>
      </c>
      <c r="Z29" s="56">
        <f>=IF(AND(C29="Yes",AND(G29&lt;&gt;"-",K29="Mitigated")), 1, 0)</f>
      </c>
      <c r="AA29" s="56">
        <f>=IF(AND(C29="Yes",AND(G29&lt;&gt;"-",K29="Not Mitigated")), 1, 0)</f>
      </c>
    </row>
    <row r="30" ht="65" customHeight="1" spans="1:27" s="53" customFormat="1" x14ac:dyDescent="0.25">
      <c r="A30" s="91" t="s">
        <v>80</v>
      </c>
      <c r="B30" s="92" t="s">
        <v>1038</v>
      </c>
      <c r="C30" s="56">
        <f>=IF(KEY_MANAGEMENT_SERVICEInUse="Yes","Yes","No")</f>
      </c>
      <c r="D30" s="56" t="s">
        <v>1039</v>
      </c>
      <c r="E30" s="56" t="s">
        <v>1040</v>
      </c>
      <c r="F30" s="56">
        <f>=IF(AND(C30="Yes",G30="-"), "Yes", "No")</f>
      </c>
      <c r="G30" s="56" t="s">
        <v>13</v>
      </c>
      <c r="H30" s="56" t="s">
        <v>5</v>
      </c>
      <c r="I30" s="56" t="s">
        <v>242</v>
      </c>
      <c r="J30" s="56" t="s">
        <v>32</v>
      </c>
      <c r="K30" s="56" t="s">
        <v>230</v>
      </c>
      <c r="L30" s="56" t="s">
        <v>5</v>
      </c>
      <c r="M30" s="56" t="s">
        <v>5</v>
      </c>
      <c r="N30" s="56" t="s">
        <v>5</v>
      </c>
      <c r="O30" s="56" t="s">
        <v>5</v>
      </c>
      <c r="P30" s="56" t="s">
        <v>5</v>
      </c>
      <c r="Q30" s="56" t="s">
        <v>5</v>
      </c>
      <c r="R30" s="56" t="s">
        <v>5</v>
      </c>
      <c r="S30" s="56" t="s">
        <v>5</v>
      </c>
      <c r="T30" s="56" t="s">
        <v>5</v>
      </c>
      <c r="U30" s="56" t="s">
        <v>5</v>
      </c>
      <c r="V30" s="56">
        <f>=IF(AND(C30="Yes",G30="-"), 1, 0)</f>
      </c>
      <c r="W30" s="56">
        <f>=IF(AND(C30="Yes",G30="Yes"), 1, 0)</f>
      </c>
      <c r="X30" s="56">
        <f>=IF(AND(C30="Yes",G30="No; explanation in comments"), 1, 0)</f>
      </c>
      <c r="Y30" s="56">
        <f>=IF(AND(C30="Yes",K30="Not Assessed Yet"), 1, 0)</f>
      </c>
      <c r="Z30" s="56">
        <f>=IF(AND(C30="Yes",AND(G30&lt;&gt;"-",K30="Mitigated")), 1, 0)</f>
      </c>
      <c r="AA30" s="56">
        <f>=IF(AND(C30="Yes",AND(G30&lt;&gt;"-",K30="Not Mitigated")), 1, 0)</f>
      </c>
    </row>
    <row r="31" ht="50" customHeight="1" spans="1:27" s="53" customFormat="1" x14ac:dyDescent="0.25">
      <c r="A31" s="91" t="s">
        <v>80</v>
      </c>
      <c r="B31" s="92" t="s">
        <v>1041</v>
      </c>
      <c r="C31" s="56">
        <f>=IF(KEY_MANAGEMENT_SERVICEInUse="Yes","Yes","No")</f>
      </c>
      <c r="D31" s="56" t="s">
        <v>1042</v>
      </c>
      <c r="E31" s="56" t="s">
        <v>1043</v>
      </c>
      <c r="F31" s="56">
        <f>=IF(AND(C31="Yes",G31="-"), "Yes", "No")</f>
      </c>
      <c r="G31" s="56" t="s">
        <v>13</v>
      </c>
      <c r="H31" s="56" t="s">
        <v>5</v>
      </c>
      <c r="I31" s="56" t="s">
        <v>229</v>
      </c>
      <c r="J31" s="56" t="s">
        <v>226</v>
      </c>
      <c r="K31" s="56" t="s">
        <v>230</v>
      </c>
      <c r="L31" s="56" t="s">
        <v>5</v>
      </c>
      <c r="M31" s="56" t="s">
        <v>5</v>
      </c>
      <c r="N31" s="56" t="s">
        <v>5</v>
      </c>
      <c r="O31" s="56" t="s">
        <v>5</v>
      </c>
      <c r="P31" s="56" t="s">
        <v>5</v>
      </c>
      <c r="Q31" s="56" t="s">
        <v>5</v>
      </c>
      <c r="R31" s="56" t="s">
        <v>5</v>
      </c>
      <c r="S31" s="56" t="s">
        <v>5</v>
      </c>
      <c r="T31" s="56" t="s">
        <v>5</v>
      </c>
      <c r="U31" s="56" t="s">
        <v>5</v>
      </c>
      <c r="V31" s="56">
        <f>=IF(AND(C31="Yes",G31="-"), 1, 0)</f>
      </c>
      <c r="W31" s="56">
        <f>=IF(AND(C31="Yes",G31="Yes"), 1, 0)</f>
      </c>
      <c r="X31" s="56">
        <f>=IF(AND(C31="Yes",G31="No; explanation in comments"), 1, 0)</f>
      </c>
      <c r="Y31" s="56">
        <f>=IF(AND(C31="Yes",K31="Not Assessed Yet"), 1, 0)</f>
      </c>
      <c r="Z31" s="56">
        <f>=IF(AND(C31="Yes",AND(G31&lt;&gt;"-",K31="Mitigated")), 1, 0)</f>
      </c>
      <c r="AA31" s="56">
        <f>=IF(AND(C31="Yes",AND(G31&lt;&gt;"-",K31="Not Mitigated")), 1, 0)</f>
      </c>
    </row>
    <row r="32" ht="80" customHeight="1" spans="1:27" s="53" customFormat="1" x14ac:dyDescent="0.25">
      <c r="A32" s="91" t="s">
        <v>80</v>
      </c>
      <c r="B32" s="92" t="s">
        <v>1044</v>
      </c>
      <c r="C32" s="56">
        <f>=IF(KEY_MANAGEMENT_SERVICEInUse="Yes","Yes","No")</f>
      </c>
      <c r="D32" s="56" t="s">
        <v>1045</v>
      </c>
      <c r="E32" s="56" t="s">
        <v>1046</v>
      </c>
      <c r="F32" s="56">
        <f>=IF(AND(C32="Yes",G32="-"), "Yes", "No")</f>
      </c>
      <c r="G32" s="56" t="s">
        <v>13</v>
      </c>
      <c r="H32" s="56" t="s">
        <v>5</v>
      </c>
      <c r="I32" s="56" t="s">
        <v>242</v>
      </c>
      <c r="J32" s="56" t="s">
        <v>32</v>
      </c>
      <c r="K32" s="56" t="s">
        <v>230</v>
      </c>
      <c r="L32" s="56" t="s">
        <v>5</v>
      </c>
      <c r="M32" s="56" t="s">
        <v>5</v>
      </c>
      <c r="N32" s="56" t="s">
        <v>5</v>
      </c>
      <c r="O32" s="56" t="s">
        <v>5</v>
      </c>
      <c r="P32" s="56" t="s">
        <v>5</v>
      </c>
      <c r="Q32" s="56" t="s">
        <v>5</v>
      </c>
      <c r="R32" s="56" t="s">
        <v>5</v>
      </c>
      <c r="S32" s="56" t="s">
        <v>5</v>
      </c>
      <c r="T32" s="56" t="s">
        <v>5</v>
      </c>
      <c r="U32" s="56" t="s">
        <v>5</v>
      </c>
      <c r="V32" s="56">
        <f>=IF(AND(C32="Yes",G32="-"), 1, 0)</f>
      </c>
      <c r="W32" s="56">
        <f>=IF(AND(C32="Yes",G32="Yes"), 1, 0)</f>
      </c>
      <c r="X32" s="56">
        <f>=IF(AND(C32="Yes",G32="No; explanation in comments"), 1, 0)</f>
      </c>
      <c r="Y32" s="56">
        <f>=IF(AND(C32="Yes",K32="Not Assessed Yet"), 1, 0)</f>
      </c>
      <c r="Z32" s="56">
        <f>=IF(AND(C32="Yes",AND(G32&lt;&gt;"-",K32="Mitigated")), 1, 0)</f>
      </c>
      <c r="AA32" s="56">
        <f>=IF(AND(C32="Yes",AND(G32&lt;&gt;"-",K32="Not Mitigated")), 1, 0)</f>
      </c>
    </row>
    <row r="33" ht="65" customHeight="1" spans="1:27" s="53" customFormat="1" x14ac:dyDescent="0.25">
      <c r="A33" s="91" t="s">
        <v>80</v>
      </c>
      <c r="B33" s="92" t="s">
        <v>1047</v>
      </c>
      <c r="C33" s="56">
        <f>=IF(KEY_MANAGEMENT_SERVICEInUse="Yes","Yes","No")</f>
      </c>
      <c r="D33" s="56" t="s">
        <v>1048</v>
      </c>
      <c r="E33" s="56" t="s">
        <v>1049</v>
      </c>
      <c r="F33" s="56">
        <f>=IF(AND(C33="Yes",G33="-"), "Yes", "No")</f>
      </c>
      <c r="G33" s="56" t="s">
        <v>13</v>
      </c>
      <c r="H33" s="56" t="s">
        <v>5</v>
      </c>
      <c r="I33" s="56" t="s">
        <v>242</v>
      </c>
      <c r="J33" s="56" t="s">
        <v>32</v>
      </c>
      <c r="K33" s="56" t="s">
        <v>230</v>
      </c>
      <c r="L33" s="56" t="s">
        <v>5</v>
      </c>
      <c r="M33" s="56" t="s">
        <v>5</v>
      </c>
      <c r="N33" s="56" t="s">
        <v>5</v>
      </c>
      <c r="O33" s="56" t="s">
        <v>5</v>
      </c>
      <c r="P33" s="56" t="s">
        <v>5</v>
      </c>
      <c r="Q33" s="56" t="s">
        <v>5</v>
      </c>
      <c r="R33" s="56" t="s">
        <v>5</v>
      </c>
      <c r="S33" s="56" t="s">
        <v>5</v>
      </c>
      <c r="T33" s="56" t="s">
        <v>5</v>
      </c>
      <c r="U33" s="56" t="s">
        <v>5</v>
      </c>
      <c r="V33" s="56">
        <f>=IF(AND(C33="Yes",G33="-"), 1, 0)</f>
      </c>
      <c r="W33" s="56">
        <f>=IF(AND(C33="Yes",G33="Yes"), 1, 0)</f>
      </c>
      <c r="X33" s="56">
        <f>=IF(AND(C33="Yes",G33="No; explanation in comments"), 1, 0)</f>
      </c>
      <c r="Y33" s="56">
        <f>=IF(AND(C33="Yes",K33="Not Assessed Yet"), 1, 0)</f>
      </c>
      <c r="Z33" s="56">
        <f>=IF(AND(C33="Yes",AND(G33&lt;&gt;"-",K33="Mitigated")), 1, 0)</f>
      </c>
      <c r="AA33" s="56">
        <f>=IF(AND(C33="Yes",AND(G33&lt;&gt;"-",K33="Not Mitigated")), 1, 0)</f>
      </c>
    </row>
    <row r="34" ht="65" customHeight="1" spans="1:27" s="53" customFormat="1" x14ac:dyDescent="0.25">
      <c r="A34" s="91" t="s">
        <v>80</v>
      </c>
      <c r="B34" s="92" t="s">
        <v>1050</v>
      </c>
      <c r="C34" s="56">
        <f>=IF(KEY_MANAGEMENT_SERVICEInUse="Yes","Yes","No")</f>
      </c>
      <c r="D34" s="56" t="s">
        <v>1051</v>
      </c>
      <c r="E34" s="56" t="s">
        <v>1052</v>
      </c>
      <c r="F34" s="56">
        <f>=IF(AND(C34="Yes",G34="-"), "Yes", "No")</f>
      </c>
      <c r="G34" s="56" t="s">
        <v>13</v>
      </c>
      <c r="H34" s="56" t="s">
        <v>5</v>
      </c>
      <c r="I34" s="56" t="s">
        <v>242</v>
      </c>
      <c r="J34" s="56" t="s">
        <v>32</v>
      </c>
      <c r="K34" s="56" t="s">
        <v>230</v>
      </c>
      <c r="L34" s="56" t="s">
        <v>5</v>
      </c>
      <c r="M34" s="56" t="s">
        <v>5</v>
      </c>
      <c r="N34" s="56" t="s">
        <v>5</v>
      </c>
      <c r="O34" s="56" t="s">
        <v>5</v>
      </c>
      <c r="P34" s="56" t="s">
        <v>5</v>
      </c>
      <c r="Q34" s="56" t="s">
        <v>5</v>
      </c>
      <c r="R34" s="56" t="s">
        <v>5</v>
      </c>
      <c r="S34" s="56" t="s">
        <v>5</v>
      </c>
      <c r="T34" s="56" t="s">
        <v>5</v>
      </c>
      <c r="U34" s="56" t="s">
        <v>5</v>
      </c>
      <c r="V34" s="56">
        <f>=IF(AND(C34="Yes",G34="-"), 1, 0)</f>
      </c>
      <c r="W34" s="56">
        <f>=IF(AND(C34="Yes",G34="Yes"), 1, 0)</f>
      </c>
      <c r="X34" s="56">
        <f>=IF(AND(C34="Yes",G34="No; explanation in comments"), 1, 0)</f>
      </c>
      <c r="Y34" s="56">
        <f>=IF(AND(C34="Yes",K34="Not Assessed Yet"), 1, 0)</f>
      </c>
      <c r="Z34" s="56">
        <f>=IF(AND(C34="Yes",AND(G34&lt;&gt;"-",K34="Mitigated")), 1, 0)</f>
      </c>
      <c r="AA34" s="56">
        <f>=IF(AND(C34="Yes",AND(G34&lt;&gt;"-",K34="Not Mitigated")), 1, 0)</f>
      </c>
    </row>
    <row r="35" ht="65" customHeight="1" spans="1:27" s="53" customFormat="1" x14ac:dyDescent="0.25">
      <c r="A35" s="91" t="s">
        <v>80</v>
      </c>
      <c r="B35" s="92" t="s">
        <v>1053</v>
      </c>
      <c r="C35" s="56">
        <f>=IF(KEY_MANAGEMENT_SERVICEInUse="Yes","Yes","No")</f>
      </c>
      <c r="D35" s="56" t="s">
        <v>1054</v>
      </c>
      <c r="E35" s="56" t="s">
        <v>1055</v>
      </c>
      <c r="F35" s="56">
        <f>=IF(AND(C35="Yes",G35="-"), "Yes", "No")</f>
      </c>
      <c r="G35" s="56" t="s">
        <v>13</v>
      </c>
      <c r="H35" s="56" t="s">
        <v>5</v>
      </c>
      <c r="I35" s="56" t="s">
        <v>242</v>
      </c>
      <c r="J35" s="56" t="s">
        <v>32</v>
      </c>
      <c r="K35" s="56" t="s">
        <v>230</v>
      </c>
      <c r="L35" s="56" t="s">
        <v>5</v>
      </c>
      <c r="M35" s="56" t="s">
        <v>5</v>
      </c>
      <c r="N35" s="56" t="s">
        <v>5</v>
      </c>
      <c r="O35" s="56" t="s">
        <v>5</v>
      </c>
      <c r="P35" s="56" t="s">
        <v>5</v>
      </c>
      <c r="Q35" s="56" t="s">
        <v>5</v>
      </c>
      <c r="R35" s="56" t="s">
        <v>5</v>
      </c>
      <c r="S35" s="56" t="s">
        <v>5</v>
      </c>
      <c r="T35" s="56" t="s">
        <v>5</v>
      </c>
      <c r="U35" s="56" t="s">
        <v>5</v>
      </c>
      <c r="V35" s="56">
        <f>=IF(AND(C35="Yes",G35="-"), 1, 0)</f>
      </c>
      <c r="W35" s="56">
        <f>=IF(AND(C35="Yes",G35="Yes"), 1, 0)</f>
      </c>
      <c r="X35" s="56">
        <f>=IF(AND(C35="Yes",G35="No; explanation in comments"), 1, 0)</f>
      </c>
      <c r="Y35" s="56">
        <f>=IF(AND(C35="Yes",K35="Not Assessed Yet"), 1, 0)</f>
      </c>
      <c r="Z35" s="56">
        <f>=IF(AND(C35="Yes",AND(G35&lt;&gt;"-",K35="Mitigated")), 1, 0)</f>
      </c>
      <c r="AA35" s="56">
        <f>=IF(AND(C35="Yes",AND(G35&lt;&gt;"-",K35="Not Mitigated")), 1, 0)</f>
      </c>
    </row>
    <row r="36" ht="35" customHeight="1" spans="1:27" s="53" customFormat="1" x14ac:dyDescent="0.25">
      <c r="A36" s="89" t="s">
        <v>81</v>
      </c>
      <c r="B36" s="90" t="s">
        <v>1056</v>
      </c>
      <c r="C36" s="56">
        <f>=IF(PARAMETER_STOREInUse="Yes","Yes","No")</f>
      </c>
      <c r="D36" s="56" t="s">
        <v>1057</v>
      </c>
      <c r="E36" s="56" t="s">
        <v>1058</v>
      </c>
      <c r="F36" s="56">
        <f>=IF(AND(C36="Yes",G36="-"), "Yes", "No")</f>
      </c>
      <c r="G36" s="56" t="s">
        <v>13</v>
      </c>
      <c r="H36" s="56" t="s">
        <v>5</v>
      </c>
      <c r="I36" s="56" t="s">
        <v>229</v>
      </c>
      <c r="J36" s="56" t="s">
        <v>226</v>
      </c>
      <c r="K36" s="56" t="s">
        <v>230</v>
      </c>
      <c r="L36" s="56" t="s">
        <v>5</v>
      </c>
      <c r="M36" s="56" t="s">
        <v>5</v>
      </c>
      <c r="N36" s="56" t="s">
        <v>5</v>
      </c>
      <c r="O36" s="56" t="s">
        <v>5</v>
      </c>
      <c r="P36" s="56" t="s">
        <v>5</v>
      </c>
      <c r="Q36" s="56" t="s">
        <v>5</v>
      </c>
      <c r="R36" s="56" t="s">
        <v>5</v>
      </c>
      <c r="S36" s="56" t="s">
        <v>5</v>
      </c>
      <c r="T36" s="56" t="s">
        <v>5</v>
      </c>
      <c r="U36" s="56" t="s">
        <v>5</v>
      </c>
      <c r="V36" s="56">
        <f>=IF(AND(C36="Yes",G36="-"), 1, 0)</f>
      </c>
      <c r="W36" s="56">
        <f>=IF(AND(C36="Yes",G36="Yes"), 1, 0)</f>
      </c>
      <c r="X36" s="56">
        <f>=IF(AND(C36="Yes",G36="No; explanation in comments"), 1, 0)</f>
      </c>
      <c r="Y36" s="56">
        <f>=IF(AND(C36="Yes",K36="Not Assessed Yet"), 1, 0)</f>
      </c>
      <c r="Z36" s="56">
        <f>=IF(AND(C36="Yes",AND(G36&lt;&gt;"-",K36="Mitigated")), 1, 0)</f>
      </c>
      <c r="AA36" s="56">
        <f>=IF(AND(C36="Yes",AND(G36&lt;&gt;"-",K36="Not Mitigated")), 1, 0)</f>
      </c>
    </row>
    <row r="37" ht="35" customHeight="1" spans="1:27" s="53" customFormat="1" x14ac:dyDescent="0.25">
      <c r="A37" s="89" t="s">
        <v>81</v>
      </c>
      <c r="B37" s="90" t="s">
        <v>1059</v>
      </c>
      <c r="C37" s="56">
        <f>=IF(PARAMETER_STOREInUse="Yes","Yes","No")</f>
      </c>
      <c r="D37" s="56" t="s">
        <v>1060</v>
      </c>
      <c r="E37" s="56" t="s">
        <v>1061</v>
      </c>
      <c r="F37" s="56">
        <f>=IF(AND(C37="Yes",G37="-"), "Yes", "No")</f>
      </c>
      <c r="G37" s="56" t="s">
        <v>13</v>
      </c>
      <c r="H37" s="56" t="s">
        <v>5</v>
      </c>
      <c r="I37" s="56" t="s">
        <v>229</v>
      </c>
      <c r="J37" s="56" t="s">
        <v>226</v>
      </c>
      <c r="K37" s="56" t="s">
        <v>230</v>
      </c>
      <c r="L37" s="56" t="s">
        <v>5</v>
      </c>
      <c r="M37" s="56" t="s">
        <v>5</v>
      </c>
      <c r="N37" s="56" t="s">
        <v>5</v>
      </c>
      <c r="O37" s="56" t="s">
        <v>5</v>
      </c>
      <c r="P37" s="56" t="s">
        <v>5</v>
      </c>
      <c r="Q37" s="56" t="s">
        <v>5</v>
      </c>
      <c r="R37" s="56" t="s">
        <v>5</v>
      </c>
      <c r="S37" s="56" t="s">
        <v>5</v>
      </c>
      <c r="T37" s="56" t="s">
        <v>5</v>
      </c>
      <c r="U37" s="56" t="s">
        <v>5</v>
      </c>
      <c r="V37" s="56">
        <f>=IF(AND(C37="Yes",G37="-"), 1, 0)</f>
      </c>
      <c r="W37" s="56">
        <f>=IF(AND(C37="Yes",G37="Yes"), 1, 0)</f>
      </c>
      <c r="X37" s="56">
        <f>=IF(AND(C37="Yes",G37="No; explanation in comments"), 1, 0)</f>
      </c>
      <c r="Y37" s="56">
        <f>=IF(AND(C37="Yes",K37="Not Assessed Yet"), 1, 0)</f>
      </c>
      <c r="Z37" s="56">
        <f>=IF(AND(C37="Yes",AND(G37&lt;&gt;"-",K37="Mitigated")), 1, 0)</f>
      </c>
      <c r="AA37" s="56">
        <f>=IF(AND(C37="Yes",AND(G37&lt;&gt;"-",K37="Not Mitigated")), 1, 0)</f>
      </c>
    </row>
    <row r="38" ht="80" customHeight="1" spans="1:27" s="53" customFormat="1" x14ac:dyDescent="0.25">
      <c r="A38" s="91" t="s">
        <v>82</v>
      </c>
      <c r="B38" s="92" t="s">
        <v>1062</v>
      </c>
      <c r="C38" s="56">
        <f>=IF(AWS_ORGANIZATIONSInUse="Yes","Yes","No")</f>
      </c>
      <c r="D38" s="56" t="s">
        <v>1063</v>
      </c>
      <c r="E38" s="56" t="s">
        <v>1064</v>
      </c>
      <c r="F38" s="56">
        <f>=IF(AND(C38="Yes",G38="-"), "Yes", "No")</f>
      </c>
      <c r="G38" s="56" t="s">
        <v>13</v>
      </c>
      <c r="H38" s="56" t="s">
        <v>5</v>
      </c>
      <c r="I38" s="56" t="s">
        <v>229</v>
      </c>
      <c r="J38" s="56" t="s">
        <v>226</v>
      </c>
      <c r="K38" s="56" t="s">
        <v>230</v>
      </c>
      <c r="L38" s="56" t="s">
        <v>5</v>
      </c>
      <c r="M38" s="56" t="s">
        <v>5</v>
      </c>
      <c r="N38" s="56" t="s">
        <v>5</v>
      </c>
      <c r="O38" s="56" t="s">
        <v>5</v>
      </c>
      <c r="P38" s="56" t="s">
        <v>5</v>
      </c>
      <c r="Q38" s="56" t="s">
        <v>5</v>
      </c>
      <c r="R38" s="56" t="s">
        <v>5</v>
      </c>
      <c r="S38" s="56" t="s">
        <v>5</v>
      </c>
      <c r="T38" s="56" t="s">
        <v>5</v>
      </c>
      <c r="U38" s="56" t="s">
        <v>5</v>
      </c>
      <c r="V38" s="56">
        <f>=IF(AND(C38="Yes",G38="-"), 1, 0)</f>
      </c>
      <c r="W38" s="56">
        <f>=IF(AND(C38="Yes",G38="Yes"), 1, 0)</f>
      </c>
      <c r="X38" s="56">
        <f>=IF(AND(C38="Yes",G38="No; explanation in comments"), 1, 0)</f>
      </c>
      <c r="Y38" s="56">
        <f>=IF(AND(C38="Yes",K38="Not Assessed Yet"), 1, 0)</f>
      </c>
      <c r="Z38" s="56">
        <f>=IF(AND(C38="Yes",AND(G38&lt;&gt;"-",K38="Mitigated")), 1, 0)</f>
      </c>
      <c r="AA38" s="56">
        <f>=IF(AND(C38="Yes",AND(G38&lt;&gt;"-",K38="Not Mitigated")), 1, 0)</f>
      </c>
    </row>
    <row r="39" ht="65" customHeight="1" spans="1:27" s="53" customFormat="1" x14ac:dyDescent="0.25">
      <c r="A39" s="91" t="s">
        <v>82</v>
      </c>
      <c r="B39" s="92" t="s">
        <v>1065</v>
      </c>
      <c r="C39" s="56">
        <f>=IF(AWS_ORGANIZATIONSInUse="Yes","Yes","No")</f>
      </c>
      <c r="D39" s="56" t="s">
        <v>1066</v>
      </c>
      <c r="E39" s="56" t="s">
        <v>1067</v>
      </c>
      <c r="F39" s="56">
        <f>=IF(AND(C39="Yes",G39="-"), "Yes", "No")</f>
      </c>
      <c r="G39" s="56" t="s">
        <v>13</v>
      </c>
      <c r="H39" s="56" t="s">
        <v>5</v>
      </c>
      <c r="I39" s="56" t="s">
        <v>229</v>
      </c>
      <c r="J39" s="56" t="s">
        <v>226</v>
      </c>
      <c r="K39" s="56" t="s">
        <v>230</v>
      </c>
      <c r="L39" s="56" t="s">
        <v>5</v>
      </c>
      <c r="M39" s="56" t="s">
        <v>5</v>
      </c>
      <c r="N39" s="56" t="s">
        <v>5</v>
      </c>
      <c r="O39" s="56" t="s">
        <v>5</v>
      </c>
      <c r="P39" s="56" t="s">
        <v>5</v>
      </c>
      <c r="Q39" s="56" t="s">
        <v>5</v>
      </c>
      <c r="R39" s="56" t="s">
        <v>5</v>
      </c>
      <c r="S39" s="56" t="s">
        <v>5</v>
      </c>
      <c r="T39" s="56" t="s">
        <v>5</v>
      </c>
      <c r="U39" s="56" t="s">
        <v>5</v>
      </c>
      <c r="V39" s="56">
        <f>=IF(AND(C39="Yes",G39="-"), 1, 0)</f>
      </c>
      <c r="W39" s="56">
        <f>=IF(AND(C39="Yes",G39="Yes"), 1, 0)</f>
      </c>
      <c r="X39" s="56">
        <f>=IF(AND(C39="Yes",G39="No; explanation in comments"), 1, 0)</f>
      </c>
      <c r="Y39" s="56">
        <f>=IF(AND(C39="Yes",K39="Not Assessed Yet"), 1, 0)</f>
      </c>
      <c r="Z39" s="56">
        <f>=IF(AND(C39="Yes",AND(G39&lt;&gt;"-",K39="Mitigated")), 1, 0)</f>
      </c>
      <c r="AA39" s="56">
        <f>=IF(AND(C39="Yes",AND(G39&lt;&gt;"-",K39="Not Mitigated")), 1, 0)</f>
      </c>
    </row>
    <row r="40" ht="35" customHeight="1" spans="1:27" s="53" customFormat="1" x14ac:dyDescent="0.25">
      <c r="A40" s="91" t="s">
        <v>82</v>
      </c>
      <c r="B40" s="92" t="s">
        <v>1068</v>
      </c>
      <c r="C40" s="56">
        <f>=IF(AWS_ORGANIZATIONSInUse="Yes","Yes","No")</f>
      </c>
      <c r="D40" s="56" t="s">
        <v>1069</v>
      </c>
      <c r="E40" s="56" t="s">
        <v>1070</v>
      </c>
      <c r="F40" s="56">
        <f>=IF(AND(C40="Yes",G40="-"), "Yes", "No")</f>
      </c>
      <c r="G40" s="56" t="s">
        <v>13</v>
      </c>
      <c r="H40" s="56" t="s">
        <v>5</v>
      </c>
      <c r="I40" s="56" t="s">
        <v>229</v>
      </c>
      <c r="J40" s="56" t="s">
        <v>226</v>
      </c>
      <c r="K40" s="56" t="s">
        <v>230</v>
      </c>
      <c r="L40" s="56" t="s">
        <v>5</v>
      </c>
      <c r="M40" s="56" t="s">
        <v>5</v>
      </c>
      <c r="N40" s="56" t="s">
        <v>5</v>
      </c>
      <c r="O40" s="56" t="s">
        <v>5</v>
      </c>
      <c r="P40" s="56" t="s">
        <v>5</v>
      </c>
      <c r="Q40" s="56" t="s">
        <v>5</v>
      </c>
      <c r="R40" s="56" t="s">
        <v>5</v>
      </c>
      <c r="S40" s="56" t="s">
        <v>5</v>
      </c>
      <c r="T40" s="56" t="s">
        <v>5</v>
      </c>
      <c r="U40" s="56" t="s">
        <v>5</v>
      </c>
      <c r="V40" s="56">
        <f>=IF(AND(C40="Yes",G40="-"), 1, 0)</f>
      </c>
      <c r="W40" s="56">
        <f>=IF(AND(C40="Yes",G40="Yes"), 1, 0)</f>
      </c>
      <c r="X40" s="56">
        <f>=IF(AND(C40="Yes",G40="No; explanation in comments"), 1, 0)</f>
      </c>
      <c r="Y40" s="56">
        <f>=IF(AND(C40="Yes",K40="Not Assessed Yet"), 1, 0)</f>
      </c>
      <c r="Z40" s="56">
        <f>=IF(AND(C40="Yes",AND(G40&lt;&gt;"-",K40="Mitigated")), 1, 0)</f>
      </c>
      <c r="AA40" s="56">
        <f>=IF(AND(C40="Yes",AND(G40&lt;&gt;"-",K40="Not Mitigated")), 1, 0)</f>
      </c>
    </row>
    <row r="41" ht="35" customHeight="1" spans="1:27" s="53" customFormat="1" x14ac:dyDescent="0.25">
      <c r="A41" s="91" t="s">
        <v>82</v>
      </c>
      <c r="B41" s="92" t="s">
        <v>1071</v>
      </c>
      <c r="C41" s="56">
        <f>=IF(AWS_ORGANIZATIONSInUse="Yes","Yes","No")</f>
      </c>
      <c r="D41" s="56" t="s">
        <v>1072</v>
      </c>
      <c r="E41" s="56" t="s">
        <v>1073</v>
      </c>
      <c r="F41" s="56">
        <f>=IF(AND(C41="Yes",G41="-"), "Yes", "No")</f>
      </c>
      <c r="G41" s="56" t="s">
        <v>13</v>
      </c>
      <c r="H41" s="56" t="s">
        <v>5</v>
      </c>
      <c r="I41" s="56" t="s">
        <v>229</v>
      </c>
      <c r="J41" s="56" t="s">
        <v>226</v>
      </c>
      <c r="K41" s="56" t="s">
        <v>230</v>
      </c>
      <c r="L41" s="56" t="s">
        <v>5</v>
      </c>
      <c r="M41" s="56" t="s">
        <v>5</v>
      </c>
      <c r="N41" s="56" t="s">
        <v>5</v>
      </c>
      <c r="O41" s="56" t="s">
        <v>5</v>
      </c>
      <c r="P41" s="56" t="s">
        <v>5</v>
      </c>
      <c r="Q41" s="56" t="s">
        <v>5</v>
      </c>
      <c r="R41" s="56" t="s">
        <v>5</v>
      </c>
      <c r="S41" s="56" t="s">
        <v>5</v>
      </c>
      <c r="T41" s="56" t="s">
        <v>5</v>
      </c>
      <c r="U41" s="56" t="s">
        <v>5</v>
      </c>
      <c r="V41" s="56">
        <f>=IF(AND(C41="Yes",G41="-"), 1, 0)</f>
      </c>
      <c r="W41" s="56">
        <f>=IF(AND(C41="Yes",G41="Yes"), 1, 0)</f>
      </c>
      <c r="X41" s="56">
        <f>=IF(AND(C41="Yes",G41="No; explanation in comments"), 1, 0)</f>
      </c>
      <c r="Y41" s="56">
        <f>=IF(AND(C41="Yes",K41="Not Assessed Yet"), 1, 0)</f>
      </c>
      <c r="Z41" s="56">
        <f>=IF(AND(C41="Yes",AND(G41&lt;&gt;"-",K41="Mitigated")), 1, 0)</f>
      </c>
      <c r="AA41" s="56">
        <f>=IF(AND(C41="Yes",AND(G41&lt;&gt;"-",K41="Not Mitigated")), 1, 0)</f>
      </c>
    </row>
    <row r="42" ht="35" customHeight="1" spans="1:27" s="53" customFormat="1" x14ac:dyDescent="0.25">
      <c r="A42" s="89" t="s">
        <v>83</v>
      </c>
      <c r="B42" s="90" t="s">
        <v>1074</v>
      </c>
      <c r="C42" s="56">
        <f>=IF(AWS_RESOURCE_ACCESS_MANAGERInUse="Yes","Yes","No")</f>
      </c>
      <c r="D42" s="56" t="s">
        <v>1075</v>
      </c>
      <c r="E42" s="56" t="s">
        <v>1076</v>
      </c>
      <c r="F42" s="56">
        <f>=IF(AND(C42="Yes",G42="-"), "Yes", "No")</f>
      </c>
      <c r="G42" s="56" t="s">
        <v>13</v>
      </c>
      <c r="H42" s="56" t="s">
        <v>5</v>
      </c>
      <c r="I42" s="56" t="s">
        <v>242</v>
      </c>
      <c r="J42" s="56" t="s">
        <v>32</v>
      </c>
      <c r="K42" s="56" t="s">
        <v>230</v>
      </c>
      <c r="L42" s="56" t="s">
        <v>5</v>
      </c>
      <c r="M42" s="56" t="s">
        <v>5</v>
      </c>
      <c r="N42" s="56" t="s">
        <v>5</v>
      </c>
      <c r="O42" s="56" t="s">
        <v>5</v>
      </c>
      <c r="P42" s="56" t="s">
        <v>5</v>
      </c>
      <c r="Q42" s="56" t="s">
        <v>5</v>
      </c>
      <c r="R42" s="56" t="s">
        <v>5</v>
      </c>
      <c r="S42" s="56" t="s">
        <v>5</v>
      </c>
      <c r="T42" s="56" t="s">
        <v>5</v>
      </c>
      <c r="U42" s="56" t="s">
        <v>5</v>
      </c>
      <c r="V42" s="56">
        <f>=IF(AND(C42="Yes",G42="-"), 1, 0)</f>
      </c>
      <c r="W42" s="56">
        <f>=IF(AND(C42="Yes",G42="Yes"), 1, 0)</f>
      </c>
      <c r="X42" s="56">
        <f>=IF(AND(C42="Yes",G42="No; explanation in comments"), 1, 0)</f>
      </c>
      <c r="Y42" s="56">
        <f>=IF(AND(C42="Yes",K42="Not Assessed Yet"), 1, 0)</f>
      </c>
      <c r="Z42" s="56">
        <f>=IF(AND(C42="Yes",AND(G42&lt;&gt;"-",K42="Mitigated")), 1, 0)</f>
      </c>
      <c r="AA42" s="56">
        <f>=IF(AND(C42="Yes",AND(G42&lt;&gt;"-",K42="Not Mitigated")), 1, 0)</f>
      </c>
    </row>
  </sheetData>
  <autoFilter ref="A1:L1"/>
  <conditionalFormatting sqref="$F$2">
    <cfRule type="containsText" dxfId="1618" priority="1">
      <formula>NOT(ISERROR(SEARCH("Yes",F2)))</formula>
    </cfRule>
  </conditionalFormatting>
  <conditionalFormatting sqref="$G$2">
    <cfRule type="containsText" dxfId="1619" priority="1">
      <formula>NOT(ISERROR(SEARCH("Yes",G2)))</formula>
    </cfRule>
    <cfRule type="containsText" dxfId="1620" priority="2">
      <formula>NOT(ISERROR(SEARCH("No; explanation in comments",G2)))</formula>
    </cfRule>
  </conditionalFormatting>
  <conditionalFormatting sqref="$J$2">
    <cfRule type="containsText" dxfId="1621" priority="1">
      <formula>NOT(ISERROR(SEARCH("Yes",J2)))</formula>
    </cfRule>
  </conditionalFormatting>
  <conditionalFormatting sqref="$K$2">
    <cfRule type="containsText" dxfId="1622" priority="1">
      <formula>NOT(ISERROR(SEARCH("Mitigated",K2)))</formula>
    </cfRule>
    <cfRule type="containsText" dxfId="1623" priority="2">
      <formula>NOT(ISERROR(SEARCH("Not Mitigated",K2)))</formula>
    </cfRule>
  </conditionalFormatting>
  <conditionalFormatting sqref="$F$3">
    <cfRule type="containsText" dxfId="1624" priority="1">
      <formula>NOT(ISERROR(SEARCH("Yes",F3)))</formula>
    </cfRule>
  </conditionalFormatting>
  <conditionalFormatting sqref="$G$3">
    <cfRule type="containsText" dxfId="1625" priority="1">
      <formula>NOT(ISERROR(SEARCH("Yes",G3)))</formula>
    </cfRule>
    <cfRule type="containsText" dxfId="1626" priority="2">
      <formula>NOT(ISERROR(SEARCH("No; explanation in comments",G3)))</formula>
    </cfRule>
  </conditionalFormatting>
  <conditionalFormatting sqref="$J$3">
    <cfRule type="containsText" dxfId="1627" priority="1">
      <formula>NOT(ISERROR(SEARCH("Yes",J3)))</formula>
    </cfRule>
  </conditionalFormatting>
  <conditionalFormatting sqref="$K$3">
    <cfRule type="containsText" dxfId="1628" priority="1">
      <formula>NOT(ISERROR(SEARCH("Mitigated",K3)))</formula>
    </cfRule>
    <cfRule type="containsText" dxfId="1629" priority="2">
      <formula>NOT(ISERROR(SEARCH("Not Mitigated",K3)))</formula>
    </cfRule>
  </conditionalFormatting>
  <conditionalFormatting sqref="$F$4">
    <cfRule type="containsText" dxfId="1630" priority="1">
      <formula>NOT(ISERROR(SEARCH("Yes",F4)))</formula>
    </cfRule>
  </conditionalFormatting>
  <conditionalFormatting sqref="$G$4">
    <cfRule type="containsText" dxfId="1631" priority="1">
      <formula>NOT(ISERROR(SEARCH("Yes",G4)))</formula>
    </cfRule>
    <cfRule type="containsText" dxfId="1632" priority="2">
      <formula>NOT(ISERROR(SEARCH("No; explanation in comments",G4)))</formula>
    </cfRule>
  </conditionalFormatting>
  <conditionalFormatting sqref="$J$4">
    <cfRule type="containsText" dxfId="1633" priority="1">
      <formula>NOT(ISERROR(SEARCH("Yes",J4)))</formula>
    </cfRule>
  </conditionalFormatting>
  <conditionalFormatting sqref="$K$4">
    <cfRule type="containsText" dxfId="1634" priority="1">
      <formula>NOT(ISERROR(SEARCH("Mitigated",K4)))</formula>
    </cfRule>
    <cfRule type="containsText" dxfId="1635" priority="2">
      <formula>NOT(ISERROR(SEARCH("Not Mitigated",K4)))</formula>
    </cfRule>
  </conditionalFormatting>
  <conditionalFormatting sqref="$F$5">
    <cfRule type="containsText" dxfId="1636" priority="1">
      <formula>NOT(ISERROR(SEARCH("Yes",F5)))</formula>
    </cfRule>
  </conditionalFormatting>
  <conditionalFormatting sqref="$G$5">
    <cfRule type="containsText" dxfId="1637" priority="1">
      <formula>NOT(ISERROR(SEARCH("Yes",G5)))</formula>
    </cfRule>
    <cfRule type="containsText" dxfId="1638" priority="2">
      <formula>NOT(ISERROR(SEARCH("No; explanation in comments",G5)))</formula>
    </cfRule>
  </conditionalFormatting>
  <conditionalFormatting sqref="$J$5">
    <cfRule type="containsText" dxfId="1639" priority="1">
      <formula>NOT(ISERROR(SEARCH("Yes",J5)))</formula>
    </cfRule>
  </conditionalFormatting>
  <conditionalFormatting sqref="$K$5">
    <cfRule type="containsText" dxfId="1640" priority="1">
      <formula>NOT(ISERROR(SEARCH("Mitigated",K5)))</formula>
    </cfRule>
    <cfRule type="containsText" dxfId="1641" priority="2">
      <formula>NOT(ISERROR(SEARCH("Not Mitigated",K5)))</formula>
    </cfRule>
  </conditionalFormatting>
  <conditionalFormatting sqref="$F$6">
    <cfRule type="containsText" dxfId="1642" priority="1">
      <formula>NOT(ISERROR(SEARCH("Yes",F6)))</formula>
    </cfRule>
  </conditionalFormatting>
  <conditionalFormatting sqref="$G$6">
    <cfRule type="containsText" dxfId="1643" priority="1">
      <formula>NOT(ISERROR(SEARCH("Yes",G6)))</formula>
    </cfRule>
    <cfRule type="containsText" dxfId="1644" priority="2">
      <formula>NOT(ISERROR(SEARCH("No; explanation in comments",G6)))</formula>
    </cfRule>
  </conditionalFormatting>
  <conditionalFormatting sqref="$J$6">
    <cfRule type="containsText" dxfId="1645" priority="1">
      <formula>NOT(ISERROR(SEARCH("Yes",J6)))</formula>
    </cfRule>
  </conditionalFormatting>
  <conditionalFormatting sqref="$K$6">
    <cfRule type="containsText" dxfId="1646" priority="1">
      <formula>NOT(ISERROR(SEARCH("Mitigated",K6)))</formula>
    </cfRule>
    <cfRule type="containsText" dxfId="1647" priority="2">
      <formula>NOT(ISERROR(SEARCH("Not Mitigated",K6)))</formula>
    </cfRule>
  </conditionalFormatting>
  <conditionalFormatting sqref="$F$7">
    <cfRule type="containsText" dxfId="1648" priority="1">
      <formula>NOT(ISERROR(SEARCH("Yes",F7)))</formula>
    </cfRule>
  </conditionalFormatting>
  <conditionalFormatting sqref="$G$7">
    <cfRule type="containsText" dxfId="1649" priority="1">
      <formula>NOT(ISERROR(SEARCH("Yes",G7)))</formula>
    </cfRule>
    <cfRule type="containsText" dxfId="1650" priority="2">
      <formula>NOT(ISERROR(SEARCH("No; explanation in comments",G7)))</formula>
    </cfRule>
  </conditionalFormatting>
  <conditionalFormatting sqref="$J$7">
    <cfRule type="containsText" dxfId="1651" priority="1">
      <formula>NOT(ISERROR(SEARCH("Yes",J7)))</formula>
    </cfRule>
  </conditionalFormatting>
  <conditionalFormatting sqref="$K$7">
    <cfRule type="containsText" dxfId="1652" priority="1">
      <formula>NOT(ISERROR(SEARCH("Mitigated",K7)))</formula>
    </cfRule>
    <cfRule type="containsText" dxfId="1653" priority="2">
      <formula>NOT(ISERROR(SEARCH("Not Mitigated",K7)))</formula>
    </cfRule>
  </conditionalFormatting>
  <conditionalFormatting sqref="$F$8">
    <cfRule type="containsText" dxfId="1654" priority="1">
      <formula>NOT(ISERROR(SEARCH("Yes",F8)))</formula>
    </cfRule>
  </conditionalFormatting>
  <conditionalFormatting sqref="$G$8">
    <cfRule type="containsText" dxfId="1655" priority="1">
      <formula>NOT(ISERROR(SEARCH("Yes",G8)))</formula>
    </cfRule>
    <cfRule type="containsText" dxfId="1656" priority="2">
      <formula>NOT(ISERROR(SEARCH("No; explanation in comments",G8)))</formula>
    </cfRule>
  </conditionalFormatting>
  <conditionalFormatting sqref="$J$8">
    <cfRule type="containsText" dxfId="1657" priority="1">
      <formula>NOT(ISERROR(SEARCH("Yes",J8)))</formula>
    </cfRule>
  </conditionalFormatting>
  <conditionalFormatting sqref="$K$8">
    <cfRule type="containsText" dxfId="1658" priority="1">
      <formula>NOT(ISERROR(SEARCH("Mitigated",K8)))</formula>
    </cfRule>
    <cfRule type="containsText" dxfId="1659" priority="2">
      <formula>NOT(ISERROR(SEARCH("Not Mitigated",K8)))</formula>
    </cfRule>
  </conditionalFormatting>
  <conditionalFormatting sqref="$F$9">
    <cfRule type="containsText" dxfId="1660" priority="1">
      <formula>NOT(ISERROR(SEARCH("Yes",F9)))</formula>
    </cfRule>
  </conditionalFormatting>
  <conditionalFormatting sqref="$G$9">
    <cfRule type="containsText" dxfId="1661" priority="1">
      <formula>NOT(ISERROR(SEARCH("Yes",G9)))</formula>
    </cfRule>
    <cfRule type="containsText" dxfId="1662" priority="2">
      <formula>NOT(ISERROR(SEARCH("No; explanation in comments",G9)))</formula>
    </cfRule>
  </conditionalFormatting>
  <conditionalFormatting sqref="$J$9">
    <cfRule type="containsText" dxfId="1663" priority="1">
      <formula>NOT(ISERROR(SEARCH("Yes",J9)))</formula>
    </cfRule>
  </conditionalFormatting>
  <conditionalFormatting sqref="$K$9">
    <cfRule type="containsText" dxfId="1664" priority="1">
      <formula>NOT(ISERROR(SEARCH("Mitigated",K9)))</formula>
    </cfRule>
    <cfRule type="containsText" dxfId="1665" priority="2">
      <formula>NOT(ISERROR(SEARCH("Not Mitigated",K9)))</formula>
    </cfRule>
  </conditionalFormatting>
  <conditionalFormatting sqref="$F$10">
    <cfRule type="containsText" dxfId="1666" priority="1">
      <formula>NOT(ISERROR(SEARCH("Yes",F10)))</formula>
    </cfRule>
  </conditionalFormatting>
  <conditionalFormatting sqref="$G$10">
    <cfRule type="containsText" dxfId="1667" priority="1">
      <formula>NOT(ISERROR(SEARCH("Yes",G10)))</formula>
    </cfRule>
    <cfRule type="containsText" dxfId="1668" priority="2">
      <formula>NOT(ISERROR(SEARCH("No; explanation in comments",G10)))</formula>
    </cfRule>
  </conditionalFormatting>
  <conditionalFormatting sqref="$J$10">
    <cfRule type="containsText" dxfId="1669" priority="1">
      <formula>NOT(ISERROR(SEARCH("Yes",J10)))</formula>
    </cfRule>
  </conditionalFormatting>
  <conditionalFormatting sqref="$K$10">
    <cfRule type="containsText" dxfId="1670" priority="1">
      <formula>NOT(ISERROR(SEARCH("Mitigated",K10)))</formula>
    </cfRule>
    <cfRule type="containsText" dxfId="1671" priority="2">
      <formula>NOT(ISERROR(SEARCH("Not Mitigated",K10)))</formula>
    </cfRule>
  </conditionalFormatting>
  <conditionalFormatting sqref="$F$11">
    <cfRule type="containsText" dxfId="1672" priority="1">
      <formula>NOT(ISERROR(SEARCH("Yes",F11)))</formula>
    </cfRule>
  </conditionalFormatting>
  <conditionalFormatting sqref="$G$11">
    <cfRule type="containsText" dxfId="1673" priority="1">
      <formula>NOT(ISERROR(SEARCH("Yes",G11)))</formula>
    </cfRule>
    <cfRule type="containsText" dxfId="1674" priority="2">
      <formula>NOT(ISERROR(SEARCH("No; explanation in comments",G11)))</formula>
    </cfRule>
  </conditionalFormatting>
  <conditionalFormatting sqref="$J$11">
    <cfRule type="containsText" dxfId="1675" priority="1">
      <formula>NOT(ISERROR(SEARCH("Yes",J11)))</formula>
    </cfRule>
  </conditionalFormatting>
  <conditionalFormatting sqref="$K$11">
    <cfRule type="containsText" dxfId="1676" priority="1">
      <formula>NOT(ISERROR(SEARCH("Mitigated",K11)))</formula>
    </cfRule>
    <cfRule type="containsText" dxfId="1677" priority="2">
      <formula>NOT(ISERROR(SEARCH("Not Mitigated",K11)))</formula>
    </cfRule>
  </conditionalFormatting>
  <conditionalFormatting sqref="$F$12">
    <cfRule type="containsText" dxfId="1678" priority="1">
      <formula>NOT(ISERROR(SEARCH("Yes",F12)))</formula>
    </cfRule>
  </conditionalFormatting>
  <conditionalFormatting sqref="$G$12">
    <cfRule type="containsText" dxfId="1679" priority="1">
      <formula>NOT(ISERROR(SEARCH("Yes",G12)))</formula>
    </cfRule>
    <cfRule type="containsText" dxfId="1680" priority="2">
      <formula>NOT(ISERROR(SEARCH("No; explanation in comments",G12)))</formula>
    </cfRule>
  </conditionalFormatting>
  <conditionalFormatting sqref="$J$12">
    <cfRule type="containsText" dxfId="1681" priority="1">
      <formula>NOT(ISERROR(SEARCH("Yes",J12)))</formula>
    </cfRule>
  </conditionalFormatting>
  <conditionalFormatting sqref="$K$12">
    <cfRule type="containsText" dxfId="1682" priority="1">
      <formula>NOT(ISERROR(SEARCH("Mitigated",K12)))</formula>
    </cfRule>
    <cfRule type="containsText" dxfId="1683" priority="2">
      <formula>NOT(ISERROR(SEARCH("Not Mitigated",K12)))</formula>
    </cfRule>
  </conditionalFormatting>
  <conditionalFormatting sqref="$F$13">
    <cfRule type="containsText" dxfId="1684" priority="1">
      <formula>NOT(ISERROR(SEARCH("Yes",F13)))</formula>
    </cfRule>
  </conditionalFormatting>
  <conditionalFormatting sqref="$G$13">
    <cfRule type="containsText" dxfId="1685" priority="1">
      <formula>NOT(ISERROR(SEARCH("Yes",G13)))</formula>
    </cfRule>
    <cfRule type="containsText" dxfId="1686" priority="2">
      <formula>NOT(ISERROR(SEARCH("No; explanation in comments",G13)))</formula>
    </cfRule>
  </conditionalFormatting>
  <conditionalFormatting sqref="$J$13">
    <cfRule type="containsText" dxfId="1687" priority="1">
      <formula>NOT(ISERROR(SEARCH("Yes",J13)))</formula>
    </cfRule>
  </conditionalFormatting>
  <conditionalFormatting sqref="$K$13">
    <cfRule type="containsText" dxfId="1688" priority="1">
      <formula>NOT(ISERROR(SEARCH("Mitigated",K13)))</formula>
    </cfRule>
    <cfRule type="containsText" dxfId="1689" priority="2">
      <formula>NOT(ISERROR(SEARCH("Not Mitigated",K13)))</formula>
    </cfRule>
  </conditionalFormatting>
  <conditionalFormatting sqref="$F$14">
    <cfRule type="containsText" dxfId="1690" priority="1">
      <formula>NOT(ISERROR(SEARCH("Yes",F14)))</formula>
    </cfRule>
  </conditionalFormatting>
  <conditionalFormatting sqref="$G$14">
    <cfRule type="containsText" dxfId="1691" priority="1">
      <formula>NOT(ISERROR(SEARCH("Yes",G14)))</formula>
    </cfRule>
    <cfRule type="containsText" dxfId="1692" priority="2">
      <formula>NOT(ISERROR(SEARCH("No; explanation in comments",G14)))</formula>
    </cfRule>
  </conditionalFormatting>
  <conditionalFormatting sqref="$J$14">
    <cfRule type="containsText" dxfId="1693" priority="1">
      <formula>NOT(ISERROR(SEARCH("Yes",J14)))</formula>
    </cfRule>
  </conditionalFormatting>
  <conditionalFormatting sqref="$K$14">
    <cfRule type="containsText" dxfId="1694" priority="1">
      <formula>NOT(ISERROR(SEARCH("Mitigated",K14)))</formula>
    </cfRule>
    <cfRule type="containsText" dxfId="1695" priority="2">
      <formula>NOT(ISERROR(SEARCH("Not Mitigated",K14)))</formula>
    </cfRule>
  </conditionalFormatting>
  <conditionalFormatting sqref="$F$15">
    <cfRule type="containsText" dxfId="1696" priority="1">
      <formula>NOT(ISERROR(SEARCH("Yes",F15)))</formula>
    </cfRule>
  </conditionalFormatting>
  <conditionalFormatting sqref="$G$15">
    <cfRule type="containsText" dxfId="1697" priority="1">
      <formula>NOT(ISERROR(SEARCH("Yes",G15)))</formula>
    </cfRule>
    <cfRule type="containsText" dxfId="1698" priority="2">
      <formula>NOT(ISERROR(SEARCH("No; explanation in comments",G15)))</formula>
    </cfRule>
  </conditionalFormatting>
  <conditionalFormatting sqref="$J$15">
    <cfRule type="containsText" dxfId="1699" priority="1">
      <formula>NOT(ISERROR(SEARCH("Yes",J15)))</formula>
    </cfRule>
  </conditionalFormatting>
  <conditionalFormatting sqref="$K$15">
    <cfRule type="containsText" dxfId="1700" priority="1">
      <formula>NOT(ISERROR(SEARCH("Mitigated",K15)))</formula>
    </cfRule>
    <cfRule type="containsText" dxfId="1701" priority="2">
      <formula>NOT(ISERROR(SEARCH("Not Mitigated",K15)))</formula>
    </cfRule>
  </conditionalFormatting>
  <conditionalFormatting sqref="$F$16">
    <cfRule type="containsText" dxfId="1702" priority="1">
      <formula>NOT(ISERROR(SEARCH("Yes",F16)))</formula>
    </cfRule>
  </conditionalFormatting>
  <conditionalFormatting sqref="$G$16">
    <cfRule type="containsText" dxfId="1703" priority="1">
      <formula>NOT(ISERROR(SEARCH("Yes",G16)))</formula>
    </cfRule>
    <cfRule type="containsText" dxfId="1704" priority="2">
      <formula>NOT(ISERROR(SEARCH("No; explanation in comments",G16)))</formula>
    </cfRule>
  </conditionalFormatting>
  <conditionalFormatting sqref="$J$16">
    <cfRule type="containsText" dxfId="1705" priority="1">
      <formula>NOT(ISERROR(SEARCH("Yes",J16)))</formula>
    </cfRule>
  </conditionalFormatting>
  <conditionalFormatting sqref="$K$16">
    <cfRule type="containsText" dxfId="1706" priority="1">
      <formula>NOT(ISERROR(SEARCH("Mitigated",K16)))</formula>
    </cfRule>
    <cfRule type="containsText" dxfId="1707" priority="2">
      <formula>NOT(ISERROR(SEARCH("Not Mitigated",K16)))</formula>
    </cfRule>
  </conditionalFormatting>
  <conditionalFormatting sqref="$F$17">
    <cfRule type="containsText" dxfId="1708" priority="1">
      <formula>NOT(ISERROR(SEARCH("Yes",F17)))</formula>
    </cfRule>
  </conditionalFormatting>
  <conditionalFormatting sqref="$G$17">
    <cfRule type="containsText" dxfId="1709" priority="1">
      <formula>NOT(ISERROR(SEARCH("Yes",G17)))</formula>
    </cfRule>
    <cfRule type="containsText" dxfId="1710" priority="2">
      <formula>NOT(ISERROR(SEARCH("No; explanation in comments",G17)))</formula>
    </cfRule>
  </conditionalFormatting>
  <conditionalFormatting sqref="$J$17">
    <cfRule type="containsText" dxfId="1711" priority="1">
      <formula>NOT(ISERROR(SEARCH("Yes",J17)))</formula>
    </cfRule>
  </conditionalFormatting>
  <conditionalFormatting sqref="$K$17">
    <cfRule type="containsText" dxfId="1712" priority="1">
      <formula>NOT(ISERROR(SEARCH("Mitigated",K17)))</formula>
    </cfRule>
    <cfRule type="containsText" dxfId="1713" priority="2">
      <formula>NOT(ISERROR(SEARCH("Not Mitigated",K17)))</formula>
    </cfRule>
  </conditionalFormatting>
  <conditionalFormatting sqref="$F$18">
    <cfRule type="containsText" dxfId="1714" priority="1">
      <formula>NOT(ISERROR(SEARCH("Yes",F18)))</formula>
    </cfRule>
  </conditionalFormatting>
  <conditionalFormatting sqref="$G$18">
    <cfRule type="containsText" dxfId="1715" priority="1">
      <formula>NOT(ISERROR(SEARCH("Yes",G18)))</formula>
    </cfRule>
    <cfRule type="containsText" dxfId="1716" priority="2">
      <formula>NOT(ISERROR(SEARCH("No; explanation in comments",G18)))</formula>
    </cfRule>
  </conditionalFormatting>
  <conditionalFormatting sqref="$J$18">
    <cfRule type="containsText" dxfId="1717" priority="1">
      <formula>NOT(ISERROR(SEARCH("Yes",J18)))</formula>
    </cfRule>
  </conditionalFormatting>
  <conditionalFormatting sqref="$K$18">
    <cfRule type="containsText" dxfId="1718" priority="1">
      <formula>NOT(ISERROR(SEARCH("Mitigated",K18)))</formula>
    </cfRule>
    <cfRule type="containsText" dxfId="1719" priority="2">
      <formula>NOT(ISERROR(SEARCH("Not Mitigated",K18)))</formula>
    </cfRule>
  </conditionalFormatting>
  <conditionalFormatting sqref="$F$19">
    <cfRule type="containsText" dxfId="1720" priority="1">
      <formula>NOT(ISERROR(SEARCH("Yes",F19)))</formula>
    </cfRule>
  </conditionalFormatting>
  <conditionalFormatting sqref="$G$19">
    <cfRule type="containsText" dxfId="1721" priority="1">
      <formula>NOT(ISERROR(SEARCH("Yes",G19)))</formula>
    </cfRule>
    <cfRule type="containsText" dxfId="1722" priority="2">
      <formula>NOT(ISERROR(SEARCH("No; explanation in comments",G19)))</formula>
    </cfRule>
  </conditionalFormatting>
  <conditionalFormatting sqref="$J$19">
    <cfRule type="containsText" dxfId="1723" priority="1">
      <formula>NOT(ISERROR(SEARCH("Yes",J19)))</formula>
    </cfRule>
  </conditionalFormatting>
  <conditionalFormatting sqref="$K$19">
    <cfRule type="containsText" dxfId="1724" priority="1">
      <formula>NOT(ISERROR(SEARCH("Mitigated",K19)))</formula>
    </cfRule>
    <cfRule type="containsText" dxfId="1725" priority="2">
      <formula>NOT(ISERROR(SEARCH("Not Mitigated",K19)))</formula>
    </cfRule>
  </conditionalFormatting>
  <conditionalFormatting sqref="$F$20">
    <cfRule type="containsText" dxfId="1726" priority="1">
      <formula>NOT(ISERROR(SEARCH("Yes",F20)))</formula>
    </cfRule>
  </conditionalFormatting>
  <conditionalFormatting sqref="$G$20">
    <cfRule type="containsText" dxfId="1727" priority="1">
      <formula>NOT(ISERROR(SEARCH("Yes",G20)))</formula>
    </cfRule>
    <cfRule type="containsText" dxfId="1728" priority="2">
      <formula>NOT(ISERROR(SEARCH("No; explanation in comments",G20)))</formula>
    </cfRule>
  </conditionalFormatting>
  <conditionalFormatting sqref="$J$20">
    <cfRule type="containsText" dxfId="1729" priority="1">
      <formula>NOT(ISERROR(SEARCH("Yes",J20)))</formula>
    </cfRule>
  </conditionalFormatting>
  <conditionalFormatting sqref="$K$20">
    <cfRule type="containsText" dxfId="1730" priority="1">
      <formula>NOT(ISERROR(SEARCH("Mitigated",K20)))</formula>
    </cfRule>
    <cfRule type="containsText" dxfId="1731" priority="2">
      <formula>NOT(ISERROR(SEARCH("Not Mitigated",K20)))</formula>
    </cfRule>
  </conditionalFormatting>
  <conditionalFormatting sqref="$F$21">
    <cfRule type="containsText" dxfId="1732" priority="1">
      <formula>NOT(ISERROR(SEARCH("Yes",F21)))</formula>
    </cfRule>
  </conditionalFormatting>
  <conditionalFormatting sqref="$G$21">
    <cfRule type="containsText" dxfId="1733" priority="1">
      <formula>NOT(ISERROR(SEARCH("Yes",G21)))</formula>
    </cfRule>
    <cfRule type="containsText" dxfId="1734" priority="2">
      <formula>NOT(ISERROR(SEARCH("No; explanation in comments",G21)))</formula>
    </cfRule>
  </conditionalFormatting>
  <conditionalFormatting sqref="$J$21">
    <cfRule type="containsText" dxfId="1735" priority="1">
      <formula>NOT(ISERROR(SEARCH("Yes",J21)))</formula>
    </cfRule>
  </conditionalFormatting>
  <conditionalFormatting sqref="$K$21">
    <cfRule type="containsText" dxfId="1736" priority="1">
      <formula>NOT(ISERROR(SEARCH("Mitigated",K21)))</formula>
    </cfRule>
    <cfRule type="containsText" dxfId="1737" priority="2">
      <formula>NOT(ISERROR(SEARCH("Not Mitigated",K21)))</formula>
    </cfRule>
  </conditionalFormatting>
  <conditionalFormatting sqref="$F$22">
    <cfRule type="containsText" dxfId="1738" priority="1">
      <formula>NOT(ISERROR(SEARCH("Yes",F22)))</formula>
    </cfRule>
  </conditionalFormatting>
  <conditionalFormatting sqref="$G$22">
    <cfRule type="containsText" dxfId="1739" priority="1">
      <formula>NOT(ISERROR(SEARCH("Yes",G22)))</formula>
    </cfRule>
    <cfRule type="containsText" dxfId="1740" priority="2">
      <formula>NOT(ISERROR(SEARCH("No; explanation in comments",G22)))</formula>
    </cfRule>
  </conditionalFormatting>
  <conditionalFormatting sqref="$J$22">
    <cfRule type="containsText" dxfId="1741" priority="1">
      <formula>NOT(ISERROR(SEARCH("Yes",J22)))</formula>
    </cfRule>
  </conditionalFormatting>
  <conditionalFormatting sqref="$K$22">
    <cfRule type="containsText" dxfId="1742" priority="1">
      <formula>NOT(ISERROR(SEARCH("Mitigated",K22)))</formula>
    </cfRule>
    <cfRule type="containsText" dxfId="1743" priority="2">
      <formula>NOT(ISERROR(SEARCH("Not Mitigated",K22)))</formula>
    </cfRule>
  </conditionalFormatting>
  <conditionalFormatting sqref="$F$23">
    <cfRule type="containsText" dxfId="1744" priority="1">
      <formula>NOT(ISERROR(SEARCH("Yes",F23)))</formula>
    </cfRule>
  </conditionalFormatting>
  <conditionalFormatting sqref="$G$23">
    <cfRule type="containsText" dxfId="1745" priority="1">
      <formula>NOT(ISERROR(SEARCH("Yes",G23)))</formula>
    </cfRule>
    <cfRule type="containsText" dxfId="1746" priority="2">
      <formula>NOT(ISERROR(SEARCH("No; explanation in comments",G23)))</formula>
    </cfRule>
  </conditionalFormatting>
  <conditionalFormatting sqref="$J$23">
    <cfRule type="containsText" dxfId="1747" priority="1">
      <formula>NOT(ISERROR(SEARCH("Yes",J23)))</formula>
    </cfRule>
  </conditionalFormatting>
  <conditionalFormatting sqref="$K$23">
    <cfRule type="containsText" dxfId="1748" priority="1">
      <formula>NOT(ISERROR(SEARCH("Mitigated",K23)))</formula>
    </cfRule>
    <cfRule type="containsText" dxfId="1749" priority="2">
      <formula>NOT(ISERROR(SEARCH("Not Mitigated",K23)))</formula>
    </cfRule>
  </conditionalFormatting>
  <conditionalFormatting sqref="$F$24">
    <cfRule type="containsText" dxfId="1750" priority="1">
      <formula>NOT(ISERROR(SEARCH("Yes",F24)))</formula>
    </cfRule>
  </conditionalFormatting>
  <conditionalFormatting sqref="$G$24">
    <cfRule type="containsText" dxfId="1751" priority="1">
      <formula>NOT(ISERROR(SEARCH("Yes",G24)))</formula>
    </cfRule>
    <cfRule type="containsText" dxfId="1752" priority="2">
      <formula>NOT(ISERROR(SEARCH("No; explanation in comments",G24)))</formula>
    </cfRule>
  </conditionalFormatting>
  <conditionalFormatting sqref="$J$24">
    <cfRule type="containsText" dxfId="1753" priority="1">
      <formula>NOT(ISERROR(SEARCH("Yes",J24)))</formula>
    </cfRule>
  </conditionalFormatting>
  <conditionalFormatting sqref="$K$24">
    <cfRule type="containsText" dxfId="1754" priority="1">
      <formula>NOT(ISERROR(SEARCH("Mitigated",K24)))</formula>
    </cfRule>
    <cfRule type="containsText" dxfId="1755" priority="2">
      <formula>NOT(ISERROR(SEARCH("Not Mitigated",K24)))</formula>
    </cfRule>
  </conditionalFormatting>
  <conditionalFormatting sqref="$F$25">
    <cfRule type="containsText" dxfId="1756" priority="1">
      <formula>NOT(ISERROR(SEARCH("Yes",F25)))</formula>
    </cfRule>
  </conditionalFormatting>
  <conditionalFormatting sqref="$G$25">
    <cfRule type="containsText" dxfId="1757" priority="1">
      <formula>NOT(ISERROR(SEARCH("Yes",G25)))</formula>
    </cfRule>
    <cfRule type="containsText" dxfId="1758" priority="2">
      <formula>NOT(ISERROR(SEARCH("No; explanation in comments",G25)))</formula>
    </cfRule>
  </conditionalFormatting>
  <conditionalFormatting sqref="$J$25">
    <cfRule type="containsText" dxfId="1759" priority="1">
      <formula>NOT(ISERROR(SEARCH("Yes",J25)))</formula>
    </cfRule>
  </conditionalFormatting>
  <conditionalFormatting sqref="$K$25">
    <cfRule type="containsText" dxfId="1760" priority="1">
      <formula>NOT(ISERROR(SEARCH("Mitigated",K25)))</formula>
    </cfRule>
    <cfRule type="containsText" dxfId="1761" priority="2">
      <formula>NOT(ISERROR(SEARCH("Not Mitigated",K25)))</formula>
    </cfRule>
  </conditionalFormatting>
  <conditionalFormatting sqref="$F$26">
    <cfRule type="containsText" dxfId="1762" priority="1">
      <formula>NOT(ISERROR(SEARCH("Yes",F26)))</formula>
    </cfRule>
  </conditionalFormatting>
  <conditionalFormatting sqref="$G$26">
    <cfRule type="containsText" dxfId="1763" priority="1">
      <formula>NOT(ISERROR(SEARCH("Yes",G26)))</formula>
    </cfRule>
    <cfRule type="containsText" dxfId="1764" priority="2">
      <formula>NOT(ISERROR(SEARCH("No; explanation in comments",G26)))</formula>
    </cfRule>
  </conditionalFormatting>
  <conditionalFormatting sqref="$J$26">
    <cfRule type="containsText" dxfId="1765" priority="1">
      <formula>NOT(ISERROR(SEARCH("Yes",J26)))</formula>
    </cfRule>
  </conditionalFormatting>
  <conditionalFormatting sqref="$K$26">
    <cfRule type="containsText" dxfId="1766" priority="1">
      <formula>NOT(ISERROR(SEARCH("Mitigated",K26)))</formula>
    </cfRule>
    <cfRule type="containsText" dxfId="1767" priority="2">
      <formula>NOT(ISERROR(SEARCH("Not Mitigated",K26)))</formula>
    </cfRule>
  </conditionalFormatting>
  <conditionalFormatting sqref="$F$27">
    <cfRule type="containsText" dxfId="1768" priority="1">
      <formula>NOT(ISERROR(SEARCH("Yes",F27)))</formula>
    </cfRule>
  </conditionalFormatting>
  <conditionalFormatting sqref="$G$27">
    <cfRule type="containsText" dxfId="1769" priority="1">
      <formula>NOT(ISERROR(SEARCH("Yes",G27)))</formula>
    </cfRule>
    <cfRule type="containsText" dxfId="1770" priority="2">
      <formula>NOT(ISERROR(SEARCH("No; explanation in comments",G27)))</formula>
    </cfRule>
  </conditionalFormatting>
  <conditionalFormatting sqref="$J$27">
    <cfRule type="containsText" dxfId="1771" priority="1">
      <formula>NOT(ISERROR(SEARCH("Yes",J27)))</formula>
    </cfRule>
  </conditionalFormatting>
  <conditionalFormatting sqref="$K$27">
    <cfRule type="containsText" dxfId="1772" priority="1">
      <formula>NOT(ISERROR(SEARCH("Mitigated",K27)))</formula>
    </cfRule>
    <cfRule type="containsText" dxfId="1773" priority="2">
      <formula>NOT(ISERROR(SEARCH("Not Mitigated",K27)))</formula>
    </cfRule>
  </conditionalFormatting>
  <conditionalFormatting sqref="$F$28">
    <cfRule type="containsText" dxfId="1774" priority="1">
      <formula>NOT(ISERROR(SEARCH("Yes",F28)))</formula>
    </cfRule>
  </conditionalFormatting>
  <conditionalFormatting sqref="$G$28">
    <cfRule type="containsText" dxfId="1775" priority="1">
      <formula>NOT(ISERROR(SEARCH("Yes",G28)))</formula>
    </cfRule>
    <cfRule type="containsText" dxfId="1776" priority="2">
      <formula>NOT(ISERROR(SEARCH("No; explanation in comments",G28)))</formula>
    </cfRule>
  </conditionalFormatting>
  <conditionalFormatting sqref="$J$28">
    <cfRule type="containsText" dxfId="1777" priority="1">
      <formula>NOT(ISERROR(SEARCH("Yes",J28)))</formula>
    </cfRule>
  </conditionalFormatting>
  <conditionalFormatting sqref="$K$28">
    <cfRule type="containsText" dxfId="1778" priority="1">
      <formula>NOT(ISERROR(SEARCH("Mitigated",K28)))</formula>
    </cfRule>
    <cfRule type="containsText" dxfId="1779" priority="2">
      <formula>NOT(ISERROR(SEARCH("Not Mitigated",K28)))</formula>
    </cfRule>
  </conditionalFormatting>
  <conditionalFormatting sqref="$F$29">
    <cfRule type="containsText" dxfId="1780" priority="1">
      <formula>NOT(ISERROR(SEARCH("Yes",F29)))</formula>
    </cfRule>
  </conditionalFormatting>
  <conditionalFormatting sqref="$G$29">
    <cfRule type="containsText" dxfId="1781" priority="1">
      <formula>NOT(ISERROR(SEARCH("Yes",G29)))</formula>
    </cfRule>
    <cfRule type="containsText" dxfId="1782" priority="2">
      <formula>NOT(ISERROR(SEARCH("No; explanation in comments",G29)))</formula>
    </cfRule>
  </conditionalFormatting>
  <conditionalFormatting sqref="$J$29">
    <cfRule type="containsText" dxfId="1783" priority="1">
      <formula>NOT(ISERROR(SEARCH("Yes",J29)))</formula>
    </cfRule>
  </conditionalFormatting>
  <conditionalFormatting sqref="$K$29">
    <cfRule type="containsText" dxfId="1784" priority="1">
      <formula>NOT(ISERROR(SEARCH("Mitigated",K29)))</formula>
    </cfRule>
    <cfRule type="containsText" dxfId="1785" priority="2">
      <formula>NOT(ISERROR(SEARCH("Not Mitigated",K29)))</formula>
    </cfRule>
  </conditionalFormatting>
  <conditionalFormatting sqref="$F$30">
    <cfRule type="containsText" dxfId="1786" priority="1">
      <formula>NOT(ISERROR(SEARCH("Yes",F30)))</formula>
    </cfRule>
  </conditionalFormatting>
  <conditionalFormatting sqref="$G$30">
    <cfRule type="containsText" dxfId="1787" priority="1">
      <formula>NOT(ISERROR(SEARCH("Yes",G30)))</formula>
    </cfRule>
    <cfRule type="containsText" dxfId="1788" priority="2">
      <formula>NOT(ISERROR(SEARCH("No; explanation in comments",G30)))</formula>
    </cfRule>
  </conditionalFormatting>
  <conditionalFormatting sqref="$J$30">
    <cfRule type="containsText" dxfId="1789" priority="1">
      <formula>NOT(ISERROR(SEARCH("Yes",J30)))</formula>
    </cfRule>
  </conditionalFormatting>
  <conditionalFormatting sqref="$K$30">
    <cfRule type="containsText" dxfId="1790" priority="1">
      <formula>NOT(ISERROR(SEARCH("Mitigated",K30)))</formula>
    </cfRule>
    <cfRule type="containsText" dxfId="1791" priority="2">
      <formula>NOT(ISERROR(SEARCH("Not Mitigated",K30)))</formula>
    </cfRule>
  </conditionalFormatting>
  <conditionalFormatting sqref="$F$31">
    <cfRule type="containsText" dxfId="1792" priority="1">
      <formula>NOT(ISERROR(SEARCH("Yes",F31)))</formula>
    </cfRule>
  </conditionalFormatting>
  <conditionalFormatting sqref="$G$31">
    <cfRule type="containsText" dxfId="1793" priority="1">
      <formula>NOT(ISERROR(SEARCH("Yes",G31)))</formula>
    </cfRule>
    <cfRule type="containsText" dxfId="1794" priority="2">
      <formula>NOT(ISERROR(SEARCH("No; explanation in comments",G31)))</formula>
    </cfRule>
  </conditionalFormatting>
  <conditionalFormatting sqref="$J$31">
    <cfRule type="containsText" dxfId="1795" priority="1">
      <formula>NOT(ISERROR(SEARCH("Yes",J31)))</formula>
    </cfRule>
  </conditionalFormatting>
  <conditionalFormatting sqref="$K$31">
    <cfRule type="containsText" dxfId="1796" priority="1">
      <formula>NOT(ISERROR(SEARCH("Mitigated",K31)))</formula>
    </cfRule>
    <cfRule type="containsText" dxfId="1797" priority="2">
      <formula>NOT(ISERROR(SEARCH("Not Mitigated",K31)))</formula>
    </cfRule>
  </conditionalFormatting>
  <conditionalFormatting sqref="$F$32">
    <cfRule type="containsText" dxfId="1798" priority="1">
      <formula>NOT(ISERROR(SEARCH("Yes",F32)))</formula>
    </cfRule>
  </conditionalFormatting>
  <conditionalFormatting sqref="$G$32">
    <cfRule type="containsText" dxfId="1799" priority="1">
      <formula>NOT(ISERROR(SEARCH("Yes",G32)))</formula>
    </cfRule>
    <cfRule type="containsText" dxfId="1800" priority="2">
      <formula>NOT(ISERROR(SEARCH("No; explanation in comments",G32)))</formula>
    </cfRule>
  </conditionalFormatting>
  <conditionalFormatting sqref="$J$32">
    <cfRule type="containsText" dxfId="1801" priority="1">
      <formula>NOT(ISERROR(SEARCH("Yes",J32)))</formula>
    </cfRule>
  </conditionalFormatting>
  <conditionalFormatting sqref="$K$32">
    <cfRule type="containsText" dxfId="1802" priority="1">
      <formula>NOT(ISERROR(SEARCH("Mitigated",K32)))</formula>
    </cfRule>
    <cfRule type="containsText" dxfId="1803" priority="2">
      <formula>NOT(ISERROR(SEARCH("Not Mitigated",K32)))</formula>
    </cfRule>
  </conditionalFormatting>
  <conditionalFormatting sqref="$F$33">
    <cfRule type="containsText" dxfId="1804" priority="1">
      <formula>NOT(ISERROR(SEARCH("Yes",F33)))</formula>
    </cfRule>
  </conditionalFormatting>
  <conditionalFormatting sqref="$G$33">
    <cfRule type="containsText" dxfId="1805" priority="1">
      <formula>NOT(ISERROR(SEARCH("Yes",G33)))</formula>
    </cfRule>
    <cfRule type="containsText" dxfId="1806" priority="2">
      <formula>NOT(ISERROR(SEARCH("No; explanation in comments",G33)))</formula>
    </cfRule>
  </conditionalFormatting>
  <conditionalFormatting sqref="$J$33">
    <cfRule type="containsText" dxfId="1807" priority="1">
      <formula>NOT(ISERROR(SEARCH("Yes",J33)))</formula>
    </cfRule>
  </conditionalFormatting>
  <conditionalFormatting sqref="$K$33">
    <cfRule type="containsText" dxfId="1808" priority="1">
      <formula>NOT(ISERROR(SEARCH("Mitigated",K33)))</formula>
    </cfRule>
    <cfRule type="containsText" dxfId="1809" priority="2">
      <formula>NOT(ISERROR(SEARCH("Not Mitigated",K33)))</formula>
    </cfRule>
  </conditionalFormatting>
  <conditionalFormatting sqref="$F$34">
    <cfRule type="containsText" dxfId="1810" priority="1">
      <formula>NOT(ISERROR(SEARCH("Yes",F34)))</formula>
    </cfRule>
  </conditionalFormatting>
  <conditionalFormatting sqref="$G$34">
    <cfRule type="containsText" dxfId="1811" priority="1">
      <formula>NOT(ISERROR(SEARCH("Yes",G34)))</formula>
    </cfRule>
    <cfRule type="containsText" dxfId="1812" priority="2">
      <formula>NOT(ISERROR(SEARCH("No; explanation in comments",G34)))</formula>
    </cfRule>
  </conditionalFormatting>
  <conditionalFormatting sqref="$J$34">
    <cfRule type="containsText" dxfId="1813" priority="1">
      <formula>NOT(ISERROR(SEARCH("Yes",J34)))</formula>
    </cfRule>
  </conditionalFormatting>
  <conditionalFormatting sqref="$K$34">
    <cfRule type="containsText" dxfId="1814" priority="1">
      <formula>NOT(ISERROR(SEARCH("Mitigated",K34)))</formula>
    </cfRule>
    <cfRule type="containsText" dxfId="1815" priority="2">
      <formula>NOT(ISERROR(SEARCH("Not Mitigated",K34)))</formula>
    </cfRule>
  </conditionalFormatting>
  <conditionalFormatting sqref="$F$35">
    <cfRule type="containsText" dxfId="1816" priority="1">
      <formula>NOT(ISERROR(SEARCH("Yes",F35)))</formula>
    </cfRule>
  </conditionalFormatting>
  <conditionalFormatting sqref="$G$35">
    <cfRule type="containsText" dxfId="1817" priority="1">
      <formula>NOT(ISERROR(SEARCH("Yes",G35)))</formula>
    </cfRule>
    <cfRule type="containsText" dxfId="1818" priority="2">
      <formula>NOT(ISERROR(SEARCH("No; explanation in comments",G35)))</formula>
    </cfRule>
  </conditionalFormatting>
  <conditionalFormatting sqref="$J$35">
    <cfRule type="containsText" dxfId="1819" priority="1">
      <formula>NOT(ISERROR(SEARCH("Yes",J35)))</formula>
    </cfRule>
  </conditionalFormatting>
  <conditionalFormatting sqref="$K$35">
    <cfRule type="containsText" dxfId="1820" priority="1">
      <formula>NOT(ISERROR(SEARCH("Mitigated",K35)))</formula>
    </cfRule>
    <cfRule type="containsText" dxfId="1821" priority="2">
      <formula>NOT(ISERROR(SEARCH("Not Mitigated",K35)))</formula>
    </cfRule>
  </conditionalFormatting>
  <conditionalFormatting sqref="$F$36">
    <cfRule type="containsText" dxfId="1822" priority="1">
      <formula>NOT(ISERROR(SEARCH("Yes",F36)))</formula>
    </cfRule>
  </conditionalFormatting>
  <conditionalFormatting sqref="$G$36">
    <cfRule type="containsText" dxfId="1823" priority="1">
      <formula>NOT(ISERROR(SEARCH("Yes",G36)))</formula>
    </cfRule>
    <cfRule type="containsText" dxfId="1824" priority="2">
      <formula>NOT(ISERROR(SEARCH("No; explanation in comments",G36)))</formula>
    </cfRule>
  </conditionalFormatting>
  <conditionalFormatting sqref="$J$36">
    <cfRule type="containsText" dxfId="1825" priority="1">
      <formula>NOT(ISERROR(SEARCH("Yes",J36)))</formula>
    </cfRule>
  </conditionalFormatting>
  <conditionalFormatting sqref="$K$36">
    <cfRule type="containsText" dxfId="1826" priority="1">
      <formula>NOT(ISERROR(SEARCH("Mitigated",K36)))</formula>
    </cfRule>
    <cfRule type="containsText" dxfId="1827" priority="2">
      <formula>NOT(ISERROR(SEARCH("Not Mitigated",K36)))</formula>
    </cfRule>
  </conditionalFormatting>
  <conditionalFormatting sqref="$F$37">
    <cfRule type="containsText" dxfId="1828" priority="1">
      <formula>NOT(ISERROR(SEARCH("Yes",F37)))</formula>
    </cfRule>
  </conditionalFormatting>
  <conditionalFormatting sqref="$G$37">
    <cfRule type="containsText" dxfId="1829" priority="1">
      <formula>NOT(ISERROR(SEARCH("Yes",G37)))</formula>
    </cfRule>
    <cfRule type="containsText" dxfId="1830" priority="2">
      <formula>NOT(ISERROR(SEARCH("No; explanation in comments",G37)))</formula>
    </cfRule>
  </conditionalFormatting>
  <conditionalFormatting sqref="$J$37">
    <cfRule type="containsText" dxfId="1831" priority="1">
      <formula>NOT(ISERROR(SEARCH("Yes",J37)))</formula>
    </cfRule>
  </conditionalFormatting>
  <conditionalFormatting sqref="$K$37">
    <cfRule type="containsText" dxfId="1832" priority="1">
      <formula>NOT(ISERROR(SEARCH("Mitigated",K37)))</formula>
    </cfRule>
    <cfRule type="containsText" dxfId="1833" priority="2">
      <formula>NOT(ISERROR(SEARCH("Not Mitigated",K37)))</formula>
    </cfRule>
  </conditionalFormatting>
  <conditionalFormatting sqref="$F$38">
    <cfRule type="containsText" dxfId="1834" priority="1">
      <formula>NOT(ISERROR(SEARCH("Yes",F38)))</formula>
    </cfRule>
  </conditionalFormatting>
  <conditionalFormatting sqref="$G$38">
    <cfRule type="containsText" dxfId="1835" priority="1">
      <formula>NOT(ISERROR(SEARCH("Yes",G38)))</formula>
    </cfRule>
    <cfRule type="containsText" dxfId="1836" priority="2">
      <formula>NOT(ISERROR(SEARCH("No; explanation in comments",G38)))</formula>
    </cfRule>
  </conditionalFormatting>
  <conditionalFormatting sqref="$J$38">
    <cfRule type="containsText" dxfId="1837" priority="1">
      <formula>NOT(ISERROR(SEARCH("Yes",J38)))</formula>
    </cfRule>
  </conditionalFormatting>
  <conditionalFormatting sqref="$K$38">
    <cfRule type="containsText" dxfId="1838" priority="1">
      <formula>NOT(ISERROR(SEARCH("Mitigated",K38)))</formula>
    </cfRule>
    <cfRule type="containsText" dxfId="1839" priority="2">
      <formula>NOT(ISERROR(SEARCH("Not Mitigated",K38)))</formula>
    </cfRule>
  </conditionalFormatting>
  <conditionalFormatting sqref="$F$39">
    <cfRule type="containsText" dxfId="1840" priority="1">
      <formula>NOT(ISERROR(SEARCH("Yes",F39)))</formula>
    </cfRule>
  </conditionalFormatting>
  <conditionalFormatting sqref="$G$39">
    <cfRule type="containsText" dxfId="1841" priority="1">
      <formula>NOT(ISERROR(SEARCH("Yes",G39)))</formula>
    </cfRule>
    <cfRule type="containsText" dxfId="1842" priority="2">
      <formula>NOT(ISERROR(SEARCH("No; explanation in comments",G39)))</formula>
    </cfRule>
  </conditionalFormatting>
  <conditionalFormatting sqref="$J$39">
    <cfRule type="containsText" dxfId="1843" priority="1">
      <formula>NOT(ISERROR(SEARCH("Yes",J39)))</formula>
    </cfRule>
  </conditionalFormatting>
  <conditionalFormatting sqref="$K$39">
    <cfRule type="containsText" dxfId="1844" priority="1">
      <formula>NOT(ISERROR(SEARCH("Mitigated",K39)))</formula>
    </cfRule>
    <cfRule type="containsText" dxfId="1845" priority="2">
      <formula>NOT(ISERROR(SEARCH("Not Mitigated",K39)))</formula>
    </cfRule>
  </conditionalFormatting>
  <conditionalFormatting sqref="$F$40">
    <cfRule type="containsText" dxfId="1846" priority="1">
      <formula>NOT(ISERROR(SEARCH("Yes",F40)))</formula>
    </cfRule>
  </conditionalFormatting>
  <conditionalFormatting sqref="$G$40">
    <cfRule type="containsText" dxfId="1847" priority="1">
      <formula>NOT(ISERROR(SEARCH("Yes",G40)))</formula>
    </cfRule>
    <cfRule type="containsText" dxfId="1848" priority="2">
      <formula>NOT(ISERROR(SEARCH("No; explanation in comments",G40)))</formula>
    </cfRule>
  </conditionalFormatting>
  <conditionalFormatting sqref="$J$40">
    <cfRule type="containsText" dxfId="1849" priority="1">
      <formula>NOT(ISERROR(SEARCH("Yes",J40)))</formula>
    </cfRule>
  </conditionalFormatting>
  <conditionalFormatting sqref="$K$40">
    <cfRule type="containsText" dxfId="1850" priority="1">
      <formula>NOT(ISERROR(SEARCH("Mitigated",K40)))</formula>
    </cfRule>
    <cfRule type="containsText" dxfId="1851" priority="2">
      <formula>NOT(ISERROR(SEARCH("Not Mitigated",K40)))</formula>
    </cfRule>
  </conditionalFormatting>
  <conditionalFormatting sqref="$F$41">
    <cfRule type="containsText" dxfId="1852" priority="1">
      <formula>NOT(ISERROR(SEARCH("Yes",F41)))</formula>
    </cfRule>
  </conditionalFormatting>
  <conditionalFormatting sqref="$G$41">
    <cfRule type="containsText" dxfId="1853" priority="1">
      <formula>NOT(ISERROR(SEARCH("Yes",G41)))</formula>
    </cfRule>
    <cfRule type="containsText" dxfId="1854" priority="2">
      <formula>NOT(ISERROR(SEARCH("No; explanation in comments",G41)))</formula>
    </cfRule>
  </conditionalFormatting>
  <conditionalFormatting sqref="$J$41">
    <cfRule type="containsText" dxfId="1855" priority="1">
      <formula>NOT(ISERROR(SEARCH("Yes",J41)))</formula>
    </cfRule>
  </conditionalFormatting>
  <conditionalFormatting sqref="$K$41">
    <cfRule type="containsText" dxfId="1856" priority="1">
      <formula>NOT(ISERROR(SEARCH("Mitigated",K41)))</formula>
    </cfRule>
    <cfRule type="containsText" dxfId="1857" priority="2">
      <formula>NOT(ISERROR(SEARCH("Not Mitigated",K41)))</formula>
    </cfRule>
  </conditionalFormatting>
  <conditionalFormatting sqref="$F$42">
    <cfRule type="containsText" dxfId="1858" priority="1">
      <formula>NOT(ISERROR(SEARCH("Yes",F42)))</formula>
    </cfRule>
  </conditionalFormatting>
  <conditionalFormatting sqref="$G$42">
    <cfRule type="containsText" dxfId="1859" priority="1">
      <formula>NOT(ISERROR(SEARCH("Yes",G42)))</formula>
    </cfRule>
    <cfRule type="containsText" dxfId="1860" priority="2">
      <formula>NOT(ISERROR(SEARCH("No; explanation in comments",G42)))</formula>
    </cfRule>
  </conditionalFormatting>
  <conditionalFormatting sqref="$J$42">
    <cfRule type="containsText" dxfId="1861" priority="1">
      <formula>NOT(ISERROR(SEARCH("Yes",J42)))</formula>
    </cfRule>
  </conditionalFormatting>
  <conditionalFormatting sqref="$K$42">
    <cfRule type="containsText" dxfId="1862" priority="1">
      <formula>NOT(ISERROR(SEARCH("Mitigated",K42)))</formula>
    </cfRule>
    <cfRule type="containsText" dxfId="1863" priority="2">
      <formula>NOT(ISERROR(SEARCH("Not Mitigated",K42)))</formula>
    </cfRule>
  </conditionalFormatting>
  <dataValidations count="4">
    <dataValidation type="list" sqref="G10:G42">
      <formula1>"-,Yes,No; explanation in comments"</formula1>
    </dataValidation>
    <dataValidation type="list" sqref="G2:G42">
      <formula1>"-,Yes,No; explanation in comments"</formula1>
    </dataValidation>
    <dataValidation type="list" sqref="K10:K42">
      <formula1>"Mitigated,Not Mitigated,Not Assessed Yet,N/A"</formula1>
    </dataValidation>
    <dataValidation type="list" sqref="K2:K42">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61" t="s">
        <v>86</v>
      </c>
      <c r="B2" s="62" t="s">
        <v>1077</v>
      </c>
      <c r="C2" s="56">
        <f>=IF(APPSYNCInUse="Yes","Yes","No")</f>
      </c>
      <c r="D2" s="56" t="s">
        <v>1078</v>
      </c>
      <c r="E2" s="56" t="s">
        <v>1079</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=COUNTIFS(C2:C19,"Yes")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50" customHeight="1" spans="1:27" s="53" customFormat="1" x14ac:dyDescent="0.25">
      <c r="A3" s="61" t="s">
        <v>86</v>
      </c>
      <c r="B3" s="62" t="s">
        <v>1080</v>
      </c>
      <c r="C3" s="56">
        <f>=IF(APPSYNCInUse="Yes","Yes","No")</f>
      </c>
      <c r="D3" s="56" t="s">
        <v>1081</v>
      </c>
      <c r="E3" s="56" t="s">
        <v>1079</v>
      </c>
      <c r="F3" s="56">
        <f>=IF(AND(C3="Yes",G3="-"), "Yes", "No")</f>
      </c>
      <c r="G3" s="56" t="s">
        <v>13</v>
      </c>
      <c r="H3" s="56" t="s">
        <v>5</v>
      </c>
      <c r="I3" s="56" t="s">
        <v>242</v>
      </c>
      <c r="J3" s="56" t="s">
        <v>32</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35" customHeight="1" spans="1:27" s="53" customFormat="1" x14ac:dyDescent="0.25">
      <c r="A4" s="61" t="s">
        <v>86</v>
      </c>
      <c r="B4" s="62" t="s">
        <v>1082</v>
      </c>
      <c r="C4" s="56">
        <f>=IF(APPSYNCInUse="Yes","Yes","No")</f>
      </c>
      <c r="D4" s="56" t="s">
        <v>1083</v>
      </c>
      <c r="E4" s="56" t="s">
        <v>1084</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=SUM(W2:W19)</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65" customHeight="1" spans="1:27" s="53" customFormat="1" x14ac:dyDescent="0.25">
      <c r="A5" s="61" t="s">
        <v>86</v>
      </c>
      <c r="B5" s="62" t="s">
        <v>1085</v>
      </c>
      <c r="C5" s="56">
        <f>=IF(APPSYNCInUse="Yes","Yes","No")</f>
      </c>
      <c r="D5" s="56" t="s">
        <v>1086</v>
      </c>
      <c r="E5" s="56" t="s">
        <v>1087</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=SUM(X2:X19)</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50" customHeight="1" spans="1:27" s="53" customFormat="1" x14ac:dyDescent="0.25">
      <c r="A6" s="61" t="s">
        <v>86</v>
      </c>
      <c r="B6" s="62" t="s">
        <v>1088</v>
      </c>
      <c r="C6" s="56">
        <f>=IF(APPSYNCInUse="Yes","Yes","No")</f>
      </c>
      <c r="D6" s="56" t="s">
        <v>1089</v>
      </c>
      <c r="E6" s="56" t="s">
        <v>1090</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=SUM(Z2:Z19)</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35" customHeight="1" spans="1:27" s="53" customFormat="1" x14ac:dyDescent="0.25">
      <c r="A7" s="61" t="s">
        <v>86</v>
      </c>
      <c r="B7" s="62" t="s">
        <v>1091</v>
      </c>
      <c r="C7" s="56">
        <f>=IF(APPSYNCInUse="Yes","Yes","No")</f>
      </c>
      <c r="D7" s="56" t="s">
        <v>1092</v>
      </c>
      <c r="E7" s="56" t="s">
        <v>1093</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=SUM(AA2:AA19)</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35" customHeight="1" spans="1:27" s="53" customFormat="1" x14ac:dyDescent="0.25">
      <c r="A8" s="63" t="s">
        <v>90</v>
      </c>
      <c r="B8" s="64" t="s">
        <v>1094</v>
      </c>
      <c r="C8" s="56">
        <f>=IF(LAMBDAInUse="Yes","Yes","No")</f>
      </c>
      <c r="D8" s="56" t="s">
        <v>1095</v>
      </c>
      <c r="E8" s="56" t="s">
        <v>1096</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35" customHeight="1" spans="1:27" s="53" customFormat="1" x14ac:dyDescent="0.25">
      <c r="A9" s="63" t="s">
        <v>90</v>
      </c>
      <c r="B9" s="64" t="s">
        <v>1097</v>
      </c>
      <c r="C9" s="56">
        <f>=IF(LAMBDAInUse="Yes","Yes","No")</f>
      </c>
      <c r="D9" s="56" t="s">
        <v>1098</v>
      </c>
      <c r="E9" s="56" t="s">
        <v>1099</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35" customHeight="1" spans="1:27" s="53" customFormat="1" x14ac:dyDescent="0.25">
      <c r="A10" s="63" t="s">
        <v>90</v>
      </c>
      <c r="B10" s="64" t="s">
        <v>1100</v>
      </c>
      <c r="C10" s="56">
        <f>=IF(LAMBDAInUse="Yes","Yes","No")</f>
      </c>
      <c r="D10" s="56" t="s">
        <v>1101</v>
      </c>
      <c r="E10" s="56" t="s">
        <v>1102</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63" t="s">
        <v>90</v>
      </c>
      <c r="B11" s="64" t="s">
        <v>1103</v>
      </c>
      <c r="C11" s="56">
        <f>=IF(LAMBDAInUse="Yes","Yes","No")</f>
      </c>
      <c r="D11" s="56" t="s">
        <v>1104</v>
      </c>
      <c r="E11" s="56" t="s">
        <v>1105</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35" customHeight="1" spans="1:27" s="53" customFormat="1" x14ac:dyDescent="0.25">
      <c r="A12" s="63" t="s">
        <v>90</v>
      </c>
      <c r="B12" s="64" t="s">
        <v>1106</v>
      </c>
      <c r="C12" s="56">
        <f>=IF(LAMBDAInUse="Yes","Yes","No")</f>
      </c>
      <c r="D12" s="56" t="s">
        <v>1107</v>
      </c>
      <c r="E12" s="56" t="s">
        <v>1108</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63" t="s">
        <v>90</v>
      </c>
      <c r="B13" s="64" t="s">
        <v>1109</v>
      </c>
      <c r="C13" s="56">
        <f>=IF(LAMBDAInUse="Yes","Yes","No")</f>
      </c>
      <c r="D13" s="56" t="s">
        <v>1110</v>
      </c>
      <c r="E13" s="56" t="s">
        <v>1111</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50" customHeight="1" spans="1:27" s="53" customFormat="1" x14ac:dyDescent="0.25">
      <c r="A14" s="63" t="s">
        <v>90</v>
      </c>
      <c r="B14" s="64" t="s">
        <v>1112</v>
      </c>
      <c r="C14" s="56">
        <f>=IF(LAMBDAInUse="Yes","Yes","No")</f>
      </c>
      <c r="D14" s="56" t="s">
        <v>1113</v>
      </c>
      <c r="E14" s="56" t="s">
        <v>1114</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63" t="s">
        <v>90</v>
      </c>
      <c r="B15" s="64" t="s">
        <v>1115</v>
      </c>
      <c r="C15" s="56">
        <f>=IF(LAMBDAInUse="Yes","Yes","No")</f>
      </c>
      <c r="D15" s="56" t="s">
        <v>1116</v>
      </c>
      <c r="E15" s="56" t="s">
        <v>1117</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63" t="s">
        <v>90</v>
      </c>
      <c r="B16" s="64" t="s">
        <v>1118</v>
      </c>
      <c r="C16" s="56">
        <f>=IF(LAMBDAInUse="Yes","Yes","No")</f>
      </c>
      <c r="D16" s="56" t="s">
        <v>1119</v>
      </c>
      <c r="E16" s="56" t="s">
        <v>1120</v>
      </c>
      <c r="F16" s="56">
        <f>=IF(AND(C16="Yes",G16="-"), "Yes", "No")</f>
      </c>
      <c r="G16" s="56" t="s">
        <v>13</v>
      </c>
      <c r="H16" s="56" t="s">
        <v>5</v>
      </c>
      <c r="I16" s="56" t="s">
        <v>242</v>
      </c>
      <c r="J16" s="56" t="s">
        <v>32</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35" customHeight="1" spans="1:27" s="53" customFormat="1" x14ac:dyDescent="0.25">
      <c r="A17" s="63" t="s">
        <v>90</v>
      </c>
      <c r="B17" s="64" t="s">
        <v>1121</v>
      </c>
      <c r="C17" s="56">
        <f>=IF(LAMBDAInUse="Yes","Yes","No")</f>
      </c>
      <c r="D17" s="56" t="s">
        <v>1122</v>
      </c>
      <c r="E17" s="56" t="s">
        <v>1123</v>
      </c>
      <c r="F17" s="56">
        <f>=IF(AND(C17="Yes",G17="-"), "Yes", "No")</f>
      </c>
      <c r="G17" s="56" t="s">
        <v>13</v>
      </c>
      <c r="H17" s="56" t="s">
        <v>5</v>
      </c>
      <c r="I17" s="56" t="s">
        <v>242</v>
      </c>
      <c r="J17" s="56" t="s">
        <v>32</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20" customHeight="1" spans="1:27" s="53" customFormat="1" x14ac:dyDescent="0.25">
      <c r="A18" s="63" t="s">
        <v>90</v>
      </c>
      <c r="B18" s="64" t="s">
        <v>1124</v>
      </c>
      <c r="C18" s="56">
        <f>=IF(LAMBDAInUse="Yes","Yes","No")</f>
      </c>
      <c r="D18" s="56" t="s">
        <v>1125</v>
      </c>
      <c r="E18" s="56" t="s">
        <v>1126</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50" customHeight="1" spans="1:27" s="53" customFormat="1" x14ac:dyDescent="0.25">
      <c r="A19" s="61" t="s">
        <v>94</v>
      </c>
      <c r="B19" s="62" t="s">
        <v>1127</v>
      </c>
      <c r="C19" s="56">
        <f>=IF(STEP_FUNCTIONSInUse="Yes","Yes","No")</f>
      </c>
      <c r="D19" s="56" t="s">
        <v>1128</v>
      </c>
      <c r="E19" s="56" t="s">
        <v>1129</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sheetData>
  <autoFilter ref="A1:L1"/>
  <conditionalFormatting sqref="$F$2">
    <cfRule type="containsText" dxfId="1864" priority="1">
      <formula>NOT(ISERROR(SEARCH("Yes",F2)))</formula>
    </cfRule>
  </conditionalFormatting>
  <conditionalFormatting sqref="$G$2">
    <cfRule type="containsText" dxfId="1865" priority="1">
      <formula>NOT(ISERROR(SEARCH("Yes",G2)))</formula>
    </cfRule>
    <cfRule type="containsText" dxfId="1866" priority="2">
      <formula>NOT(ISERROR(SEARCH("No; explanation in comments",G2)))</formula>
    </cfRule>
  </conditionalFormatting>
  <conditionalFormatting sqref="$J$2">
    <cfRule type="containsText" dxfId="1867" priority="1">
      <formula>NOT(ISERROR(SEARCH("Yes",J2)))</formula>
    </cfRule>
  </conditionalFormatting>
  <conditionalFormatting sqref="$K$2">
    <cfRule type="containsText" dxfId="1868" priority="1">
      <formula>NOT(ISERROR(SEARCH("Mitigated",K2)))</formula>
    </cfRule>
    <cfRule type="containsText" dxfId="1869" priority="2">
      <formula>NOT(ISERROR(SEARCH("Not Mitigated",K2)))</formula>
    </cfRule>
  </conditionalFormatting>
  <conditionalFormatting sqref="$F$3">
    <cfRule type="containsText" dxfId="1870" priority="1">
      <formula>NOT(ISERROR(SEARCH("Yes",F3)))</formula>
    </cfRule>
  </conditionalFormatting>
  <conditionalFormatting sqref="$G$3">
    <cfRule type="containsText" dxfId="1871" priority="1">
      <formula>NOT(ISERROR(SEARCH("Yes",G3)))</formula>
    </cfRule>
    <cfRule type="containsText" dxfId="1872" priority="2">
      <formula>NOT(ISERROR(SEARCH("No; explanation in comments",G3)))</formula>
    </cfRule>
  </conditionalFormatting>
  <conditionalFormatting sqref="$J$3">
    <cfRule type="containsText" dxfId="1873" priority="1">
      <formula>NOT(ISERROR(SEARCH("Yes",J3)))</formula>
    </cfRule>
  </conditionalFormatting>
  <conditionalFormatting sqref="$K$3">
    <cfRule type="containsText" dxfId="1874" priority="1">
      <formula>NOT(ISERROR(SEARCH("Mitigated",K3)))</formula>
    </cfRule>
    <cfRule type="containsText" dxfId="1875" priority="2">
      <formula>NOT(ISERROR(SEARCH("Not Mitigated",K3)))</formula>
    </cfRule>
  </conditionalFormatting>
  <conditionalFormatting sqref="$F$4">
    <cfRule type="containsText" dxfId="1876" priority="1">
      <formula>NOT(ISERROR(SEARCH("Yes",F4)))</formula>
    </cfRule>
  </conditionalFormatting>
  <conditionalFormatting sqref="$G$4">
    <cfRule type="containsText" dxfId="1877" priority="1">
      <formula>NOT(ISERROR(SEARCH("Yes",G4)))</formula>
    </cfRule>
    <cfRule type="containsText" dxfId="1878" priority="2">
      <formula>NOT(ISERROR(SEARCH("No; explanation in comments",G4)))</formula>
    </cfRule>
  </conditionalFormatting>
  <conditionalFormatting sqref="$J$4">
    <cfRule type="containsText" dxfId="1879" priority="1">
      <formula>NOT(ISERROR(SEARCH("Yes",J4)))</formula>
    </cfRule>
  </conditionalFormatting>
  <conditionalFormatting sqref="$K$4">
    <cfRule type="containsText" dxfId="1880" priority="1">
      <formula>NOT(ISERROR(SEARCH("Mitigated",K4)))</formula>
    </cfRule>
    <cfRule type="containsText" dxfId="1881" priority="2">
      <formula>NOT(ISERROR(SEARCH("Not Mitigated",K4)))</formula>
    </cfRule>
  </conditionalFormatting>
  <conditionalFormatting sqref="$F$5">
    <cfRule type="containsText" dxfId="1882" priority="1">
      <formula>NOT(ISERROR(SEARCH("Yes",F5)))</formula>
    </cfRule>
  </conditionalFormatting>
  <conditionalFormatting sqref="$G$5">
    <cfRule type="containsText" dxfId="1883" priority="1">
      <formula>NOT(ISERROR(SEARCH("Yes",G5)))</formula>
    </cfRule>
    <cfRule type="containsText" dxfId="1884" priority="2">
      <formula>NOT(ISERROR(SEARCH("No; explanation in comments",G5)))</formula>
    </cfRule>
  </conditionalFormatting>
  <conditionalFormatting sqref="$J$5">
    <cfRule type="containsText" dxfId="1885" priority="1">
      <formula>NOT(ISERROR(SEARCH("Yes",J5)))</formula>
    </cfRule>
  </conditionalFormatting>
  <conditionalFormatting sqref="$K$5">
    <cfRule type="containsText" dxfId="1886" priority="1">
      <formula>NOT(ISERROR(SEARCH("Mitigated",K5)))</formula>
    </cfRule>
    <cfRule type="containsText" dxfId="1887" priority="2">
      <formula>NOT(ISERROR(SEARCH("Not Mitigated",K5)))</formula>
    </cfRule>
  </conditionalFormatting>
  <conditionalFormatting sqref="$F$6">
    <cfRule type="containsText" dxfId="1888" priority="1">
      <formula>NOT(ISERROR(SEARCH("Yes",F6)))</formula>
    </cfRule>
  </conditionalFormatting>
  <conditionalFormatting sqref="$G$6">
    <cfRule type="containsText" dxfId="1889" priority="1">
      <formula>NOT(ISERROR(SEARCH("Yes",G6)))</formula>
    </cfRule>
    <cfRule type="containsText" dxfId="1890" priority="2">
      <formula>NOT(ISERROR(SEARCH("No; explanation in comments",G6)))</formula>
    </cfRule>
  </conditionalFormatting>
  <conditionalFormatting sqref="$J$6">
    <cfRule type="containsText" dxfId="1891" priority="1">
      <formula>NOT(ISERROR(SEARCH("Yes",J6)))</formula>
    </cfRule>
  </conditionalFormatting>
  <conditionalFormatting sqref="$K$6">
    <cfRule type="containsText" dxfId="1892" priority="1">
      <formula>NOT(ISERROR(SEARCH("Mitigated",K6)))</formula>
    </cfRule>
    <cfRule type="containsText" dxfId="1893" priority="2">
      <formula>NOT(ISERROR(SEARCH("Not Mitigated",K6)))</formula>
    </cfRule>
  </conditionalFormatting>
  <conditionalFormatting sqref="$F$7">
    <cfRule type="containsText" dxfId="1894" priority="1">
      <formula>NOT(ISERROR(SEARCH("Yes",F7)))</formula>
    </cfRule>
  </conditionalFormatting>
  <conditionalFormatting sqref="$G$7">
    <cfRule type="containsText" dxfId="1895" priority="1">
      <formula>NOT(ISERROR(SEARCH("Yes",G7)))</formula>
    </cfRule>
    <cfRule type="containsText" dxfId="1896" priority="2">
      <formula>NOT(ISERROR(SEARCH("No; explanation in comments",G7)))</formula>
    </cfRule>
  </conditionalFormatting>
  <conditionalFormatting sqref="$J$7">
    <cfRule type="containsText" dxfId="1897" priority="1">
      <formula>NOT(ISERROR(SEARCH("Yes",J7)))</formula>
    </cfRule>
  </conditionalFormatting>
  <conditionalFormatting sqref="$K$7">
    <cfRule type="containsText" dxfId="1898" priority="1">
      <formula>NOT(ISERROR(SEARCH("Mitigated",K7)))</formula>
    </cfRule>
    <cfRule type="containsText" dxfId="1899" priority="2">
      <formula>NOT(ISERROR(SEARCH("Not Mitigated",K7)))</formula>
    </cfRule>
  </conditionalFormatting>
  <conditionalFormatting sqref="$F$8">
    <cfRule type="containsText" dxfId="1900" priority="1">
      <formula>NOT(ISERROR(SEARCH("Yes",F8)))</formula>
    </cfRule>
  </conditionalFormatting>
  <conditionalFormatting sqref="$G$8">
    <cfRule type="containsText" dxfId="1901" priority="1">
      <formula>NOT(ISERROR(SEARCH("Yes",G8)))</formula>
    </cfRule>
    <cfRule type="containsText" dxfId="1902" priority="2">
      <formula>NOT(ISERROR(SEARCH("No; explanation in comments",G8)))</formula>
    </cfRule>
  </conditionalFormatting>
  <conditionalFormatting sqref="$J$8">
    <cfRule type="containsText" dxfId="1903" priority="1">
      <formula>NOT(ISERROR(SEARCH("Yes",J8)))</formula>
    </cfRule>
  </conditionalFormatting>
  <conditionalFormatting sqref="$K$8">
    <cfRule type="containsText" dxfId="1904" priority="1">
      <formula>NOT(ISERROR(SEARCH("Mitigated",K8)))</formula>
    </cfRule>
    <cfRule type="containsText" dxfId="1905" priority="2">
      <formula>NOT(ISERROR(SEARCH("Not Mitigated",K8)))</formula>
    </cfRule>
  </conditionalFormatting>
  <conditionalFormatting sqref="$F$9">
    <cfRule type="containsText" dxfId="1906" priority="1">
      <formula>NOT(ISERROR(SEARCH("Yes",F9)))</formula>
    </cfRule>
  </conditionalFormatting>
  <conditionalFormatting sqref="$G$9">
    <cfRule type="containsText" dxfId="1907" priority="1">
      <formula>NOT(ISERROR(SEARCH("Yes",G9)))</formula>
    </cfRule>
    <cfRule type="containsText" dxfId="1908" priority="2">
      <formula>NOT(ISERROR(SEARCH("No; explanation in comments",G9)))</formula>
    </cfRule>
  </conditionalFormatting>
  <conditionalFormatting sqref="$J$9">
    <cfRule type="containsText" dxfId="1909" priority="1">
      <formula>NOT(ISERROR(SEARCH("Yes",J9)))</formula>
    </cfRule>
  </conditionalFormatting>
  <conditionalFormatting sqref="$K$9">
    <cfRule type="containsText" dxfId="1910" priority="1">
      <formula>NOT(ISERROR(SEARCH("Mitigated",K9)))</formula>
    </cfRule>
    <cfRule type="containsText" dxfId="1911" priority="2">
      <formula>NOT(ISERROR(SEARCH("Not Mitigated",K9)))</formula>
    </cfRule>
  </conditionalFormatting>
  <conditionalFormatting sqref="$F$10">
    <cfRule type="containsText" dxfId="1912" priority="1">
      <formula>NOT(ISERROR(SEARCH("Yes",F10)))</formula>
    </cfRule>
  </conditionalFormatting>
  <conditionalFormatting sqref="$G$10">
    <cfRule type="containsText" dxfId="1913" priority="1">
      <formula>NOT(ISERROR(SEARCH("Yes",G10)))</formula>
    </cfRule>
    <cfRule type="containsText" dxfId="1914" priority="2">
      <formula>NOT(ISERROR(SEARCH("No; explanation in comments",G10)))</formula>
    </cfRule>
  </conditionalFormatting>
  <conditionalFormatting sqref="$J$10">
    <cfRule type="containsText" dxfId="1915" priority="1">
      <formula>NOT(ISERROR(SEARCH("Yes",J10)))</formula>
    </cfRule>
  </conditionalFormatting>
  <conditionalFormatting sqref="$K$10">
    <cfRule type="containsText" dxfId="1916" priority="1">
      <formula>NOT(ISERROR(SEARCH("Mitigated",K10)))</formula>
    </cfRule>
    <cfRule type="containsText" dxfId="1917" priority="2">
      <formula>NOT(ISERROR(SEARCH("Not Mitigated",K10)))</formula>
    </cfRule>
  </conditionalFormatting>
  <conditionalFormatting sqref="$F$11">
    <cfRule type="containsText" dxfId="1918" priority="1">
      <formula>NOT(ISERROR(SEARCH("Yes",F11)))</formula>
    </cfRule>
  </conditionalFormatting>
  <conditionalFormatting sqref="$G$11">
    <cfRule type="containsText" dxfId="1919" priority="1">
      <formula>NOT(ISERROR(SEARCH("Yes",G11)))</formula>
    </cfRule>
    <cfRule type="containsText" dxfId="1920" priority="2">
      <formula>NOT(ISERROR(SEARCH("No; explanation in comments",G11)))</formula>
    </cfRule>
  </conditionalFormatting>
  <conditionalFormatting sqref="$J$11">
    <cfRule type="containsText" dxfId="1921" priority="1">
      <formula>NOT(ISERROR(SEARCH("Yes",J11)))</formula>
    </cfRule>
  </conditionalFormatting>
  <conditionalFormatting sqref="$K$11">
    <cfRule type="containsText" dxfId="1922" priority="1">
      <formula>NOT(ISERROR(SEARCH("Mitigated",K11)))</formula>
    </cfRule>
    <cfRule type="containsText" dxfId="1923" priority="2">
      <formula>NOT(ISERROR(SEARCH("Not Mitigated",K11)))</formula>
    </cfRule>
  </conditionalFormatting>
  <conditionalFormatting sqref="$F$12">
    <cfRule type="containsText" dxfId="1924" priority="1">
      <formula>NOT(ISERROR(SEARCH("Yes",F12)))</formula>
    </cfRule>
  </conditionalFormatting>
  <conditionalFormatting sqref="$G$12">
    <cfRule type="containsText" dxfId="1925" priority="1">
      <formula>NOT(ISERROR(SEARCH("Yes",G12)))</formula>
    </cfRule>
    <cfRule type="containsText" dxfId="1926" priority="2">
      <formula>NOT(ISERROR(SEARCH("No; explanation in comments",G12)))</formula>
    </cfRule>
  </conditionalFormatting>
  <conditionalFormatting sqref="$J$12">
    <cfRule type="containsText" dxfId="1927" priority="1">
      <formula>NOT(ISERROR(SEARCH("Yes",J12)))</formula>
    </cfRule>
  </conditionalFormatting>
  <conditionalFormatting sqref="$K$12">
    <cfRule type="containsText" dxfId="1928" priority="1">
      <formula>NOT(ISERROR(SEARCH("Mitigated",K12)))</formula>
    </cfRule>
    <cfRule type="containsText" dxfId="1929" priority="2">
      <formula>NOT(ISERROR(SEARCH("Not Mitigated",K12)))</formula>
    </cfRule>
  </conditionalFormatting>
  <conditionalFormatting sqref="$F$13">
    <cfRule type="containsText" dxfId="1930" priority="1">
      <formula>NOT(ISERROR(SEARCH("Yes",F13)))</formula>
    </cfRule>
  </conditionalFormatting>
  <conditionalFormatting sqref="$G$13">
    <cfRule type="containsText" dxfId="1931" priority="1">
      <formula>NOT(ISERROR(SEARCH("Yes",G13)))</formula>
    </cfRule>
    <cfRule type="containsText" dxfId="1932" priority="2">
      <formula>NOT(ISERROR(SEARCH("No; explanation in comments",G13)))</formula>
    </cfRule>
  </conditionalFormatting>
  <conditionalFormatting sqref="$J$13">
    <cfRule type="containsText" dxfId="1933" priority="1">
      <formula>NOT(ISERROR(SEARCH("Yes",J13)))</formula>
    </cfRule>
  </conditionalFormatting>
  <conditionalFormatting sqref="$K$13">
    <cfRule type="containsText" dxfId="1934" priority="1">
      <formula>NOT(ISERROR(SEARCH("Mitigated",K13)))</formula>
    </cfRule>
    <cfRule type="containsText" dxfId="1935" priority="2">
      <formula>NOT(ISERROR(SEARCH("Not Mitigated",K13)))</formula>
    </cfRule>
  </conditionalFormatting>
  <conditionalFormatting sqref="$F$14">
    <cfRule type="containsText" dxfId="1936" priority="1">
      <formula>NOT(ISERROR(SEARCH("Yes",F14)))</formula>
    </cfRule>
  </conditionalFormatting>
  <conditionalFormatting sqref="$G$14">
    <cfRule type="containsText" dxfId="1937" priority="1">
      <formula>NOT(ISERROR(SEARCH("Yes",G14)))</formula>
    </cfRule>
    <cfRule type="containsText" dxfId="1938" priority="2">
      <formula>NOT(ISERROR(SEARCH("No; explanation in comments",G14)))</formula>
    </cfRule>
  </conditionalFormatting>
  <conditionalFormatting sqref="$J$14">
    <cfRule type="containsText" dxfId="1939" priority="1">
      <formula>NOT(ISERROR(SEARCH("Yes",J14)))</formula>
    </cfRule>
  </conditionalFormatting>
  <conditionalFormatting sqref="$K$14">
    <cfRule type="containsText" dxfId="1940" priority="1">
      <formula>NOT(ISERROR(SEARCH("Mitigated",K14)))</formula>
    </cfRule>
    <cfRule type="containsText" dxfId="1941" priority="2">
      <formula>NOT(ISERROR(SEARCH("Not Mitigated",K14)))</formula>
    </cfRule>
  </conditionalFormatting>
  <conditionalFormatting sqref="$F$15">
    <cfRule type="containsText" dxfId="1942" priority="1">
      <formula>NOT(ISERROR(SEARCH("Yes",F15)))</formula>
    </cfRule>
  </conditionalFormatting>
  <conditionalFormatting sqref="$G$15">
    <cfRule type="containsText" dxfId="1943" priority="1">
      <formula>NOT(ISERROR(SEARCH("Yes",G15)))</formula>
    </cfRule>
    <cfRule type="containsText" dxfId="1944" priority="2">
      <formula>NOT(ISERROR(SEARCH("No; explanation in comments",G15)))</formula>
    </cfRule>
  </conditionalFormatting>
  <conditionalFormatting sqref="$J$15">
    <cfRule type="containsText" dxfId="1945" priority="1">
      <formula>NOT(ISERROR(SEARCH("Yes",J15)))</formula>
    </cfRule>
  </conditionalFormatting>
  <conditionalFormatting sqref="$K$15">
    <cfRule type="containsText" dxfId="1946" priority="1">
      <formula>NOT(ISERROR(SEARCH("Mitigated",K15)))</formula>
    </cfRule>
    <cfRule type="containsText" dxfId="1947" priority="2">
      <formula>NOT(ISERROR(SEARCH("Not Mitigated",K15)))</formula>
    </cfRule>
  </conditionalFormatting>
  <conditionalFormatting sqref="$F$16">
    <cfRule type="containsText" dxfId="1948" priority="1">
      <formula>NOT(ISERROR(SEARCH("Yes",F16)))</formula>
    </cfRule>
  </conditionalFormatting>
  <conditionalFormatting sqref="$G$16">
    <cfRule type="containsText" dxfId="1949" priority="1">
      <formula>NOT(ISERROR(SEARCH("Yes",G16)))</formula>
    </cfRule>
    <cfRule type="containsText" dxfId="1950" priority="2">
      <formula>NOT(ISERROR(SEARCH("No; explanation in comments",G16)))</formula>
    </cfRule>
  </conditionalFormatting>
  <conditionalFormatting sqref="$J$16">
    <cfRule type="containsText" dxfId="1951" priority="1">
      <formula>NOT(ISERROR(SEARCH("Yes",J16)))</formula>
    </cfRule>
  </conditionalFormatting>
  <conditionalFormatting sqref="$K$16">
    <cfRule type="containsText" dxfId="1952" priority="1">
      <formula>NOT(ISERROR(SEARCH("Mitigated",K16)))</formula>
    </cfRule>
    <cfRule type="containsText" dxfId="1953" priority="2">
      <formula>NOT(ISERROR(SEARCH("Not Mitigated",K16)))</formula>
    </cfRule>
  </conditionalFormatting>
  <conditionalFormatting sqref="$F$17">
    <cfRule type="containsText" dxfId="1954" priority="1">
      <formula>NOT(ISERROR(SEARCH("Yes",F17)))</formula>
    </cfRule>
  </conditionalFormatting>
  <conditionalFormatting sqref="$G$17">
    <cfRule type="containsText" dxfId="1955" priority="1">
      <formula>NOT(ISERROR(SEARCH("Yes",G17)))</formula>
    </cfRule>
    <cfRule type="containsText" dxfId="1956" priority="2">
      <formula>NOT(ISERROR(SEARCH("No; explanation in comments",G17)))</formula>
    </cfRule>
  </conditionalFormatting>
  <conditionalFormatting sqref="$J$17">
    <cfRule type="containsText" dxfId="1957" priority="1">
      <formula>NOT(ISERROR(SEARCH("Yes",J17)))</formula>
    </cfRule>
  </conditionalFormatting>
  <conditionalFormatting sqref="$K$17">
    <cfRule type="containsText" dxfId="1958" priority="1">
      <formula>NOT(ISERROR(SEARCH("Mitigated",K17)))</formula>
    </cfRule>
    <cfRule type="containsText" dxfId="1959" priority="2">
      <formula>NOT(ISERROR(SEARCH("Not Mitigated",K17)))</formula>
    </cfRule>
  </conditionalFormatting>
  <conditionalFormatting sqref="$F$18">
    <cfRule type="containsText" dxfId="1960" priority="1">
      <formula>NOT(ISERROR(SEARCH("Yes",F18)))</formula>
    </cfRule>
  </conditionalFormatting>
  <conditionalFormatting sqref="$G$18">
    <cfRule type="containsText" dxfId="1961" priority="1">
      <formula>NOT(ISERROR(SEARCH("Yes",G18)))</formula>
    </cfRule>
    <cfRule type="containsText" dxfId="1962" priority="2">
      <formula>NOT(ISERROR(SEARCH("No; explanation in comments",G18)))</formula>
    </cfRule>
  </conditionalFormatting>
  <conditionalFormatting sqref="$J$18">
    <cfRule type="containsText" dxfId="1963" priority="1">
      <formula>NOT(ISERROR(SEARCH("Yes",J18)))</formula>
    </cfRule>
  </conditionalFormatting>
  <conditionalFormatting sqref="$K$18">
    <cfRule type="containsText" dxfId="1964" priority="1">
      <formula>NOT(ISERROR(SEARCH("Mitigated",K18)))</formula>
    </cfRule>
    <cfRule type="containsText" dxfId="1965" priority="2">
      <formula>NOT(ISERROR(SEARCH("Not Mitigated",K18)))</formula>
    </cfRule>
  </conditionalFormatting>
  <conditionalFormatting sqref="$F$19">
    <cfRule type="containsText" dxfId="1966" priority="1">
      <formula>NOT(ISERROR(SEARCH("Yes",F19)))</formula>
    </cfRule>
  </conditionalFormatting>
  <conditionalFormatting sqref="$G$19">
    <cfRule type="containsText" dxfId="1967" priority="1">
      <formula>NOT(ISERROR(SEARCH("Yes",G19)))</formula>
    </cfRule>
    <cfRule type="containsText" dxfId="1968" priority="2">
      <formula>NOT(ISERROR(SEARCH("No; explanation in comments",G19)))</formula>
    </cfRule>
  </conditionalFormatting>
  <conditionalFormatting sqref="$J$19">
    <cfRule type="containsText" dxfId="1969" priority="1">
      <formula>NOT(ISERROR(SEARCH("Yes",J19)))</formula>
    </cfRule>
  </conditionalFormatting>
  <conditionalFormatting sqref="$K$19">
    <cfRule type="containsText" dxfId="1970" priority="1">
      <formula>NOT(ISERROR(SEARCH("Mitigated",K19)))</formula>
    </cfRule>
    <cfRule type="containsText" dxfId="1971" priority="2">
      <formula>NOT(ISERROR(SEARCH("Not Mitigated",K19)))</formula>
    </cfRule>
  </conditionalFormatting>
  <dataValidations count="4">
    <dataValidation type="list" sqref="G10:G19">
      <formula1>"-,Yes,No; explanation in comments"</formula1>
    </dataValidation>
    <dataValidation type="list" sqref="G2:G19">
      <formula1>"-,Yes,No; explanation in comments"</formula1>
    </dataValidation>
    <dataValidation type="list" sqref="K10:K19">
      <formula1>"Mitigated,Not Mitigated,Not Assessed Yet,N/A"</formula1>
    </dataValidation>
    <dataValidation type="list" sqref="K2:K19">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65" customHeight="1" spans="1:27" s="53" customFormat="1" x14ac:dyDescent="0.25">
      <c r="A2" s="77" t="s">
        <v>40</v>
      </c>
      <c r="B2" s="78" t="s">
        <v>1130</v>
      </c>
      <c r="C2" s="56">
        <f>=IF(EVENT_BRIDGEInUse="Yes","Yes","No")</f>
      </c>
      <c r="D2" s="56" t="s">
        <v>1131</v>
      </c>
      <c r="E2" s="56" t="s">
        <v>1132</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=COUNTIFS(C2:C14,"Yes")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77" t="s">
        <v>40</v>
      </c>
      <c r="B3" s="78" t="s">
        <v>1133</v>
      </c>
      <c r="C3" s="56">
        <f>=IF(EVENT_BRIDGEInUse="Yes","Yes","No")</f>
      </c>
      <c r="D3" s="56" t="s">
        <v>1134</v>
      </c>
      <c r="E3" s="56" t="s">
        <v>1135</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65" customHeight="1" spans="1:27" s="53" customFormat="1" x14ac:dyDescent="0.25">
      <c r="A4" s="93" t="s">
        <v>45</v>
      </c>
      <c r="B4" s="94" t="s">
        <v>1136</v>
      </c>
      <c r="C4" s="56">
        <f>=IF(SNSInUse="Yes","Yes","No")</f>
      </c>
      <c r="D4" s="56" t="s">
        <v>1137</v>
      </c>
      <c r="E4" s="56" t="s">
        <v>1138</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=SUM(W2:W14)</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93" t="s">
        <v>45</v>
      </c>
      <c r="B5" s="94" t="s">
        <v>1139</v>
      </c>
      <c r="C5" s="56">
        <f>=IF(SNSInUse="Yes","Yes","No")</f>
      </c>
      <c r="D5" s="56" t="s">
        <v>1140</v>
      </c>
      <c r="E5" s="56" t="s">
        <v>1141</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=SUM(X2:X14)</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50" customHeight="1" spans="1:27" s="53" customFormat="1" x14ac:dyDescent="0.25">
      <c r="A6" s="93" t="s">
        <v>45</v>
      </c>
      <c r="B6" s="94" t="s">
        <v>1142</v>
      </c>
      <c r="C6" s="56">
        <f>=IF(SNSInUse="Yes","Yes","No")</f>
      </c>
      <c r="D6" s="56" t="s">
        <v>1143</v>
      </c>
      <c r="E6" s="56" t="s">
        <v>1144</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=SUM(Z2:Z14)</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65" customHeight="1" spans="1:27" s="53" customFormat="1" x14ac:dyDescent="0.25">
      <c r="A7" s="93" t="s">
        <v>45</v>
      </c>
      <c r="B7" s="94" t="s">
        <v>1145</v>
      </c>
      <c r="C7" s="56">
        <f>=IF(SNSInUse="Yes","Yes","No")</f>
      </c>
      <c r="D7" s="56" t="s">
        <v>1146</v>
      </c>
      <c r="E7" s="56" t="s">
        <v>1147</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=SUM(AA2:AA14)</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93" t="s">
        <v>45</v>
      </c>
      <c r="B8" s="94" t="s">
        <v>1148</v>
      </c>
      <c r="C8" s="56">
        <f>=IF(SNSInUse="Yes","Yes","No")</f>
      </c>
      <c r="D8" s="56" t="s">
        <v>1149</v>
      </c>
      <c r="E8" s="56" t="s">
        <v>1150</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50" customHeight="1" spans="1:27" s="53" customFormat="1" x14ac:dyDescent="0.25">
      <c r="A9" s="77" t="s">
        <v>49</v>
      </c>
      <c r="B9" s="78" t="s">
        <v>1151</v>
      </c>
      <c r="C9" s="56">
        <f>=IF(SQSInUse="Yes","Yes","No")</f>
      </c>
      <c r="D9" s="56" t="s">
        <v>1152</v>
      </c>
      <c r="E9" s="56" t="s">
        <v>1153</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77" t="s">
        <v>49</v>
      </c>
      <c r="B10" s="78" t="s">
        <v>1154</v>
      </c>
      <c r="C10" s="56">
        <f>=IF(SQSInUse="Yes","Yes","No")</f>
      </c>
      <c r="D10" s="56" t="s">
        <v>1155</v>
      </c>
      <c r="E10" s="56" t="s">
        <v>1156</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77" t="s">
        <v>49</v>
      </c>
      <c r="B11" s="78" t="s">
        <v>1157</v>
      </c>
      <c r="C11" s="56">
        <f>=IF(SQSInUse="Yes","Yes","No")</f>
      </c>
      <c r="D11" s="56" t="s">
        <v>1158</v>
      </c>
      <c r="E11" s="56" t="s">
        <v>1153</v>
      </c>
      <c r="F11" s="56">
        <f>=IF(AND(C11="Yes",G11="-"), "Yes", "No")</f>
      </c>
      <c r="G11" s="56" t="s">
        <v>13</v>
      </c>
      <c r="H11" s="56" t="s">
        <v>5</v>
      </c>
      <c r="I11" s="56" t="s">
        <v>242</v>
      </c>
      <c r="J11" s="56" t="s">
        <v>32</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35" customHeight="1" spans="1:27" s="53" customFormat="1" x14ac:dyDescent="0.25">
      <c r="A12" s="77" t="s">
        <v>49</v>
      </c>
      <c r="B12" s="78" t="s">
        <v>1159</v>
      </c>
      <c r="C12" s="56">
        <f>=IF(SQSInUse="Yes","Yes","No")</f>
      </c>
      <c r="D12" s="56" t="s">
        <v>1160</v>
      </c>
      <c r="E12" s="56" t="s">
        <v>1161</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77" t="s">
        <v>49</v>
      </c>
      <c r="B13" s="78" t="s">
        <v>1162</v>
      </c>
      <c r="C13" s="56">
        <f>=IF(SQSInUse="Yes","Yes","No")</f>
      </c>
      <c r="D13" s="56" t="s">
        <v>1163</v>
      </c>
      <c r="E13" s="56" t="s">
        <v>1164</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65" customHeight="1" spans="1:27" s="53" customFormat="1" x14ac:dyDescent="0.25">
      <c r="A14" s="77" t="s">
        <v>49</v>
      </c>
      <c r="B14" s="78" t="s">
        <v>1165</v>
      </c>
      <c r="C14" s="56">
        <f>=IF(SQSInUse="Yes","Yes","No")</f>
      </c>
      <c r="D14" s="56" t="s">
        <v>1166</v>
      </c>
      <c r="E14" s="56" t="s">
        <v>1167</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sheetData>
  <autoFilter ref="A1:L1"/>
  <conditionalFormatting sqref="$F$2">
    <cfRule type="containsText" dxfId="1972" priority="1">
      <formula>NOT(ISERROR(SEARCH("Yes",F2)))</formula>
    </cfRule>
  </conditionalFormatting>
  <conditionalFormatting sqref="$G$2">
    <cfRule type="containsText" dxfId="1973" priority="1">
      <formula>NOT(ISERROR(SEARCH("Yes",G2)))</formula>
    </cfRule>
    <cfRule type="containsText" dxfId="1974" priority="2">
      <formula>NOT(ISERROR(SEARCH("No; explanation in comments",G2)))</formula>
    </cfRule>
  </conditionalFormatting>
  <conditionalFormatting sqref="$J$2">
    <cfRule type="containsText" dxfId="1975" priority="1">
      <formula>NOT(ISERROR(SEARCH("Yes",J2)))</formula>
    </cfRule>
  </conditionalFormatting>
  <conditionalFormatting sqref="$K$2">
    <cfRule type="containsText" dxfId="1976" priority="1">
      <formula>NOT(ISERROR(SEARCH("Mitigated",K2)))</formula>
    </cfRule>
    <cfRule type="containsText" dxfId="1977" priority="2">
      <formula>NOT(ISERROR(SEARCH("Not Mitigated",K2)))</formula>
    </cfRule>
  </conditionalFormatting>
  <conditionalFormatting sqref="$F$3">
    <cfRule type="containsText" dxfId="1978" priority="1">
      <formula>NOT(ISERROR(SEARCH("Yes",F3)))</formula>
    </cfRule>
  </conditionalFormatting>
  <conditionalFormatting sqref="$G$3">
    <cfRule type="containsText" dxfId="1979" priority="1">
      <formula>NOT(ISERROR(SEARCH("Yes",G3)))</formula>
    </cfRule>
    <cfRule type="containsText" dxfId="1980" priority="2">
      <formula>NOT(ISERROR(SEARCH("No; explanation in comments",G3)))</formula>
    </cfRule>
  </conditionalFormatting>
  <conditionalFormatting sqref="$J$3">
    <cfRule type="containsText" dxfId="1981" priority="1">
      <formula>NOT(ISERROR(SEARCH("Yes",J3)))</formula>
    </cfRule>
  </conditionalFormatting>
  <conditionalFormatting sqref="$K$3">
    <cfRule type="containsText" dxfId="1982" priority="1">
      <formula>NOT(ISERROR(SEARCH("Mitigated",K3)))</formula>
    </cfRule>
    <cfRule type="containsText" dxfId="1983" priority="2">
      <formula>NOT(ISERROR(SEARCH("Not Mitigated",K3)))</formula>
    </cfRule>
  </conditionalFormatting>
  <conditionalFormatting sqref="$F$4">
    <cfRule type="containsText" dxfId="1984" priority="1">
      <formula>NOT(ISERROR(SEARCH("Yes",F4)))</formula>
    </cfRule>
  </conditionalFormatting>
  <conditionalFormatting sqref="$G$4">
    <cfRule type="containsText" dxfId="1985" priority="1">
      <formula>NOT(ISERROR(SEARCH("Yes",G4)))</formula>
    </cfRule>
    <cfRule type="containsText" dxfId="1986" priority="2">
      <formula>NOT(ISERROR(SEARCH("No; explanation in comments",G4)))</formula>
    </cfRule>
  </conditionalFormatting>
  <conditionalFormatting sqref="$J$4">
    <cfRule type="containsText" dxfId="1987" priority="1">
      <formula>NOT(ISERROR(SEARCH("Yes",J4)))</formula>
    </cfRule>
  </conditionalFormatting>
  <conditionalFormatting sqref="$K$4">
    <cfRule type="containsText" dxfId="1988" priority="1">
      <formula>NOT(ISERROR(SEARCH("Mitigated",K4)))</formula>
    </cfRule>
    <cfRule type="containsText" dxfId="1989" priority="2">
      <formula>NOT(ISERROR(SEARCH("Not Mitigated",K4)))</formula>
    </cfRule>
  </conditionalFormatting>
  <conditionalFormatting sqref="$F$5">
    <cfRule type="containsText" dxfId="1990" priority="1">
      <formula>NOT(ISERROR(SEARCH("Yes",F5)))</formula>
    </cfRule>
  </conditionalFormatting>
  <conditionalFormatting sqref="$G$5">
    <cfRule type="containsText" dxfId="1991" priority="1">
      <formula>NOT(ISERROR(SEARCH("Yes",G5)))</formula>
    </cfRule>
    <cfRule type="containsText" dxfId="1992" priority="2">
      <formula>NOT(ISERROR(SEARCH("No; explanation in comments",G5)))</formula>
    </cfRule>
  </conditionalFormatting>
  <conditionalFormatting sqref="$J$5">
    <cfRule type="containsText" dxfId="1993" priority="1">
      <formula>NOT(ISERROR(SEARCH("Yes",J5)))</formula>
    </cfRule>
  </conditionalFormatting>
  <conditionalFormatting sqref="$K$5">
    <cfRule type="containsText" dxfId="1994" priority="1">
      <formula>NOT(ISERROR(SEARCH("Mitigated",K5)))</formula>
    </cfRule>
    <cfRule type="containsText" dxfId="1995" priority="2">
      <formula>NOT(ISERROR(SEARCH("Not Mitigated",K5)))</formula>
    </cfRule>
  </conditionalFormatting>
  <conditionalFormatting sqref="$F$6">
    <cfRule type="containsText" dxfId="1996" priority="1">
      <formula>NOT(ISERROR(SEARCH("Yes",F6)))</formula>
    </cfRule>
  </conditionalFormatting>
  <conditionalFormatting sqref="$G$6">
    <cfRule type="containsText" dxfId="1997" priority="1">
      <formula>NOT(ISERROR(SEARCH("Yes",G6)))</formula>
    </cfRule>
    <cfRule type="containsText" dxfId="1998" priority="2">
      <formula>NOT(ISERROR(SEARCH("No; explanation in comments",G6)))</formula>
    </cfRule>
  </conditionalFormatting>
  <conditionalFormatting sqref="$J$6">
    <cfRule type="containsText" dxfId="1999" priority="1">
      <formula>NOT(ISERROR(SEARCH("Yes",J6)))</formula>
    </cfRule>
  </conditionalFormatting>
  <conditionalFormatting sqref="$K$6">
    <cfRule type="containsText" dxfId="2000" priority="1">
      <formula>NOT(ISERROR(SEARCH("Mitigated",K6)))</formula>
    </cfRule>
    <cfRule type="containsText" dxfId="2001" priority="2">
      <formula>NOT(ISERROR(SEARCH("Not Mitigated",K6)))</formula>
    </cfRule>
  </conditionalFormatting>
  <conditionalFormatting sqref="$F$7">
    <cfRule type="containsText" dxfId="2002" priority="1">
      <formula>NOT(ISERROR(SEARCH("Yes",F7)))</formula>
    </cfRule>
  </conditionalFormatting>
  <conditionalFormatting sqref="$G$7">
    <cfRule type="containsText" dxfId="2003" priority="1">
      <formula>NOT(ISERROR(SEARCH("Yes",G7)))</formula>
    </cfRule>
    <cfRule type="containsText" dxfId="2004" priority="2">
      <formula>NOT(ISERROR(SEARCH("No; explanation in comments",G7)))</formula>
    </cfRule>
  </conditionalFormatting>
  <conditionalFormatting sqref="$J$7">
    <cfRule type="containsText" dxfId="2005" priority="1">
      <formula>NOT(ISERROR(SEARCH("Yes",J7)))</formula>
    </cfRule>
  </conditionalFormatting>
  <conditionalFormatting sqref="$K$7">
    <cfRule type="containsText" dxfId="2006" priority="1">
      <formula>NOT(ISERROR(SEARCH("Mitigated",K7)))</formula>
    </cfRule>
    <cfRule type="containsText" dxfId="2007" priority="2">
      <formula>NOT(ISERROR(SEARCH("Not Mitigated",K7)))</formula>
    </cfRule>
  </conditionalFormatting>
  <conditionalFormatting sqref="$F$8">
    <cfRule type="containsText" dxfId="2008" priority="1">
      <formula>NOT(ISERROR(SEARCH("Yes",F8)))</formula>
    </cfRule>
  </conditionalFormatting>
  <conditionalFormatting sqref="$G$8">
    <cfRule type="containsText" dxfId="2009" priority="1">
      <formula>NOT(ISERROR(SEARCH("Yes",G8)))</formula>
    </cfRule>
    <cfRule type="containsText" dxfId="2010" priority="2">
      <formula>NOT(ISERROR(SEARCH("No; explanation in comments",G8)))</formula>
    </cfRule>
  </conditionalFormatting>
  <conditionalFormatting sqref="$J$8">
    <cfRule type="containsText" dxfId="2011" priority="1">
      <formula>NOT(ISERROR(SEARCH("Yes",J8)))</formula>
    </cfRule>
  </conditionalFormatting>
  <conditionalFormatting sqref="$K$8">
    <cfRule type="containsText" dxfId="2012" priority="1">
      <formula>NOT(ISERROR(SEARCH("Mitigated",K8)))</formula>
    </cfRule>
    <cfRule type="containsText" dxfId="2013" priority="2">
      <formula>NOT(ISERROR(SEARCH("Not Mitigated",K8)))</formula>
    </cfRule>
  </conditionalFormatting>
  <conditionalFormatting sqref="$F$9">
    <cfRule type="containsText" dxfId="2014" priority="1">
      <formula>NOT(ISERROR(SEARCH("Yes",F9)))</formula>
    </cfRule>
  </conditionalFormatting>
  <conditionalFormatting sqref="$G$9">
    <cfRule type="containsText" dxfId="2015" priority="1">
      <formula>NOT(ISERROR(SEARCH("Yes",G9)))</formula>
    </cfRule>
    <cfRule type="containsText" dxfId="2016" priority="2">
      <formula>NOT(ISERROR(SEARCH("No; explanation in comments",G9)))</formula>
    </cfRule>
  </conditionalFormatting>
  <conditionalFormatting sqref="$J$9">
    <cfRule type="containsText" dxfId="2017" priority="1">
      <formula>NOT(ISERROR(SEARCH("Yes",J9)))</formula>
    </cfRule>
  </conditionalFormatting>
  <conditionalFormatting sqref="$K$9">
    <cfRule type="containsText" dxfId="2018" priority="1">
      <formula>NOT(ISERROR(SEARCH("Mitigated",K9)))</formula>
    </cfRule>
    <cfRule type="containsText" dxfId="2019" priority="2">
      <formula>NOT(ISERROR(SEARCH("Not Mitigated",K9)))</formula>
    </cfRule>
  </conditionalFormatting>
  <conditionalFormatting sqref="$F$10">
    <cfRule type="containsText" dxfId="2020" priority="1">
      <formula>NOT(ISERROR(SEARCH("Yes",F10)))</formula>
    </cfRule>
  </conditionalFormatting>
  <conditionalFormatting sqref="$G$10">
    <cfRule type="containsText" dxfId="2021" priority="1">
      <formula>NOT(ISERROR(SEARCH("Yes",G10)))</formula>
    </cfRule>
    <cfRule type="containsText" dxfId="2022" priority="2">
      <formula>NOT(ISERROR(SEARCH("No; explanation in comments",G10)))</formula>
    </cfRule>
  </conditionalFormatting>
  <conditionalFormatting sqref="$J$10">
    <cfRule type="containsText" dxfId="2023" priority="1">
      <formula>NOT(ISERROR(SEARCH("Yes",J10)))</formula>
    </cfRule>
  </conditionalFormatting>
  <conditionalFormatting sqref="$K$10">
    <cfRule type="containsText" dxfId="2024" priority="1">
      <formula>NOT(ISERROR(SEARCH("Mitigated",K10)))</formula>
    </cfRule>
    <cfRule type="containsText" dxfId="2025" priority="2">
      <formula>NOT(ISERROR(SEARCH("Not Mitigated",K10)))</formula>
    </cfRule>
  </conditionalFormatting>
  <conditionalFormatting sqref="$F$11">
    <cfRule type="containsText" dxfId="2026" priority="1">
      <formula>NOT(ISERROR(SEARCH("Yes",F11)))</formula>
    </cfRule>
  </conditionalFormatting>
  <conditionalFormatting sqref="$G$11">
    <cfRule type="containsText" dxfId="2027" priority="1">
      <formula>NOT(ISERROR(SEARCH("Yes",G11)))</formula>
    </cfRule>
    <cfRule type="containsText" dxfId="2028" priority="2">
      <formula>NOT(ISERROR(SEARCH("No; explanation in comments",G11)))</formula>
    </cfRule>
  </conditionalFormatting>
  <conditionalFormatting sqref="$J$11">
    <cfRule type="containsText" dxfId="2029" priority="1">
      <formula>NOT(ISERROR(SEARCH("Yes",J11)))</formula>
    </cfRule>
  </conditionalFormatting>
  <conditionalFormatting sqref="$K$11">
    <cfRule type="containsText" dxfId="2030" priority="1">
      <formula>NOT(ISERROR(SEARCH("Mitigated",K11)))</formula>
    </cfRule>
    <cfRule type="containsText" dxfId="2031" priority="2">
      <formula>NOT(ISERROR(SEARCH("Not Mitigated",K11)))</formula>
    </cfRule>
  </conditionalFormatting>
  <conditionalFormatting sqref="$F$12">
    <cfRule type="containsText" dxfId="2032" priority="1">
      <formula>NOT(ISERROR(SEARCH("Yes",F12)))</formula>
    </cfRule>
  </conditionalFormatting>
  <conditionalFormatting sqref="$G$12">
    <cfRule type="containsText" dxfId="2033" priority="1">
      <formula>NOT(ISERROR(SEARCH("Yes",G12)))</formula>
    </cfRule>
    <cfRule type="containsText" dxfId="2034" priority="2">
      <formula>NOT(ISERROR(SEARCH("No; explanation in comments",G12)))</formula>
    </cfRule>
  </conditionalFormatting>
  <conditionalFormatting sqref="$J$12">
    <cfRule type="containsText" dxfId="2035" priority="1">
      <formula>NOT(ISERROR(SEARCH("Yes",J12)))</formula>
    </cfRule>
  </conditionalFormatting>
  <conditionalFormatting sqref="$K$12">
    <cfRule type="containsText" dxfId="2036" priority="1">
      <formula>NOT(ISERROR(SEARCH("Mitigated",K12)))</formula>
    </cfRule>
    <cfRule type="containsText" dxfId="2037" priority="2">
      <formula>NOT(ISERROR(SEARCH("Not Mitigated",K12)))</formula>
    </cfRule>
  </conditionalFormatting>
  <conditionalFormatting sqref="$F$13">
    <cfRule type="containsText" dxfId="2038" priority="1">
      <formula>NOT(ISERROR(SEARCH("Yes",F13)))</formula>
    </cfRule>
  </conditionalFormatting>
  <conditionalFormatting sqref="$G$13">
    <cfRule type="containsText" dxfId="2039" priority="1">
      <formula>NOT(ISERROR(SEARCH("Yes",G13)))</formula>
    </cfRule>
    <cfRule type="containsText" dxfId="2040" priority="2">
      <formula>NOT(ISERROR(SEARCH("No; explanation in comments",G13)))</formula>
    </cfRule>
  </conditionalFormatting>
  <conditionalFormatting sqref="$J$13">
    <cfRule type="containsText" dxfId="2041" priority="1">
      <formula>NOT(ISERROR(SEARCH("Yes",J13)))</formula>
    </cfRule>
  </conditionalFormatting>
  <conditionalFormatting sqref="$K$13">
    <cfRule type="containsText" dxfId="2042" priority="1">
      <formula>NOT(ISERROR(SEARCH("Mitigated",K13)))</formula>
    </cfRule>
    <cfRule type="containsText" dxfId="2043" priority="2">
      <formula>NOT(ISERROR(SEARCH("Not Mitigated",K13)))</formula>
    </cfRule>
  </conditionalFormatting>
  <conditionalFormatting sqref="$F$14">
    <cfRule type="containsText" dxfId="2044" priority="1">
      <formula>NOT(ISERROR(SEARCH("Yes",F14)))</formula>
    </cfRule>
  </conditionalFormatting>
  <conditionalFormatting sqref="$G$14">
    <cfRule type="containsText" dxfId="2045" priority="1">
      <formula>NOT(ISERROR(SEARCH("Yes",G14)))</formula>
    </cfRule>
    <cfRule type="containsText" dxfId="2046" priority="2">
      <formula>NOT(ISERROR(SEARCH("No; explanation in comments",G14)))</formula>
    </cfRule>
  </conditionalFormatting>
  <conditionalFormatting sqref="$J$14">
    <cfRule type="containsText" dxfId="2047" priority="1">
      <formula>NOT(ISERROR(SEARCH("Yes",J14)))</formula>
    </cfRule>
  </conditionalFormatting>
  <conditionalFormatting sqref="$K$14">
    <cfRule type="containsText" dxfId="2048" priority="1">
      <formula>NOT(ISERROR(SEARCH("Mitigated",K14)))</formula>
    </cfRule>
    <cfRule type="containsText" dxfId="2049" priority="2">
      <formula>NOT(ISERROR(SEARCH("Not Mitigated",K14)))</formula>
    </cfRule>
  </conditionalFormatting>
  <dataValidations count="4">
    <dataValidation type="list" sqref="G10:G14">
      <formula1>"-,Yes,No; explanation in comments"</formula1>
    </dataValidation>
    <dataValidation type="list" sqref="G2:G14">
      <formula1>"-,Yes,No; explanation in comments"</formula1>
    </dataValidation>
    <dataValidation type="list" sqref="K10:K14">
      <formula1>"Mitigated,Not Mitigated,Not Assessed Yet,N/A"</formula1>
    </dataValidation>
    <dataValidation type="list" sqref="K2:K14">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35" customHeight="1" spans="1:27" s="53" customFormat="1" x14ac:dyDescent="0.25">
      <c r="A2" s="65" t="s">
        <v>65</v>
      </c>
      <c r="B2" s="66" t="s">
        <v>1168</v>
      </c>
      <c r="C2" s="56">
        <f>=IF(MEDIA_STOREInUse="Yes","Yes","No")</f>
      </c>
      <c r="D2" s="56" t="s">
        <v>1169</v>
      </c>
      <c r="E2" s="56" t="s">
        <v>1170</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=COUNTIFS(C2:C23,"Yes")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65" t="s">
        <v>65</v>
      </c>
      <c r="B3" s="66" t="s">
        <v>1171</v>
      </c>
      <c r="C3" s="56">
        <f>=IF(MEDIA_STOREInUse="Yes","Yes","No")</f>
      </c>
      <c r="D3" s="56" t="s">
        <v>1172</v>
      </c>
      <c r="E3" s="56" t="s">
        <v>1173</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65" t="s">
        <v>65</v>
      </c>
      <c r="B4" s="66" t="s">
        <v>1174</v>
      </c>
      <c r="C4" s="56">
        <f>=IF(MEDIA_STOREInUse="Yes","Yes","No")</f>
      </c>
      <c r="D4" s="56" t="s">
        <v>1175</v>
      </c>
      <c r="E4" s="56" t="s">
        <v>1176</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=SUM(W2:W23)</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65" t="s">
        <v>65</v>
      </c>
      <c r="B5" s="66" t="s">
        <v>1177</v>
      </c>
      <c r="C5" s="56">
        <f>=IF(MEDIA_STOREInUse="Yes","Yes","No")</f>
      </c>
      <c r="D5" s="56" t="s">
        <v>1178</v>
      </c>
      <c r="E5" s="56" t="s">
        <v>1179</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=SUM(X2:X23)</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65" t="s">
        <v>65</v>
      </c>
      <c r="B6" s="66" t="s">
        <v>1180</v>
      </c>
      <c r="C6" s="56">
        <f>=IF(MEDIA_STOREInUse="Yes","Yes","No")</f>
      </c>
      <c r="D6" s="56" t="s">
        <v>1181</v>
      </c>
      <c r="E6" s="56" t="s">
        <v>1182</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=SUM(Z2:Z23)</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50" customHeight="1" spans="1:27" s="53" customFormat="1" x14ac:dyDescent="0.25">
      <c r="A7" s="65" t="s">
        <v>65</v>
      </c>
      <c r="B7" s="66" t="s">
        <v>1183</v>
      </c>
      <c r="C7" s="56">
        <f>=IF(MEDIA_STOREInUse="Yes","Yes","No")</f>
      </c>
      <c r="D7" s="56" t="s">
        <v>1184</v>
      </c>
      <c r="E7" s="56" t="s">
        <v>1185</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=SUM(AA2:AA23)</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35" customHeight="1" spans="1:27" s="53" customFormat="1" x14ac:dyDescent="0.25">
      <c r="A8" s="65" t="s">
        <v>65</v>
      </c>
      <c r="B8" s="66" t="s">
        <v>1186</v>
      </c>
      <c r="C8" s="56">
        <f>=IF(MEDIA_STOREInUse="Yes","Yes","No")</f>
      </c>
      <c r="D8" s="56" t="s">
        <v>1187</v>
      </c>
      <c r="E8" s="56" t="s">
        <v>1188</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50" customHeight="1" spans="1:27" s="53" customFormat="1" x14ac:dyDescent="0.25">
      <c r="A9" s="65" t="s">
        <v>65</v>
      </c>
      <c r="B9" s="66" t="s">
        <v>1189</v>
      </c>
      <c r="C9" s="56">
        <f>=IF(MEDIA_STOREInUse="Yes","Yes","No")</f>
      </c>
      <c r="D9" s="56" t="s">
        <v>1190</v>
      </c>
      <c r="E9" s="56" t="s">
        <v>1191</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95" t="s">
        <v>69</v>
      </c>
      <c r="B10" s="96" t="s">
        <v>1192</v>
      </c>
      <c r="C10" s="56">
        <f>=IF(MEDIA_PACKAGEInUse="Yes","Yes","No")</f>
      </c>
      <c r="D10" s="56" t="s">
        <v>1193</v>
      </c>
      <c r="E10" s="56" t="s">
        <v>1194</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95" t="s">
        <v>69</v>
      </c>
      <c r="B11" s="96" t="s">
        <v>1195</v>
      </c>
      <c r="C11" s="56">
        <f>=IF(MEDIA_PACKAGEInUse="Yes","Yes","No")</f>
      </c>
      <c r="D11" s="56" t="s">
        <v>1196</v>
      </c>
      <c r="E11" s="56" t="s">
        <v>1197</v>
      </c>
      <c r="F11" s="56">
        <f>=IF(AND(C11="Yes",G11="-"), "Yes", "No")</f>
      </c>
      <c r="G11" s="56" t="s">
        <v>13</v>
      </c>
      <c r="H11" s="56" t="s">
        <v>5</v>
      </c>
      <c r="I11" s="56" t="s">
        <v>242</v>
      </c>
      <c r="J11" s="56" t="s">
        <v>32</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35" customHeight="1" spans="1:27" s="53" customFormat="1" x14ac:dyDescent="0.25">
      <c r="A12" s="95" t="s">
        <v>69</v>
      </c>
      <c r="B12" s="96" t="s">
        <v>1198</v>
      </c>
      <c r="C12" s="56">
        <f>=IF(MEDIA_PACKAGEInUse="Yes","Yes","No")</f>
      </c>
      <c r="D12" s="56" t="s">
        <v>1199</v>
      </c>
      <c r="E12" s="56" t="s">
        <v>1200</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35" customHeight="1" spans="1:27" s="53" customFormat="1" x14ac:dyDescent="0.25">
      <c r="A13" s="95" t="s">
        <v>69</v>
      </c>
      <c r="B13" s="96" t="s">
        <v>1201</v>
      </c>
      <c r="C13" s="56">
        <f>=IF(MEDIA_PACKAGEInUse="Yes","Yes","No")</f>
      </c>
      <c r="D13" s="56" t="s">
        <v>1202</v>
      </c>
      <c r="E13" s="56" t="s">
        <v>1203</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35" customHeight="1" spans="1:27" s="53" customFormat="1" x14ac:dyDescent="0.25">
      <c r="A14" s="95" t="s">
        <v>69</v>
      </c>
      <c r="B14" s="96" t="s">
        <v>1204</v>
      </c>
      <c r="C14" s="56">
        <f>=IF(MEDIA_PACKAGEInUse="Yes","Yes","No")</f>
      </c>
      <c r="D14" s="56" t="s">
        <v>1205</v>
      </c>
      <c r="E14" s="56" t="s">
        <v>1206</v>
      </c>
      <c r="F14" s="56">
        <f>=IF(AND(C14="Yes",G14="-"), "Yes", "No")</f>
      </c>
      <c r="G14" s="56" t="s">
        <v>13</v>
      </c>
      <c r="H14" s="56" t="s">
        <v>5</v>
      </c>
      <c r="I14" s="56" t="s">
        <v>242</v>
      </c>
      <c r="J14" s="56" t="s">
        <v>32</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65" t="s">
        <v>73</v>
      </c>
      <c r="B15" s="66" t="s">
        <v>1207</v>
      </c>
      <c r="C15" s="56">
        <f>=IF(MEDIA_CONNECTInUse="Yes","Yes","No")</f>
      </c>
      <c r="D15" s="56" t="s">
        <v>1208</v>
      </c>
      <c r="E15" s="56" t="s">
        <v>1209</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65" t="s">
        <v>73</v>
      </c>
      <c r="B16" s="66" t="s">
        <v>1210</v>
      </c>
      <c r="C16" s="56">
        <f>=IF(MEDIA_CONNECTInUse="Yes","Yes","No")</f>
      </c>
      <c r="D16" s="56" t="s">
        <v>1211</v>
      </c>
      <c r="E16" s="56" t="s">
        <v>1212</v>
      </c>
      <c r="F16" s="56">
        <f>=IF(AND(C16="Yes",G16="-"), "Yes", "No")</f>
      </c>
      <c r="G16" s="56" t="s">
        <v>13</v>
      </c>
      <c r="H16" s="56" t="s">
        <v>5</v>
      </c>
      <c r="I16" s="56" t="s">
        <v>242</v>
      </c>
      <c r="J16" s="56" t="s">
        <v>32</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35" customHeight="1" spans="1:27" s="53" customFormat="1" x14ac:dyDescent="0.25">
      <c r="A17" s="65" t="s">
        <v>73</v>
      </c>
      <c r="B17" s="66" t="s">
        <v>1213</v>
      </c>
      <c r="C17" s="56">
        <f>=IF(MEDIA_CONNECTInUse="Yes","Yes","No")</f>
      </c>
      <c r="D17" s="56" t="s">
        <v>1214</v>
      </c>
      <c r="E17" s="56" t="s">
        <v>1215</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35" customHeight="1" spans="1:27" s="53" customFormat="1" x14ac:dyDescent="0.25">
      <c r="A18" s="65" t="s">
        <v>73</v>
      </c>
      <c r="B18" s="66" t="s">
        <v>1216</v>
      </c>
      <c r="C18" s="56">
        <f>=IF(MEDIA_CONNECTInUse="Yes","Yes","No")</f>
      </c>
      <c r="D18" s="56" t="s">
        <v>1217</v>
      </c>
      <c r="E18" s="56" t="s">
        <v>1218</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35" customHeight="1" spans="1:27" s="53" customFormat="1" x14ac:dyDescent="0.25">
      <c r="A19" s="65" t="s">
        <v>73</v>
      </c>
      <c r="B19" s="66" t="s">
        <v>1219</v>
      </c>
      <c r="C19" s="56">
        <f>=IF(MEDIA_CONNECTInUse="Yes","Yes","No")</f>
      </c>
      <c r="D19" s="56" t="s">
        <v>1220</v>
      </c>
      <c r="E19" s="56" t="s">
        <v>1218</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50" customHeight="1" spans="1:27" s="53" customFormat="1" x14ac:dyDescent="0.25">
      <c r="A20" s="95" t="s">
        <v>77</v>
      </c>
      <c r="B20" s="96" t="s">
        <v>1221</v>
      </c>
      <c r="C20" s="56">
        <f>=IF(MEDIA_LIVEInUse="Yes","Yes","No")</f>
      </c>
      <c r="D20" s="56" t="s">
        <v>1222</v>
      </c>
      <c r="E20" s="56" t="s">
        <v>1223</v>
      </c>
      <c r="F20" s="56">
        <f>=IF(AND(C20="Yes",G20="-"), "Yes", "No")</f>
      </c>
      <c r="G20" s="56" t="s">
        <v>13</v>
      </c>
      <c r="H20" s="56" t="s">
        <v>5</v>
      </c>
      <c r="I20" s="56" t="s">
        <v>229</v>
      </c>
      <c r="J20" s="56" t="s">
        <v>226</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50" customHeight="1" spans="1:27" s="53" customFormat="1" x14ac:dyDescent="0.25">
      <c r="A21" s="95" t="s">
        <v>77</v>
      </c>
      <c r="B21" s="96" t="s">
        <v>1224</v>
      </c>
      <c r="C21" s="56">
        <f>=IF(MEDIA_LIVEInUse="Yes","Yes","No")</f>
      </c>
      <c r="D21" s="56" t="s">
        <v>1225</v>
      </c>
      <c r="E21" s="56" t="s">
        <v>1226</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50" customHeight="1" spans="1:27" s="53" customFormat="1" x14ac:dyDescent="0.25">
      <c r="A22" s="95" t="s">
        <v>77</v>
      </c>
      <c r="B22" s="96" t="s">
        <v>1227</v>
      </c>
      <c r="C22" s="56">
        <f>=IF(MEDIA_LIVEInUse="Yes","Yes","No")</f>
      </c>
      <c r="D22" s="56" t="s">
        <v>1228</v>
      </c>
      <c r="E22" s="56" t="s">
        <v>1229</v>
      </c>
      <c r="F22" s="56">
        <f>=IF(AND(C22="Yes",G22="-"), "Yes", "No")</f>
      </c>
      <c r="G22" s="56" t="s">
        <v>13</v>
      </c>
      <c r="H22" s="56" t="s">
        <v>5</v>
      </c>
      <c r="I22" s="56" t="s">
        <v>229</v>
      </c>
      <c r="J22" s="56" t="s">
        <v>226</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95" t="s">
        <v>77</v>
      </c>
      <c r="B23" s="96" t="s">
        <v>1230</v>
      </c>
      <c r="C23" s="56">
        <f>=IF(MEDIA_LIVEInUse="Yes","Yes","No")</f>
      </c>
      <c r="D23" s="56" t="s">
        <v>1231</v>
      </c>
      <c r="E23" s="56" t="s">
        <v>1232</v>
      </c>
      <c r="F23" s="56">
        <f>=IF(AND(C23="Yes",G23="-"), "Yes", "No")</f>
      </c>
      <c r="G23" s="56" t="s">
        <v>13</v>
      </c>
      <c r="H23" s="56" t="s">
        <v>5</v>
      </c>
      <c r="I23" s="56" t="s">
        <v>229</v>
      </c>
      <c r="J23" s="56" t="s">
        <v>226</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sheetData>
  <autoFilter ref="A1:L1"/>
  <conditionalFormatting sqref="$F$2">
    <cfRule type="containsText" dxfId="2050" priority="1">
      <formula>NOT(ISERROR(SEARCH("Yes",F2)))</formula>
    </cfRule>
  </conditionalFormatting>
  <conditionalFormatting sqref="$G$2">
    <cfRule type="containsText" dxfId="2051" priority="1">
      <formula>NOT(ISERROR(SEARCH("Yes",G2)))</formula>
    </cfRule>
    <cfRule type="containsText" dxfId="2052" priority="2">
      <formula>NOT(ISERROR(SEARCH("No; explanation in comments",G2)))</formula>
    </cfRule>
  </conditionalFormatting>
  <conditionalFormatting sqref="$J$2">
    <cfRule type="containsText" dxfId="2053" priority="1">
      <formula>NOT(ISERROR(SEARCH("Yes",J2)))</formula>
    </cfRule>
  </conditionalFormatting>
  <conditionalFormatting sqref="$K$2">
    <cfRule type="containsText" dxfId="2054" priority="1">
      <formula>NOT(ISERROR(SEARCH("Mitigated",K2)))</formula>
    </cfRule>
    <cfRule type="containsText" dxfId="2055" priority="2">
      <formula>NOT(ISERROR(SEARCH("Not Mitigated",K2)))</formula>
    </cfRule>
  </conditionalFormatting>
  <conditionalFormatting sqref="$F$3">
    <cfRule type="containsText" dxfId="2056" priority="1">
      <formula>NOT(ISERROR(SEARCH("Yes",F3)))</formula>
    </cfRule>
  </conditionalFormatting>
  <conditionalFormatting sqref="$G$3">
    <cfRule type="containsText" dxfId="2057" priority="1">
      <formula>NOT(ISERROR(SEARCH("Yes",G3)))</formula>
    </cfRule>
    <cfRule type="containsText" dxfId="2058" priority="2">
      <formula>NOT(ISERROR(SEARCH("No; explanation in comments",G3)))</formula>
    </cfRule>
  </conditionalFormatting>
  <conditionalFormatting sqref="$J$3">
    <cfRule type="containsText" dxfId="2059" priority="1">
      <formula>NOT(ISERROR(SEARCH("Yes",J3)))</formula>
    </cfRule>
  </conditionalFormatting>
  <conditionalFormatting sqref="$K$3">
    <cfRule type="containsText" dxfId="2060" priority="1">
      <formula>NOT(ISERROR(SEARCH("Mitigated",K3)))</formula>
    </cfRule>
    <cfRule type="containsText" dxfId="2061" priority="2">
      <formula>NOT(ISERROR(SEARCH("Not Mitigated",K3)))</formula>
    </cfRule>
  </conditionalFormatting>
  <conditionalFormatting sqref="$F$4">
    <cfRule type="containsText" dxfId="2062" priority="1">
      <formula>NOT(ISERROR(SEARCH("Yes",F4)))</formula>
    </cfRule>
  </conditionalFormatting>
  <conditionalFormatting sqref="$G$4">
    <cfRule type="containsText" dxfId="2063" priority="1">
      <formula>NOT(ISERROR(SEARCH("Yes",G4)))</formula>
    </cfRule>
    <cfRule type="containsText" dxfId="2064" priority="2">
      <formula>NOT(ISERROR(SEARCH("No; explanation in comments",G4)))</formula>
    </cfRule>
  </conditionalFormatting>
  <conditionalFormatting sqref="$J$4">
    <cfRule type="containsText" dxfId="2065" priority="1">
      <formula>NOT(ISERROR(SEARCH("Yes",J4)))</formula>
    </cfRule>
  </conditionalFormatting>
  <conditionalFormatting sqref="$K$4">
    <cfRule type="containsText" dxfId="2066" priority="1">
      <formula>NOT(ISERROR(SEARCH("Mitigated",K4)))</formula>
    </cfRule>
    <cfRule type="containsText" dxfId="2067" priority="2">
      <formula>NOT(ISERROR(SEARCH("Not Mitigated",K4)))</formula>
    </cfRule>
  </conditionalFormatting>
  <conditionalFormatting sqref="$F$5">
    <cfRule type="containsText" dxfId="2068" priority="1">
      <formula>NOT(ISERROR(SEARCH("Yes",F5)))</formula>
    </cfRule>
  </conditionalFormatting>
  <conditionalFormatting sqref="$G$5">
    <cfRule type="containsText" dxfId="2069" priority="1">
      <formula>NOT(ISERROR(SEARCH("Yes",G5)))</formula>
    </cfRule>
    <cfRule type="containsText" dxfId="2070" priority="2">
      <formula>NOT(ISERROR(SEARCH("No; explanation in comments",G5)))</formula>
    </cfRule>
  </conditionalFormatting>
  <conditionalFormatting sqref="$J$5">
    <cfRule type="containsText" dxfId="2071" priority="1">
      <formula>NOT(ISERROR(SEARCH("Yes",J5)))</formula>
    </cfRule>
  </conditionalFormatting>
  <conditionalFormatting sqref="$K$5">
    <cfRule type="containsText" dxfId="2072" priority="1">
      <formula>NOT(ISERROR(SEARCH("Mitigated",K5)))</formula>
    </cfRule>
    <cfRule type="containsText" dxfId="2073" priority="2">
      <formula>NOT(ISERROR(SEARCH("Not Mitigated",K5)))</formula>
    </cfRule>
  </conditionalFormatting>
  <conditionalFormatting sqref="$F$6">
    <cfRule type="containsText" dxfId="2074" priority="1">
      <formula>NOT(ISERROR(SEARCH("Yes",F6)))</formula>
    </cfRule>
  </conditionalFormatting>
  <conditionalFormatting sqref="$G$6">
    <cfRule type="containsText" dxfId="2075" priority="1">
      <formula>NOT(ISERROR(SEARCH("Yes",G6)))</formula>
    </cfRule>
    <cfRule type="containsText" dxfId="2076" priority="2">
      <formula>NOT(ISERROR(SEARCH("No; explanation in comments",G6)))</formula>
    </cfRule>
  </conditionalFormatting>
  <conditionalFormatting sqref="$J$6">
    <cfRule type="containsText" dxfId="2077" priority="1">
      <formula>NOT(ISERROR(SEARCH("Yes",J6)))</formula>
    </cfRule>
  </conditionalFormatting>
  <conditionalFormatting sqref="$K$6">
    <cfRule type="containsText" dxfId="2078" priority="1">
      <formula>NOT(ISERROR(SEARCH("Mitigated",K6)))</formula>
    </cfRule>
    <cfRule type="containsText" dxfId="2079" priority="2">
      <formula>NOT(ISERROR(SEARCH("Not Mitigated",K6)))</formula>
    </cfRule>
  </conditionalFormatting>
  <conditionalFormatting sqref="$F$7">
    <cfRule type="containsText" dxfId="2080" priority="1">
      <formula>NOT(ISERROR(SEARCH("Yes",F7)))</formula>
    </cfRule>
  </conditionalFormatting>
  <conditionalFormatting sqref="$G$7">
    <cfRule type="containsText" dxfId="2081" priority="1">
      <formula>NOT(ISERROR(SEARCH("Yes",G7)))</formula>
    </cfRule>
    <cfRule type="containsText" dxfId="2082" priority="2">
      <formula>NOT(ISERROR(SEARCH("No; explanation in comments",G7)))</formula>
    </cfRule>
  </conditionalFormatting>
  <conditionalFormatting sqref="$J$7">
    <cfRule type="containsText" dxfId="2083" priority="1">
      <formula>NOT(ISERROR(SEARCH("Yes",J7)))</formula>
    </cfRule>
  </conditionalFormatting>
  <conditionalFormatting sqref="$K$7">
    <cfRule type="containsText" dxfId="2084" priority="1">
      <formula>NOT(ISERROR(SEARCH("Mitigated",K7)))</formula>
    </cfRule>
    <cfRule type="containsText" dxfId="2085" priority="2">
      <formula>NOT(ISERROR(SEARCH("Not Mitigated",K7)))</formula>
    </cfRule>
  </conditionalFormatting>
  <conditionalFormatting sqref="$F$8">
    <cfRule type="containsText" dxfId="2086" priority="1">
      <formula>NOT(ISERROR(SEARCH("Yes",F8)))</formula>
    </cfRule>
  </conditionalFormatting>
  <conditionalFormatting sqref="$G$8">
    <cfRule type="containsText" dxfId="2087" priority="1">
      <formula>NOT(ISERROR(SEARCH("Yes",G8)))</formula>
    </cfRule>
    <cfRule type="containsText" dxfId="2088" priority="2">
      <formula>NOT(ISERROR(SEARCH("No; explanation in comments",G8)))</formula>
    </cfRule>
  </conditionalFormatting>
  <conditionalFormatting sqref="$J$8">
    <cfRule type="containsText" dxfId="2089" priority="1">
      <formula>NOT(ISERROR(SEARCH("Yes",J8)))</formula>
    </cfRule>
  </conditionalFormatting>
  <conditionalFormatting sqref="$K$8">
    <cfRule type="containsText" dxfId="2090" priority="1">
      <formula>NOT(ISERROR(SEARCH("Mitigated",K8)))</formula>
    </cfRule>
    <cfRule type="containsText" dxfId="2091" priority="2">
      <formula>NOT(ISERROR(SEARCH("Not Mitigated",K8)))</formula>
    </cfRule>
  </conditionalFormatting>
  <conditionalFormatting sqref="$F$9">
    <cfRule type="containsText" dxfId="2092" priority="1">
      <formula>NOT(ISERROR(SEARCH("Yes",F9)))</formula>
    </cfRule>
  </conditionalFormatting>
  <conditionalFormatting sqref="$G$9">
    <cfRule type="containsText" dxfId="2093" priority="1">
      <formula>NOT(ISERROR(SEARCH("Yes",G9)))</formula>
    </cfRule>
    <cfRule type="containsText" dxfId="2094" priority="2">
      <formula>NOT(ISERROR(SEARCH("No; explanation in comments",G9)))</formula>
    </cfRule>
  </conditionalFormatting>
  <conditionalFormatting sqref="$J$9">
    <cfRule type="containsText" dxfId="2095" priority="1">
      <formula>NOT(ISERROR(SEARCH("Yes",J9)))</formula>
    </cfRule>
  </conditionalFormatting>
  <conditionalFormatting sqref="$K$9">
    <cfRule type="containsText" dxfId="2096" priority="1">
      <formula>NOT(ISERROR(SEARCH("Mitigated",K9)))</formula>
    </cfRule>
    <cfRule type="containsText" dxfId="2097" priority="2">
      <formula>NOT(ISERROR(SEARCH("Not Mitigated",K9)))</formula>
    </cfRule>
  </conditionalFormatting>
  <conditionalFormatting sqref="$F$10">
    <cfRule type="containsText" dxfId="2098" priority="1">
      <formula>NOT(ISERROR(SEARCH("Yes",F10)))</formula>
    </cfRule>
  </conditionalFormatting>
  <conditionalFormatting sqref="$G$10">
    <cfRule type="containsText" dxfId="2099" priority="1">
      <formula>NOT(ISERROR(SEARCH("Yes",G10)))</formula>
    </cfRule>
    <cfRule type="containsText" dxfId="2100" priority="2">
      <formula>NOT(ISERROR(SEARCH("No; explanation in comments",G10)))</formula>
    </cfRule>
  </conditionalFormatting>
  <conditionalFormatting sqref="$J$10">
    <cfRule type="containsText" dxfId="2101" priority="1">
      <formula>NOT(ISERROR(SEARCH("Yes",J10)))</formula>
    </cfRule>
  </conditionalFormatting>
  <conditionalFormatting sqref="$K$10">
    <cfRule type="containsText" dxfId="2102" priority="1">
      <formula>NOT(ISERROR(SEARCH("Mitigated",K10)))</formula>
    </cfRule>
    <cfRule type="containsText" dxfId="2103" priority="2">
      <formula>NOT(ISERROR(SEARCH("Not Mitigated",K10)))</formula>
    </cfRule>
  </conditionalFormatting>
  <conditionalFormatting sqref="$F$11">
    <cfRule type="containsText" dxfId="2104" priority="1">
      <formula>NOT(ISERROR(SEARCH("Yes",F11)))</formula>
    </cfRule>
  </conditionalFormatting>
  <conditionalFormatting sqref="$G$11">
    <cfRule type="containsText" dxfId="2105" priority="1">
      <formula>NOT(ISERROR(SEARCH("Yes",G11)))</formula>
    </cfRule>
    <cfRule type="containsText" dxfId="2106" priority="2">
      <formula>NOT(ISERROR(SEARCH("No; explanation in comments",G11)))</formula>
    </cfRule>
  </conditionalFormatting>
  <conditionalFormatting sqref="$J$11">
    <cfRule type="containsText" dxfId="2107" priority="1">
      <formula>NOT(ISERROR(SEARCH("Yes",J11)))</formula>
    </cfRule>
  </conditionalFormatting>
  <conditionalFormatting sqref="$K$11">
    <cfRule type="containsText" dxfId="2108" priority="1">
      <formula>NOT(ISERROR(SEARCH("Mitigated",K11)))</formula>
    </cfRule>
    <cfRule type="containsText" dxfId="2109" priority="2">
      <formula>NOT(ISERROR(SEARCH("Not Mitigated",K11)))</formula>
    </cfRule>
  </conditionalFormatting>
  <conditionalFormatting sqref="$F$12">
    <cfRule type="containsText" dxfId="2110" priority="1">
      <formula>NOT(ISERROR(SEARCH("Yes",F12)))</formula>
    </cfRule>
  </conditionalFormatting>
  <conditionalFormatting sqref="$G$12">
    <cfRule type="containsText" dxfId="2111" priority="1">
      <formula>NOT(ISERROR(SEARCH("Yes",G12)))</formula>
    </cfRule>
    <cfRule type="containsText" dxfId="2112" priority="2">
      <formula>NOT(ISERROR(SEARCH("No; explanation in comments",G12)))</formula>
    </cfRule>
  </conditionalFormatting>
  <conditionalFormatting sqref="$J$12">
    <cfRule type="containsText" dxfId="2113" priority="1">
      <formula>NOT(ISERROR(SEARCH("Yes",J12)))</formula>
    </cfRule>
  </conditionalFormatting>
  <conditionalFormatting sqref="$K$12">
    <cfRule type="containsText" dxfId="2114" priority="1">
      <formula>NOT(ISERROR(SEARCH("Mitigated",K12)))</formula>
    </cfRule>
    <cfRule type="containsText" dxfId="2115" priority="2">
      <formula>NOT(ISERROR(SEARCH("Not Mitigated",K12)))</formula>
    </cfRule>
  </conditionalFormatting>
  <conditionalFormatting sqref="$F$13">
    <cfRule type="containsText" dxfId="2116" priority="1">
      <formula>NOT(ISERROR(SEARCH("Yes",F13)))</formula>
    </cfRule>
  </conditionalFormatting>
  <conditionalFormatting sqref="$G$13">
    <cfRule type="containsText" dxfId="2117" priority="1">
      <formula>NOT(ISERROR(SEARCH("Yes",G13)))</formula>
    </cfRule>
    <cfRule type="containsText" dxfId="2118" priority="2">
      <formula>NOT(ISERROR(SEARCH("No; explanation in comments",G13)))</formula>
    </cfRule>
  </conditionalFormatting>
  <conditionalFormatting sqref="$J$13">
    <cfRule type="containsText" dxfId="2119" priority="1">
      <formula>NOT(ISERROR(SEARCH("Yes",J13)))</formula>
    </cfRule>
  </conditionalFormatting>
  <conditionalFormatting sqref="$K$13">
    <cfRule type="containsText" dxfId="2120" priority="1">
      <formula>NOT(ISERROR(SEARCH("Mitigated",K13)))</formula>
    </cfRule>
    <cfRule type="containsText" dxfId="2121" priority="2">
      <formula>NOT(ISERROR(SEARCH("Not Mitigated",K13)))</formula>
    </cfRule>
  </conditionalFormatting>
  <conditionalFormatting sqref="$F$14">
    <cfRule type="containsText" dxfId="2122" priority="1">
      <formula>NOT(ISERROR(SEARCH("Yes",F14)))</formula>
    </cfRule>
  </conditionalFormatting>
  <conditionalFormatting sqref="$G$14">
    <cfRule type="containsText" dxfId="2123" priority="1">
      <formula>NOT(ISERROR(SEARCH("Yes",G14)))</formula>
    </cfRule>
    <cfRule type="containsText" dxfId="2124" priority="2">
      <formula>NOT(ISERROR(SEARCH("No; explanation in comments",G14)))</formula>
    </cfRule>
  </conditionalFormatting>
  <conditionalFormatting sqref="$J$14">
    <cfRule type="containsText" dxfId="2125" priority="1">
      <formula>NOT(ISERROR(SEARCH("Yes",J14)))</formula>
    </cfRule>
  </conditionalFormatting>
  <conditionalFormatting sqref="$K$14">
    <cfRule type="containsText" dxfId="2126" priority="1">
      <formula>NOT(ISERROR(SEARCH("Mitigated",K14)))</formula>
    </cfRule>
    <cfRule type="containsText" dxfId="2127" priority="2">
      <formula>NOT(ISERROR(SEARCH("Not Mitigated",K14)))</formula>
    </cfRule>
  </conditionalFormatting>
  <conditionalFormatting sqref="$F$15">
    <cfRule type="containsText" dxfId="2128" priority="1">
      <formula>NOT(ISERROR(SEARCH("Yes",F15)))</formula>
    </cfRule>
  </conditionalFormatting>
  <conditionalFormatting sqref="$G$15">
    <cfRule type="containsText" dxfId="2129" priority="1">
      <formula>NOT(ISERROR(SEARCH("Yes",G15)))</formula>
    </cfRule>
    <cfRule type="containsText" dxfId="2130" priority="2">
      <formula>NOT(ISERROR(SEARCH("No; explanation in comments",G15)))</formula>
    </cfRule>
  </conditionalFormatting>
  <conditionalFormatting sqref="$J$15">
    <cfRule type="containsText" dxfId="2131" priority="1">
      <formula>NOT(ISERROR(SEARCH("Yes",J15)))</formula>
    </cfRule>
  </conditionalFormatting>
  <conditionalFormatting sqref="$K$15">
    <cfRule type="containsText" dxfId="2132" priority="1">
      <formula>NOT(ISERROR(SEARCH("Mitigated",K15)))</formula>
    </cfRule>
    <cfRule type="containsText" dxfId="2133" priority="2">
      <formula>NOT(ISERROR(SEARCH("Not Mitigated",K15)))</formula>
    </cfRule>
  </conditionalFormatting>
  <conditionalFormatting sqref="$F$16">
    <cfRule type="containsText" dxfId="2134" priority="1">
      <formula>NOT(ISERROR(SEARCH("Yes",F16)))</formula>
    </cfRule>
  </conditionalFormatting>
  <conditionalFormatting sqref="$G$16">
    <cfRule type="containsText" dxfId="2135" priority="1">
      <formula>NOT(ISERROR(SEARCH("Yes",G16)))</formula>
    </cfRule>
    <cfRule type="containsText" dxfId="2136" priority="2">
      <formula>NOT(ISERROR(SEARCH("No; explanation in comments",G16)))</formula>
    </cfRule>
  </conditionalFormatting>
  <conditionalFormatting sqref="$J$16">
    <cfRule type="containsText" dxfId="2137" priority="1">
      <formula>NOT(ISERROR(SEARCH("Yes",J16)))</formula>
    </cfRule>
  </conditionalFormatting>
  <conditionalFormatting sqref="$K$16">
    <cfRule type="containsText" dxfId="2138" priority="1">
      <formula>NOT(ISERROR(SEARCH("Mitigated",K16)))</formula>
    </cfRule>
    <cfRule type="containsText" dxfId="2139" priority="2">
      <formula>NOT(ISERROR(SEARCH("Not Mitigated",K16)))</formula>
    </cfRule>
  </conditionalFormatting>
  <conditionalFormatting sqref="$F$17">
    <cfRule type="containsText" dxfId="2140" priority="1">
      <formula>NOT(ISERROR(SEARCH("Yes",F17)))</formula>
    </cfRule>
  </conditionalFormatting>
  <conditionalFormatting sqref="$G$17">
    <cfRule type="containsText" dxfId="2141" priority="1">
      <formula>NOT(ISERROR(SEARCH("Yes",G17)))</formula>
    </cfRule>
    <cfRule type="containsText" dxfId="2142" priority="2">
      <formula>NOT(ISERROR(SEARCH("No; explanation in comments",G17)))</formula>
    </cfRule>
  </conditionalFormatting>
  <conditionalFormatting sqref="$J$17">
    <cfRule type="containsText" dxfId="2143" priority="1">
      <formula>NOT(ISERROR(SEARCH("Yes",J17)))</formula>
    </cfRule>
  </conditionalFormatting>
  <conditionalFormatting sqref="$K$17">
    <cfRule type="containsText" dxfId="2144" priority="1">
      <formula>NOT(ISERROR(SEARCH("Mitigated",K17)))</formula>
    </cfRule>
    <cfRule type="containsText" dxfId="2145" priority="2">
      <formula>NOT(ISERROR(SEARCH("Not Mitigated",K17)))</formula>
    </cfRule>
  </conditionalFormatting>
  <conditionalFormatting sqref="$F$18">
    <cfRule type="containsText" dxfId="2146" priority="1">
      <formula>NOT(ISERROR(SEARCH("Yes",F18)))</formula>
    </cfRule>
  </conditionalFormatting>
  <conditionalFormatting sqref="$G$18">
    <cfRule type="containsText" dxfId="2147" priority="1">
      <formula>NOT(ISERROR(SEARCH("Yes",G18)))</formula>
    </cfRule>
    <cfRule type="containsText" dxfId="2148" priority="2">
      <formula>NOT(ISERROR(SEARCH("No; explanation in comments",G18)))</formula>
    </cfRule>
  </conditionalFormatting>
  <conditionalFormatting sqref="$J$18">
    <cfRule type="containsText" dxfId="2149" priority="1">
      <formula>NOT(ISERROR(SEARCH("Yes",J18)))</formula>
    </cfRule>
  </conditionalFormatting>
  <conditionalFormatting sqref="$K$18">
    <cfRule type="containsText" dxfId="2150" priority="1">
      <formula>NOT(ISERROR(SEARCH("Mitigated",K18)))</formula>
    </cfRule>
    <cfRule type="containsText" dxfId="2151" priority="2">
      <formula>NOT(ISERROR(SEARCH("Not Mitigated",K18)))</formula>
    </cfRule>
  </conditionalFormatting>
  <conditionalFormatting sqref="$F$19">
    <cfRule type="containsText" dxfId="2152" priority="1">
      <formula>NOT(ISERROR(SEARCH("Yes",F19)))</formula>
    </cfRule>
  </conditionalFormatting>
  <conditionalFormatting sqref="$G$19">
    <cfRule type="containsText" dxfId="2153" priority="1">
      <formula>NOT(ISERROR(SEARCH("Yes",G19)))</formula>
    </cfRule>
    <cfRule type="containsText" dxfId="2154" priority="2">
      <formula>NOT(ISERROR(SEARCH("No; explanation in comments",G19)))</formula>
    </cfRule>
  </conditionalFormatting>
  <conditionalFormatting sqref="$J$19">
    <cfRule type="containsText" dxfId="2155" priority="1">
      <formula>NOT(ISERROR(SEARCH("Yes",J19)))</formula>
    </cfRule>
  </conditionalFormatting>
  <conditionalFormatting sqref="$K$19">
    <cfRule type="containsText" dxfId="2156" priority="1">
      <formula>NOT(ISERROR(SEARCH("Mitigated",K19)))</formula>
    </cfRule>
    <cfRule type="containsText" dxfId="2157" priority="2">
      <formula>NOT(ISERROR(SEARCH("Not Mitigated",K19)))</formula>
    </cfRule>
  </conditionalFormatting>
  <conditionalFormatting sqref="$F$20">
    <cfRule type="containsText" dxfId="2158" priority="1">
      <formula>NOT(ISERROR(SEARCH("Yes",F20)))</formula>
    </cfRule>
  </conditionalFormatting>
  <conditionalFormatting sqref="$G$20">
    <cfRule type="containsText" dxfId="2159" priority="1">
      <formula>NOT(ISERROR(SEARCH("Yes",G20)))</formula>
    </cfRule>
    <cfRule type="containsText" dxfId="2160" priority="2">
      <formula>NOT(ISERROR(SEARCH("No; explanation in comments",G20)))</formula>
    </cfRule>
  </conditionalFormatting>
  <conditionalFormatting sqref="$J$20">
    <cfRule type="containsText" dxfId="2161" priority="1">
      <formula>NOT(ISERROR(SEARCH("Yes",J20)))</formula>
    </cfRule>
  </conditionalFormatting>
  <conditionalFormatting sqref="$K$20">
    <cfRule type="containsText" dxfId="2162" priority="1">
      <formula>NOT(ISERROR(SEARCH("Mitigated",K20)))</formula>
    </cfRule>
    <cfRule type="containsText" dxfId="2163" priority="2">
      <formula>NOT(ISERROR(SEARCH("Not Mitigated",K20)))</formula>
    </cfRule>
  </conditionalFormatting>
  <conditionalFormatting sqref="$F$21">
    <cfRule type="containsText" dxfId="2164" priority="1">
      <formula>NOT(ISERROR(SEARCH("Yes",F21)))</formula>
    </cfRule>
  </conditionalFormatting>
  <conditionalFormatting sqref="$G$21">
    <cfRule type="containsText" dxfId="2165" priority="1">
      <formula>NOT(ISERROR(SEARCH("Yes",G21)))</formula>
    </cfRule>
    <cfRule type="containsText" dxfId="2166" priority="2">
      <formula>NOT(ISERROR(SEARCH("No; explanation in comments",G21)))</formula>
    </cfRule>
  </conditionalFormatting>
  <conditionalFormatting sqref="$J$21">
    <cfRule type="containsText" dxfId="2167" priority="1">
      <formula>NOT(ISERROR(SEARCH("Yes",J21)))</formula>
    </cfRule>
  </conditionalFormatting>
  <conditionalFormatting sqref="$K$21">
    <cfRule type="containsText" dxfId="2168" priority="1">
      <formula>NOT(ISERROR(SEARCH("Mitigated",K21)))</formula>
    </cfRule>
    <cfRule type="containsText" dxfId="2169" priority="2">
      <formula>NOT(ISERROR(SEARCH("Not Mitigated",K21)))</formula>
    </cfRule>
  </conditionalFormatting>
  <conditionalFormatting sqref="$F$22">
    <cfRule type="containsText" dxfId="2170" priority="1">
      <formula>NOT(ISERROR(SEARCH("Yes",F22)))</formula>
    </cfRule>
  </conditionalFormatting>
  <conditionalFormatting sqref="$G$22">
    <cfRule type="containsText" dxfId="2171" priority="1">
      <formula>NOT(ISERROR(SEARCH("Yes",G22)))</formula>
    </cfRule>
    <cfRule type="containsText" dxfId="2172" priority="2">
      <formula>NOT(ISERROR(SEARCH("No; explanation in comments",G22)))</formula>
    </cfRule>
  </conditionalFormatting>
  <conditionalFormatting sqref="$J$22">
    <cfRule type="containsText" dxfId="2173" priority="1">
      <formula>NOT(ISERROR(SEARCH("Yes",J22)))</formula>
    </cfRule>
  </conditionalFormatting>
  <conditionalFormatting sqref="$K$22">
    <cfRule type="containsText" dxfId="2174" priority="1">
      <formula>NOT(ISERROR(SEARCH("Mitigated",K22)))</formula>
    </cfRule>
    <cfRule type="containsText" dxfId="2175" priority="2">
      <formula>NOT(ISERROR(SEARCH("Not Mitigated",K22)))</formula>
    </cfRule>
  </conditionalFormatting>
  <conditionalFormatting sqref="$F$23">
    <cfRule type="containsText" dxfId="2176" priority="1">
      <formula>NOT(ISERROR(SEARCH("Yes",F23)))</formula>
    </cfRule>
  </conditionalFormatting>
  <conditionalFormatting sqref="$G$23">
    <cfRule type="containsText" dxfId="2177" priority="1">
      <formula>NOT(ISERROR(SEARCH("Yes",G23)))</formula>
    </cfRule>
    <cfRule type="containsText" dxfId="2178" priority="2">
      <formula>NOT(ISERROR(SEARCH("No; explanation in comments",G23)))</formula>
    </cfRule>
  </conditionalFormatting>
  <conditionalFormatting sqref="$J$23">
    <cfRule type="containsText" dxfId="2179" priority="1">
      <formula>NOT(ISERROR(SEARCH("Yes",J23)))</formula>
    </cfRule>
  </conditionalFormatting>
  <conditionalFormatting sqref="$K$23">
    <cfRule type="containsText" dxfId="2180" priority="1">
      <formula>NOT(ISERROR(SEARCH("Mitigated",K23)))</formula>
    </cfRule>
    <cfRule type="containsText" dxfId="2181" priority="2">
      <formula>NOT(ISERROR(SEARCH("Not Mitigated",K23)))</formula>
    </cfRule>
  </conditionalFormatting>
  <dataValidations count="4">
    <dataValidation type="list" sqref="G10:G23">
      <formula1>"-,Yes,No; explanation in comments"</formula1>
    </dataValidation>
    <dataValidation type="list" sqref="G2:G23">
      <formula1>"-,Yes,No; explanation in comments"</formula1>
    </dataValidation>
    <dataValidation type="list" sqref="K10:K23">
      <formula1>"Mitigated,Not Mitigated,Not Assessed Yet,N/A"</formula1>
    </dataValidation>
    <dataValidation type="list" sqref="K2:K23">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65" customHeight="1" spans="1:27" s="53" customFormat="1" x14ac:dyDescent="0.25">
      <c r="A2" s="97" t="s">
        <v>87</v>
      </c>
      <c r="B2" s="98" t="s">
        <v>1233</v>
      </c>
      <c r="C2" s="56">
        <f>=IF(CODE_BUILDInUse="Yes","Yes","No")</f>
      </c>
      <c r="D2" s="56" t="s">
        <v>1234</v>
      </c>
      <c r="E2" s="56" t="s">
        <v>1235</v>
      </c>
      <c r="F2" s="56">
        <f>=IF(AND(C2="Yes",G2="-"), "Yes", "No")</f>
      </c>
      <c r="G2" s="56" t="s">
        <v>13</v>
      </c>
      <c r="H2" s="56" t="s">
        <v>5</v>
      </c>
      <c r="I2" s="56" t="s">
        <v>242</v>
      </c>
      <c r="J2" s="56" t="s">
        <v>32</v>
      </c>
      <c r="K2" s="56" t="s">
        <v>230</v>
      </c>
      <c r="L2" s="56" t="s">
        <v>5</v>
      </c>
      <c r="M2" s="56" t="s">
        <v>5</v>
      </c>
      <c r="N2" s="56" t="s">
        <v>5</v>
      </c>
      <c r="O2" s="56" t="s">
        <v>5</v>
      </c>
      <c r="P2" s="56" t="s">
        <v>5</v>
      </c>
      <c r="Q2" s="56" t="s">
        <v>5</v>
      </c>
      <c r="R2" s="56" t="s">
        <v>5</v>
      </c>
      <c r="S2" s="56" t="s">
        <v>5</v>
      </c>
      <c r="T2" s="56" t="s">
        <v>7</v>
      </c>
      <c r="U2" s="56">
        <f>=COUNTIFS(C2:C12,"Yes")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50" customHeight="1" spans="1:27" s="53" customFormat="1" x14ac:dyDescent="0.25">
      <c r="A3" s="97" t="s">
        <v>87</v>
      </c>
      <c r="B3" s="98" t="s">
        <v>1236</v>
      </c>
      <c r="C3" s="56">
        <f>=IF(CODE_BUILDInUse="Yes","Yes","No")</f>
      </c>
      <c r="D3" s="56" t="s">
        <v>1237</v>
      </c>
      <c r="E3" s="56" t="s">
        <v>1238</v>
      </c>
      <c r="F3" s="56">
        <f>=IF(AND(C3="Yes",G3="-"), "Yes", "No")</f>
      </c>
      <c r="G3" s="56" t="s">
        <v>13</v>
      </c>
      <c r="H3" s="56" t="s">
        <v>5</v>
      </c>
      <c r="I3" s="56" t="s">
        <v>242</v>
      </c>
      <c r="J3" s="56" t="s">
        <v>32</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97" t="s">
        <v>87</v>
      </c>
      <c r="B4" s="98" t="s">
        <v>1239</v>
      </c>
      <c r="C4" s="56">
        <f>=IF(CODE_BUILDInUse="Yes","Yes","No")</f>
      </c>
      <c r="D4" s="56" t="s">
        <v>1240</v>
      </c>
      <c r="E4" s="56" t="s">
        <v>1241</v>
      </c>
      <c r="F4" s="56">
        <f>=IF(AND(C4="Yes",G4="-"), "Yes", "No")</f>
      </c>
      <c r="G4" s="56" t="s">
        <v>13</v>
      </c>
      <c r="H4" s="56" t="s">
        <v>5</v>
      </c>
      <c r="I4" s="56" t="s">
        <v>242</v>
      </c>
      <c r="J4" s="56" t="s">
        <v>32</v>
      </c>
      <c r="K4" s="56" t="s">
        <v>230</v>
      </c>
      <c r="L4" s="56" t="s">
        <v>5</v>
      </c>
      <c r="M4" s="56" t="s">
        <v>5</v>
      </c>
      <c r="N4" s="56" t="s">
        <v>5</v>
      </c>
      <c r="O4" s="56" t="s">
        <v>5</v>
      </c>
      <c r="P4" s="56" t="s">
        <v>5</v>
      </c>
      <c r="Q4" s="56" t="s">
        <v>5</v>
      </c>
      <c r="R4" s="56" t="s">
        <v>5</v>
      </c>
      <c r="S4" s="56" t="s">
        <v>5</v>
      </c>
      <c r="T4" s="56" t="s">
        <v>237</v>
      </c>
      <c r="U4" s="56">
        <f>=SUM(W2:W12)</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35" customHeight="1" spans="1:27" s="53" customFormat="1" x14ac:dyDescent="0.25">
      <c r="A5" s="97" t="s">
        <v>87</v>
      </c>
      <c r="B5" s="98" t="s">
        <v>1242</v>
      </c>
      <c r="C5" s="56">
        <f>=IF(CODE_BUILDInUse="Yes","Yes","No")</f>
      </c>
      <c r="D5" s="56" t="s">
        <v>1243</v>
      </c>
      <c r="E5" s="56" t="s">
        <v>1244</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=SUM(X2:X12)</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97" t="s">
        <v>87</v>
      </c>
      <c r="B6" s="98" t="s">
        <v>1245</v>
      </c>
      <c r="C6" s="56">
        <f>=IF(CODE_BUILDInUse="Yes","Yes","No")</f>
      </c>
      <c r="D6" s="56" t="s">
        <v>1246</v>
      </c>
      <c r="E6" s="56" t="s">
        <v>1247</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=SUM(Z2:Z12)</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50" customHeight="1" spans="1:27" s="53" customFormat="1" x14ac:dyDescent="0.25">
      <c r="A7" s="97" t="s">
        <v>87</v>
      </c>
      <c r="B7" s="98" t="s">
        <v>1248</v>
      </c>
      <c r="C7" s="56">
        <f>=IF(CODE_BUILDInUse="Yes","Yes","No")</f>
      </c>
      <c r="D7" s="56" t="s">
        <v>1249</v>
      </c>
      <c r="E7" s="56" t="s">
        <v>1250</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=SUM(AA2:AA12)</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35" customHeight="1" spans="1:27" s="53" customFormat="1" x14ac:dyDescent="0.25">
      <c r="A8" s="99" t="s">
        <v>91</v>
      </c>
      <c r="B8" s="100" t="s">
        <v>1251</v>
      </c>
      <c r="C8" s="56">
        <f>=IF(CODE_COMMITInUse="Yes","Yes","No")</f>
      </c>
      <c r="D8" s="56" t="s">
        <v>1252</v>
      </c>
      <c r="E8" s="56" t="s">
        <v>1253</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35" customHeight="1" spans="1:27" s="53" customFormat="1" x14ac:dyDescent="0.25">
      <c r="A9" s="97" t="s">
        <v>95</v>
      </c>
      <c r="B9" s="98" t="s">
        <v>1254</v>
      </c>
      <c r="C9" s="56">
        <f>=IF(CODE_DEPLOYInUse="Yes","Yes","No")</f>
      </c>
      <c r="D9" s="56" t="s">
        <v>1255</v>
      </c>
      <c r="E9" s="56" t="s">
        <v>1256</v>
      </c>
      <c r="F9" s="56">
        <f>=IF(AND(C9="Yes",G9="-"), "Yes", "No")</f>
      </c>
      <c r="G9" s="56" t="s">
        <v>13</v>
      </c>
      <c r="H9" s="56" t="s">
        <v>5</v>
      </c>
      <c r="I9" s="56" t="s">
        <v>242</v>
      </c>
      <c r="J9" s="56" t="s">
        <v>32</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35" customHeight="1" spans="1:27" s="53" customFormat="1" x14ac:dyDescent="0.25">
      <c r="A10" s="99" t="s">
        <v>98</v>
      </c>
      <c r="B10" s="100" t="s">
        <v>1257</v>
      </c>
      <c r="C10" s="56">
        <f>=IF(CODE_PIPELINEInUse="Yes","Yes","No")</f>
      </c>
      <c r="D10" s="56" t="s">
        <v>1258</v>
      </c>
      <c r="E10" s="56" t="s">
        <v>1259</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99" t="s">
        <v>98</v>
      </c>
      <c r="B11" s="100" t="s">
        <v>1260</v>
      </c>
      <c r="C11" s="56">
        <f>=IF(CODE_PIPELINEInUse="Yes","Yes","No")</f>
      </c>
      <c r="D11" s="56" t="s">
        <v>1261</v>
      </c>
      <c r="E11" s="56" t="s">
        <v>1262</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97" t="s">
        <v>100</v>
      </c>
      <c r="B12" s="98" t="s">
        <v>1263</v>
      </c>
      <c r="C12" s="56">
        <f>=IF(CODE_WHISPERERInUse="Yes","Yes","No")</f>
      </c>
      <c r="D12" s="56" t="s">
        <v>1264</v>
      </c>
      <c r="E12" s="56" t="s">
        <v>1265</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sheetData>
  <autoFilter ref="A1:L1"/>
  <conditionalFormatting sqref="$F$2">
    <cfRule type="containsText" dxfId="2182" priority="1">
      <formula>NOT(ISERROR(SEARCH("Yes",F2)))</formula>
    </cfRule>
  </conditionalFormatting>
  <conditionalFormatting sqref="$G$2">
    <cfRule type="containsText" dxfId="2183" priority="1">
      <formula>NOT(ISERROR(SEARCH("Yes",G2)))</formula>
    </cfRule>
    <cfRule type="containsText" dxfId="2184" priority="2">
      <formula>NOT(ISERROR(SEARCH("No; explanation in comments",G2)))</formula>
    </cfRule>
  </conditionalFormatting>
  <conditionalFormatting sqref="$J$2">
    <cfRule type="containsText" dxfId="2185" priority="1">
      <formula>NOT(ISERROR(SEARCH("Yes",J2)))</formula>
    </cfRule>
  </conditionalFormatting>
  <conditionalFormatting sqref="$K$2">
    <cfRule type="containsText" dxfId="2186" priority="1">
      <formula>NOT(ISERROR(SEARCH("Mitigated",K2)))</formula>
    </cfRule>
    <cfRule type="containsText" dxfId="2187" priority="2">
      <formula>NOT(ISERROR(SEARCH("Not Mitigated",K2)))</formula>
    </cfRule>
  </conditionalFormatting>
  <conditionalFormatting sqref="$F$3">
    <cfRule type="containsText" dxfId="2188" priority="1">
      <formula>NOT(ISERROR(SEARCH("Yes",F3)))</formula>
    </cfRule>
  </conditionalFormatting>
  <conditionalFormatting sqref="$G$3">
    <cfRule type="containsText" dxfId="2189" priority="1">
      <formula>NOT(ISERROR(SEARCH("Yes",G3)))</formula>
    </cfRule>
    <cfRule type="containsText" dxfId="2190" priority="2">
      <formula>NOT(ISERROR(SEARCH("No; explanation in comments",G3)))</formula>
    </cfRule>
  </conditionalFormatting>
  <conditionalFormatting sqref="$J$3">
    <cfRule type="containsText" dxfId="2191" priority="1">
      <formula>NOT(ISERROR(SEARCH("Yes",J3)))</formula>
    </cfRule>
  </conditionalFormatting>
  <conditionalFormatting sqref="$K$3">
    <cfRule type="containsText" dxfId="2192" priority="1">
      <formula>NOT(ISERROR(SEARCH("Mitigated",K3)))</formula>
    </cfRule>
    <cfRule type="containsText" dxfId="2193" priority="2">
      <formula>NOT(ISERROR(SEARCH("Not Mitigated",K3)))</formula>
    </cfRule>
  </conditionalFormatting>
  <conditionalFormatting sqref="$F$4">
    <cfRule type="containsText" dxfId="2194" priority="1">
      <formula>NOT(ISERROR(SEARCH("Yes",F4)))</formula>
    </cfRule>
  </conditionalFormatting>
  <conditionalFormatting sqref="$G$4">
    <cfRule type="containsText" dxfId="2195" priority="1">
      <formula>NOT(ISERROR(SEARCH("Yes",G4)))</formula>
    </cfRule>
    <cfRule type="containsText" dxfId="2196" priority="2">
      <formula>NOT(ISERROR(SEARCH("No; explanation in comments",G4)))</formula>
    </cfRule>
  </conditionalFormatting>
  <conditionalFormatting sqref="$J$4">
    <cfRule type="containsText" dxfId="2197" priority="1">
      <formula>NOT(ISERROR(SEARCH("Yes",J4)))</formula>
    </cfRule>
  </conditionalFormatting>
  <conditionalFormatting sqref="$K$4">
    <cfRule type="containsText" dxfId="2198" priority="1">
      <formula>NOT(ISERROR(SEARCH("Mitigated",K4)))</formula>
    </cfRule>
    <cfRule type="containsText" dxfId="2199" priority="2">
      <formula>NOT(ISERROR(SEARCH("Not Mitigated",K4)))</formula>
    </cfRule>
  </conditionalFormatting>
  <conditionalFormatting sqref="$F$5">
    <cfRule type="containsText" dxfId="2200" priority="1">
      <formula>NOT(ISERROR(SEARCH("Yes",F5)))</formula>
    </cfRule>
  </conditionalFormatting>
  <conditionalFormatting sqref="$G$5">
    <cfRule type="containsText" dxfId="2201" priority="1">
      <formula>NOT(ISERROR(SEARCH("Yes",G5)))</formula>
    </cfRule>
    <cfRule type="containsText" dxfId="2202" priority="2">
      <formula>NOT(ISERROR(SEARCH("No; explanation in comments",G5)))</formula>
    </cfRule>
  </conditionalFormatting>
  <conditionalFormatting sqref="$J$5">
    <cfRule type="containsText" dxfId="2203" priority="1">
      <formula>NOT(ISERROR(SEARCH("Yes",J5)))</formula>
    </cfRule>
  </conditionalFormatting>
  <conditionalFormatting sqref="$K$5">
    <cfRule type="containsText" dxfId="2204" priority="1">
      <formula>NOT(ISERROR(SEARCH("Mitigated",K5)))</formula>
    </cfRule>
    <cfRule type="containsText" dxfId="2205" priority="2">
      <formula>NOT(ISERROR(SEARCH("Not Mitigated",K5)))</formula>
    </cfRule>
  </conditionalFormatting>
  <conditionalFormatting sqref="$F$6">
    <cfRule type="containsText" dxfId="2206" priority="1">
      <formula>NOT(ISERROR(SEARCH("Yes",F6)))</formula>
    </cfRule>
  </conditionalFormatting>
  <conditionalFormatting sqref="$G$6">
    <cfRule type="containsText" dxfId="2207" priority="1">
      <formula>NOT(ISERROR(SEARCH("Yes",G6)))</formula>
    </cfRule>
    <cfRule type="containsText" dxfId="2208" priority="2">
      <formula>NOT(ISERROR(SEARCH("No; explanation in comments",G6)))</formula>
    </cfRule>
  </conditionalFormatting>
  <conditionalFormatting sqref="$J$6">
    <cfRule type="containsText" dxfId="2209" priority="1">
      <formula>NOT(ISERROR(SEARCH("Yes",J6)))</formula>
    </cfRule>
  </conditionalFormatting>
  <conditionalFormatting sqref="$K$6">
    <cfRule type="containsText" dxfId="2210" priority="1">
      <formula>NOT(ISERROR(SEARCH("Mitigated",K6)))</formula>
    </cfRule>
    <cfRule type="containsText" dxfId="2211" priority="2">
      <formula>NOT(ISERROR(SEARCH("Not Mitigated",K6)))</formula>
    </cfRule>
  </conditionalFormatting>
  <conditionalFormatting sqref="$F$7">
    <cfRule type="containsText" dxfId="2212" priority="1">
      <formula>NOT(ISERROR(SEARCH("Yes",F7)))</formula>
    </cfRule>
  </conditionalFormatting>
  <conditionalFormatting sqref="$G$7">
    <cfRule type="containsText" dxfId="2213" priority="1">
      <formula>NOT(ISERROR(SEARCH("Yes",G7)))</formula>
    </cfRule>
    <cfRule type="containsText" dxfId="2214" priority="2">
      <formula>NOT(ISERROR(SEARCH("No; explanation in comments",G7)))</formula>
    </cfRule>
  </conditionalFormatting>
  <conditionalFormatting sqref="$J$7">
    <cfRule type="containsText" dxfId="2215" priority="1">
      <formula>NOT(ISERROR(SEARCH("Yes",J7)))</formula>
    </cfRule>
  </conditionalFormatting>
  <conditionalFormatting sqref="$K$7">
    <cfRule type="containsText" dxfId="2216" priority="1">
      <formula>NOT(ISERROR(SEARCH("Mitigated",K7)))</formula>
    </cfRule>
    <cfRule type="containsText" dxfId="2217" priority="2">
      <formula>NOT(ISERROR(SEARCH("Not Mitigated",K7)))</formula>
    </cfRule>
  </conditionalFormatting>
  <conditionalFormatting sqref="$F$8">
    <cfRule type="containsText" dxfId="2218" priority="1">
      <formula>NOT(ISERROR(SEARCH("Yes",F8)))</formula>
    </cfRule>
  </conditionalFormatting>
  <conditionalFormatting sqref="$G$8">
    <cfRule type="containsText" dxfId="2219" priority="1">
      <formula>NOT(ISERROR(SEARCH("Yes",G8)))</formula>
    </cfRule>
    <cfRule type="containsText" dxfId="2220" priority="2">
      <formula>NOT(ISERROR(SEARCH("No; explanation in comments",G8)))</formula>
    </cfRule>
  </conditionalFormatting>
  <conditionalFormatting sqref="$J$8">
    <cfRule type="containsText" dxfId="2221" priority="1">
      <formula>NOT(ISERROR(SEARCH("Yes",J8)))</formula>
    </cfRule>
  </conditionalFormatting>
  <conditionalFormatting sqref="$K$8">
    <cfRule type="containsText" dxfId="2222" priority="1">
      <formula>NOT(ISERROR(SEARCH("Mitigated",K8)))</formula>
    </cfRule>
    <cfRule type="containsText" dxfId="2223" priority="2">
      <formula>NOT(ISERROR(SEARCH("Not Mitigated",K8)))</formula>
    </cfRule>
  </conditionalFormatting>
  <conditionalFormatting sqref="$F$9">
    <cfRule type="containsText" dxfId="2224" priority="1">
      <formula>NOT(ISERROR(SEARCH("Yes",F9)))</formula>
    </cfRule>
  </conditionalFormatting>
  <conditionalFormatting sqref="$G$9">
    <cfRule type="containsText" dxfId="2225" priority="1">
      <formula>NOT(ISERROR(SEARCH("Yes",G9)))</formula>
    </cfRule>
    <cfRule type="containsText" dxfId="2226" priority="2">
      <formula>NOT(ISERROR(SEARCH("No; explanation in comments",G9)))</formula>
    </cfRule>
  </conditionalFormatting>
  <conditionalFormatting sqref="$J$9">
    <cfRule type="containsText" dxfId="2227" priority="1">
      <formula>NOT(ISERROR(SEARCH("Yes",J9)))</formula>
    </cfRule>
  </conditionalFormatting>
  <conditionalFormatting sqref="$K$9">
    <cfRule type="containsText" dxfId="2228" priority="1">
      <formula>NOT(ISERROR(SEARCH("Mitigated",K9)))</formula>
    </cfRule>
    <cfRule type="containsText" dxfId="2229" priority="2">
      <formula>NOT(ISERROR(SEARCH("Not Mitigated",K9)))</formula>
    </cfRule>
  </conditionalFormatting>
  <conditionalFormatting sqref="$F$10">
    <cfRule type="containsText" dxfId="2230" priority="1">
      <formula>NOT(ISERROR(SEARCH("Yes",F10)))</formula>
    </cfRule>
  </conditionalFormatting>
  <conditionalFormatting sqref="$G$10">
    <cfRule type="containsText" dxfId="2231" priority="1">
      <formula>NOT(ISERROR(SEARCH("Yes",G10)))</formula>
    </cfRule>
    <cfRule type="containsText" dxfId="2232" priority="2">
      <formula>NOT(ISERROR(SEARCH("No; explanation in comments",G10)))</formula>
    </cfRule>
  </conditionalFormatting>
  <conditionalFormatting sqref="$J$10">
    <cfRule type="containsText" dxfId="2233" priority="1">
      <formula>NOT(ISERROR(SEARCH("Yes",J10)))</formula>
    </cfRule>
  </conditionalFormatting>
  <conditionalFormatting sqref="$K$10">
    <cfRule type="containsText" dxfId="2234" priority="1">
      <formula>NOT(ISERROR(SEARCH("Mitigated",K10)))</formula>
    </cfRule>
    <cfRule type="containsText" dxfId="2235" priority="2">
      <formula>NOT(ISERROR(SEARCH("Not Mitigated",K10)))</formula>
    </cfRule>
  </conditionalFormatting>
  <conditionalFormatting sqref="$F$11">
    <cfRule type="containsText" dxfId="2236" priority="1">
      <formula>NOT(ISERROR(SEARCH("Yes",F11)))</formula>
    </cfRule>
  </conditionalFormatting>
  <conditionalFormatting sqref="$G$11">
    <cfRule type="containsText" dxfId="2237" priority="1">
      <formula>NOT(ISERROR(SEARCH("Yes",G11)))</formula>
    </cfRule>
    <cfRule type="containsText" dxfId="2238" priority="2">
      <formula>NOT(ISERROR(SEARCH("No; explanation in comments",G11)))</formula>
    </cfRule>
  </conditionalFormatting>
  <conditionalFormatting sqref="$J$11">
    <cfRule type="containsText" dxfId="2239" priority="1">
      <formula>NOT(ISERROR(SEARCH("Yes",J11)))</formula>
    </cfRule>
  </conditionalFormatting>
  <conditionalFormatting sqref="$K$11">
    <cfRule type="containsText" dxfId="2240" priority="1">
      <formula>NOT(ISERROR(SEARCH("Mitigated",K11)))</formula>
    </cfRule>
    <cfRule type="containsText" dxfId="2241" priority="2">
      <formula>NOT(ISERROR(SEARCH("Not Mitigated",K11)))</formula>
    </cfRule>
  </conditionalFormatting>
  <conditionalFormatting sqref="$F$12">
    <cfRule type="containsText" dxfId="2242" priority="1">
      <formula>NOT(ISERROR(SEARCH("Yes",F12)))</formula>
    </cfRule>
  </conditionalFormatting>
  <conditionalFormatting sqref="$G$12">
    <cfRule type="containsText" dxfId="2243" priority="1">
      <formula>NOT(ISERROR(SEARCH("Yes",G12)))</formula>
    </cfRule>
    <cfRule type="containsText" dxfId="2244" priority="2">
      <formula>NOT(ISERROR(SEARCH("No; explanation in comments",G12)))</formula>
    </cfRule>
  </conditionalFormatting>
  <conditionalFormatting sqref="$J$12">
    <cfRule type="containsText" dxfId="2245" priority="1">
      <formula>NOT(ISERROR(SEARCH("Yes",J12)))</formula>
    </cfRule>
  </conditionalFormatting>
  <conditionalFormatting sqref="$K$12">
    <cfRule type="containsText" dxfId="2246" priority="1">
      <formula>NOT(ISERROR(SEARCH("Mitigated",K12)))</formula>
    </cfRule>
    <cfRule type="containsText" dxfId="2247" priority="2">
      <formula>NOT(ISERROR(SEARCH("Not Mitigated",K12)))</formula>
    </cfRule>
  </conditionalFormatting>
  <dataValidations count="4">
    <dataValidation type="list" sqref="G10:G12">
      <formula1>"-,Yes,No; explanation in comments"</formula1>
    </dataValidation>
    <dataValidation type="list" sqref="G2:G12">
      <formula1>"-,Yes,No; explanation in comments"</formula1>
    </dataValidation>
    <dataValidation type="list" sqref="K10:K12">
      <formula1>"Mitigated,Not Mitigated,Not Assessed Yet,N/A"</formula1>
    </dataValidation>
    <dataValidation type="list" sqref="K2:K12">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80" customHeight="1" spans="1:27" s="53" customFormat="1" x14ac:dyDescent="0.25">
      <c r="A2" s="61" t="s">
        <v>41</v>
      </c>
      <c r="B2" s="62" t="s">
        <v>1266</v>
      </c>
      <c r="C2" s="56">
        <f>=IF(IOT_COREInUse="Yes","Yes","No")</f>
      </c>
      <c r="D2" s="56" t="s">
        <v>1267</v>
      </c>
      <c r="E2" s="56" t="s">
        <v>1268</v>
      </c>
      <c r="F2" s="56">
        <f>=IF(AND(C2="Yes",G2="-"), "Yes", "No")</f>
      </c>
      <c r="G2" s="56" t="s">
        <v>13</v>
      </c>
      <c r="H2" s="56" t="s">
        <v>5</v>
      </c>
      <c r="I2" s="56" t="s">
        <v>242</v>
      </c>
      <c r="J2" s="56" t="s">
        <v>32</v>
      </c>
      <c r="K2" s="56" t="s">
        <v>230</v>
      </c>
      <c r="L2" s="56" t="s">
        <v>5</v>
      </c>
      <c r="M2" s="56" t="s">
        <v>5</v>
      </c>
      <c r="N2" s="56" t="s">
        <v>5</v>
      </c>
      <c r="O2" s="56" t="s">
        <v>5</v>
      </c>
      <c r="P2" s="56" t="s">
        <v>5</v>
      </c>
      <c r="Q2" s="56" t="s">
        <v>5</v>
      </c>
      <c r="R2" s="56" t="s">
        <v>5</v>
      </c>
      <c r="S2" s="56" t="s">
        <v>5</v>
      </c>
      <c r="T2" s="56" t="s">
        <v>7</v>
      </c>
      <c r="U2" s="56">
        <f>=COUNTIFS(C2:C30,"Yes")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80" customHeight="1" spans="1:27" s="53" customFormat="1" x14ac:dyDescent="0.25">
      <c r="A3" s="61" t="s">
        <v>41</v>
      </c>
      <c r="B3" s="62" t="s">
        <v>1269</v>
      </c>
      <c r="C3" s="56">
        <f>=IF(IOT_COREInUse="Yes","Yes","No")</f>
      </c>
      <c r="D3" s="56" t="s">
        <v>1270</v>
      </c>
      <c r="E3" s="56" t="s">
        <v>1271</v>
      </c>
      <c r="F3" s="56">
        <f>=IF(AND(C3="Yes",G3="-"), "Yes", "No")</f>
      </c>
      <c r="G3" s="56" t="s">
        <v>13</v>
      </c>
      <c r="H3" s="56" t="s">
        <v>5</v>
      </c>
      <c r="I3" s="56" t="s">
        <v>242</v>
      </c>
      <c r="J3" s="56" t="s">
        <v>32</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65" customHeight="1" spans="1:27" s="53" customFormat="1" x14ac:dyDescent="0.25">
      <c r="A4" s="61" t="s">
        <v>41</v>
      </c>
      <c r="B4" s="62" t="s">
        <v>1272</v>
      </c>
      <c r="C4" s="56">
        <f>=IF(IOT_COREInUse="Yes","Yes","No")</f>
      </c>
      <c r="D4" s="56" t="s">
        <v>1273</v>
      </c>
      <c r="E4" s="56" t="s">
        <v>1274</v>
      </c>
      <c r="F4" s="56">
        <f>=IF(AND(C4="Yes",G4="-"), "Yes", "No")</f>
      </c>
      <c r="G4" s="56" t="s">
        <v>13</v>
      </c>
      <c r="H4" s="56" t="s">
        <v>5</v>
      </c>
      <c r="I4" s="56" t="s">
        <v>242</v>
      </c>
      <c r="J4" s="56" t="s">
        <v>32</v>
      </c>
      <c r="K4" s="56" t="s">
        <v>230</v>
      </c>
      <c r="L4" s="56" t="s">
        <v>5</v>
      </c>
      <c r="M4" s="56" t="s">
        <v>5</v>
      </c>
      <c r="N4" s="56" t="s">
        <v>5</v>
      </c>
      <c r="O4" s="56" t="s">
        <v>5</v>
      </c>
      <c r="P4" s="56" t="s">
        <v>5</v>
      </c>
      <c r="Q4" s="56" t="s">
        <v>5</v>
      </c>
      <c r="R4" s="56" t="s">
        <v>5</v>
      </c>
      <c r="S4" s="56" t="s">
        <v>5</v>
      </c>
      <c r="T4" s="56" t="s">
        <v>237</v>
      </c>
      <c r="U4" s="56">
        <f>=SUM(W2:W30)</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35" customHeight="1" spans="1:27" s="53" customFormat="1" x14ac:dyDescent="0.25">
      <c r="A5" s="61" t="s">
        <v>41</v>
      </c>
      <c r="B5" s="62" t="s">
        <v>1275</v>
      </c>
      <c r="C5" s="56">
        <f>=IF(IOT_COREInUse="Yes","Yes","No")</f>
      </c>
      <c r="D5" s="56" t="s">
        <v>1276</v>
      </c>
      <c r="E5" s="56" t="s">
        <v>1277</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=SUM(X2:X30)</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140" customHeight="1" spans="1:27" s="53" customFormat="1" x14ac:dyDescent="0.25">
      <c r="A6" s="61" t="s">
        <v>41</v>
      </c>
      <c r="B6" s="62" t="s">
        <v>1278</v>
      </c>
      <c r="C6" s="56">
        <f>=IF(IOT_COREInUse="Yes","Yes","No")</f>
      </c>
      <c r="D6" s="56" t="s">
        <v>1279</v>
      </c>
      <c r="E6" s="56" t="s">
        <v>1280</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=SUM(Z2:Z30)</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35" customHeight="1" spans="1:27" s="53" customFormat="1" x14ac:dyDescent="0.25">
      <c r="A7" s="61" t="s">
        <v>41</v>
      </c>
      <c r="B7" s="62" t="s">
        <v>1281</v>
      </c>
      <c r="C7" s="56">
        <f>=IF(IOT_COREInUse="Yes","Yes","No")</f>
      </c>
      <c r="D7" s="56" t="s">
        <v>1282</v>
      </c>
      <c r="E7" s="56" t="s">
        <v>1283</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=SUM(AA2:AA30)</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95" customHeight="1" spans="1:27" s="53" customFormat="1" x14ac:dyDescent="0.25">
      <c r="A8" s="61" t="s">
        <v>41</v>
      </c>
      <c r="B8" s="62" t="s">
        <v>1284</v>
      </c>
      <c r="C8" s="56">
        <f>=IF(IOT_COREInUse="Yes","Yes","No")</f>
      </c>
      <c r="D8" s="56" t="s">
        <v>1285</v>
      </c>
      <c r="E8" s="56" t="s">
        <v>1286</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200" customHeight="1" spans="1:27" s="53" customFormat="1" x14ac:dyDescent="0.25">
      <c r="A9" s="61" t="s">
        <v>41</v>
      </c>
      <c r="B9" s="62" t="s">
        <v>1287</v>
      </c>
      <c r="C9" s="56">
        <f>=IF(IOT_COREInUse="Yes","Yes","No")</f>
      </c>
      <c r="D9" s="56" t="s">
        <v>1288</v>
      </c>
      <c r="E9" s="56" t="s">
        <v>1289</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95" customHeight="1" spans="1:27" s="53" customFormat="1" x14ac:dyDescent="0.25">
      <c r="A10" s="61" t="s">
        <v>41</v>
      </c>
      <c r="B10" s="62" t="s">
        <v>1290</v>
      </c>
      <c r="C10" s="56">
        <f>=IF(IOT_COREInUse="Yes","Yes","No")</f>
      </c>
      <c r="D10" s="56" t="s">
        <v>1291</v>
      </c>
      <c r="E10" s="56" t="s">
        <v>1292</v>
      </c>
      <c r="F10" s="56">
        <f>=IF(AND(C10="Yes",G10="-"), "Yes", "No")</f>
      </c>
      <c r="G10" s="56" t="s">
        <v>13</v>
      </c>
      <c r="H10" s="56" t="s">
        <v>5</v>
      </c>
      <c r="I10" s="56" t="s">
        <v>242</v>
      </c>
      <c r="J10" s="56" t="s">
        <v>32</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61" t="s">
        <v>41</v>
      </c>
      <c r="B11" s="62" t="s">
        <v>1293</v>
      </c>
      <c r="C11" s="56">
        <f>=IF(IOT_COREInUse="Yes","Yes","No")</f>
      </c>
      <c r="D11" s="56" t="s">
        <v>1294</v>
      </c>
      <c r="E11" s="56" t="s">
        <v>1295</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61" t="s">
        <v>41</v>
      </c>
      <c r="B12" s="62" t="s">
        <v>1296</v>
      </c>
      <c r="C12" s="56">
        <f>=IF(IOT_COREInUse="Yes","Yes","No")</f>
      </c>
      <c r="D12" s="56" t="s">
        <v>1297</v>
      </c>
      <c r="E12" s="56" t="s">
        <v>1298</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20" customHeight="1" spans="1:27" s="53" customFormat="1" x14ac:dyDescent="0.25">
      <c r="A13" s="61" t="s">
        <v>41</v>
      </c>
      <c r="B13" s="62" t="s">
        <v>1299</v>
      </c>
      <c r="C13" s="56">
        <f>=IF(IOT_COREInUse="Yes","Yes","No")</f>
      </c>
      <c r="D13" s="56" t="s">
        <v>1300</v>
      </c>
      <c r="E13" s="56" t="s">
        <v>1301</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35" customHeight="1" spans="1:27" s="53" customFormat="1" x14ac:dyDescent="0.25">
      <c r="A14" s="61" t="s">
        <v>41</v>
      </c>
      <c r="B14" s="62" t="s">
        <v>1302</v>
      </c>
      <c r="C14" s="56">
        <f>=IF(IOT_COREInUse="Yes","Yes","No")</f>
      </c>
      <c r="D14" s="56" t="s">
        <v>1303</v>
      </c>
      <c r="E14" s="56" t="s">
        <v>1304</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61" t="s">
        <v>41</v>
      </c>
      <c r="B15" s="62" t="s">
        <v>1305</v>
      </c>
      <c r="C15" s="56">
        <f>=IF(IOT_COREInUse="Yes","Yes","No")</f>
      </c>
      <c r="D15" s="56" t="s">
        <v>1306</v>
      </c>
      <c r="E15" s="56" t="s">
        <v>1307</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50" customHeight="1" spans="1:27" s="53" customFormat="1" x14ac:dyDescent="0.25">
      <c r="A16" s="61" t="s">
        <v>41</v>
      </c>
      <c r="B16" s="62" t="s">
        <v>1308</v>
      </c>
      <c r="C16" s="56">
        <f>=IF(IOT_COREInUse="Yes","Yes","No")</f>
      </c>
      <c r="D16" s="56" t="s">
        <v>1309</v>
      </c>
      <c r="E16" s="56" t="s">
        <v>1310</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35" customHeight="1" spans="1:27" s="53" customFormat="1" x14ac:dyDescent="0.25">
      <c r="A17" s="61" t="s">
        <v>41</v>
      </c>
      <c r="B17" s="62" t="s">
        <v>1311</v>
      </c>
      <c r="C17" s="56">
        <f>=IF(IOT_COREInUse="Yes","Yes","No")</f>
      </c>
      <c r="D17" s="56" t="s">
        <v>1312</v>
      </c>
      <c r="E17" s="56" t="s">
        <v>1313</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35" customHeight="1" spans="1:27" s="53" customFormat="1" x14ac:dyDescent="0.25">
      <c r="A18" s="61" t="s">
        <v>41</v>
      </c>
      <c r="B18" s="62" t="s">
        <v>1314</v>
      </c>
      <c r="C18" s="56">
        <f>=IF(IOT_COREInUse="Yes","Yes","No")</f>
      </c>
      <c r="D18" s="56" t="s">
        <v>1315</v>
      </c>
      <c r="E18" s="56" t="s">
        <v>1316</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95" customHeight="1" spans="1:27" s="53" customFormat="1" x14ac:dyDescent="0.25">
      <c r="A19" s="61" t="s">
        <v>41</v>
      </c>
      <c r="B19" s="62" t="s">
        <v>1317</v>
      </c>
      <c r="C19" s="56">
        <f>=IF(IOT_COREInUse="Yes","Yes","No")</f>
      </c>
      <c r="D19" s="56" t="s">
        <v>1318</v>
      </c>
      <c r="E19" s="56" t="s">
        <v>1319</v>
      </c>
      <c r="F19" s="56">
        <f>=IF(AND(C19="Yes",G19="-"), "Yes", "No")</f>
      </c>
      <c r="G19" s="56" t="s">
        <v>13</v>
      </c>
      <c r="H19" s="56" t="s">
        <v>5</v>
      </c>
      <c r="I19" s="56" t="s">
        <v>229</v>
      </c>
      <c r="J19" s="56" t="s">
        <v>226</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65" customHeight="1" spans="1:27" s="53" customFormat="1" x14ac:dyDescent="0.25">
      <c r="A20" s="61" t="s">
        <v>41</v>
      </c>
      <c r="B20" s="62" t="s">
        <v>1320</v>
      </c>
      <c r="C20" s="56">
        <f>=IF(IOT_COREInUse="Yes","Yes","No")</f>
      </c>
      <c r="D20" s="56" t="s">
        <v>1321</v>
      </c>
      <c r="E20" s="56" t="s">
        <v>1322</v>
      </c>
      <c r="F20" s="56">
        <f>=IF(AND(C20="Yes",G20="-"), "Yes", "No")</f>
      </c>
      <c r="G20" s="56" t="s">
        <v>13</v>
      </c>
      <c r="H20" s="56" t="s">
        <v>5</v>
      </c>
      <c r="I20" s="56" t="s">
        <v>242</v>
      </c>
      <c r="J20" s="56" t="s">
        <v>32</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95" customHeight="1" spans="1:27" s="53" customFormat="1" x14ac:dyDescent="0.25">
      <c r="A21" s="61" t="s">
        <v>41</v>
      </c>
      <c r="B21" s="62" t="s">
        <v>1323</v>
      </c>
      <c r="C21" s="56">
        <f>=IF(IOT_COREInUse="Yes","Yes","No")</f>
      </c>
      <c r="D21" s="56" t="s">
        <v>1324</v>
      </c>
      <c r="E21" s="56" t="s">
        <v>1325</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35" customHeight="1" spans="1:27" s="53" customFormat="1" x14ac:dyDescent="0.25">
      <c r="A22" s="61" t="s">
        <v>41</v>
      </c>
      <c r="B22" s="62" t="s">
        <v>1326</v>
      </c>
      <c r="C22" s="56">
        <f>=IF(IOT_COREInUse="Yes","Yes","No")</f>
      </c>
      <c r="D22" s="56" t="s">
        <v>1327</v>
      </c>
      <c r="E22" s="56" t="s">
        <v>1328</v>
      </c>
      <c r="F22" s="56">
        <f>=IF(AND(C22="Yes",G22="-"), "Yes", "No")</f>
      </c>
      <c r="G22" s="56" t="s">
        <v>13</v>
      </c>
      <c r="H22" s="56" t="s">
        <v>5</v>
      </c>
      <c r="I22" s="56" t="s">
        <v>242</v>
      </c>
      <c r="J22" s="56" t="s">
        <v>32</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61" t="s">
        <v>41</v>
      </c>
      <c r="B23" s="62" t="s">
        <v>1329</v>
      </c>
      <c r="C23" s="56">
        <f>=IF(IOT_COREInUse="Yes","Yes","No")</f>
      </c>
      <c r="D23" s="56" t="s">
        <v>1330</v>
      </c>
      <c r="E23" s="56" t="s">
        <v>1331</v>
      </c>
      <c r="F23" s="56">
        <f>=IF(AND(C23="Yes",G23="-"), "Yes", "No")</f>
      </c>
      <c r="G23" s="56" t="s">
        <v>13</v>
      </c>
      <c r="H23" s="56" t="s">
        <v>5</v>
      </c>
      <c r="I23" s="56" t="s">
        <v>242</v>
      </c>
      <c r="J23" s="56" t="s">
        <v>32</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row r="24" ht="35" customHeight="1" spans="1:27" s="53" customFormat="1" x14ac:dyDescent="0.25">
      <c r="A24" s="61" t="s">
        <v>41</v>
      </c>
      <c r="B24" s="62" t="s">
        <v>1332</v>
      </c>
      <c r="C24" s="56">
        <f>=IF(IOT_COREInUse="Yes","Yes","No")</f>
      </c>
      <c r="D24" s="56" t="s">
        <v>1333</v>
      </c>
      <c r="E24" s="56" t="s">
        <v>1334</v>
      </c>
      <c r="F24" s="56">
        <f>=IF(AND(C24="Yes",G24="-"), "Yes", "No")</f>
      </c>
      <c r="G24" s="56" t="s">
        <v>13</v>
      </c>
      <c r="H24" s="56" t="s">
        <v>5</v>
      </c>
      <c r="I24" s="56" t="s">
        <v>242</v>
      </c>
      <c r="J24" s="56" t="s">
        <v>32</v>
      </c>
      <c r="K24" s="56" t="s">
        <v>230</v>
      </c>
      <c r="L24" s="56" t="s">
        <v>5</v>
      </c>
      <c r="M24" s="56" t="s">
        <v>5</v>
      </c>
      <c r="N24" s="56" t="s">
        <v>5</v>
      </c>
      <c r="O24" s="56" t="s">
        <v>5</v>
      </c>
      <c r="P24" s="56" t="s">
        <v>5</v>
      </c>
      <c r="Q24" s="56" t="s">
        <v>5</v>
      </c>
      <c r="R24" s="56" t="s">
        <v>5</v>
      </c>
      <c r="S24" s="56" t="s">
        <v>5</v>
      </c>
      <c r="T24" s="56" t="s">
        <v>5</v>
      </c>
      <c r="U24" s="56" t="s">
        <v>5</v>
      </c>
      <c r="V24" s="56">
        <f>=IF(AND(C24="Yes",G24="-"), 1, 0)</f>
      </c>
      <c r="W24" s="56">
        <f>=IF(AND(C24="Yes",G24="Yes"), 1, 0)</f>
      </c>
      <c r="X24" s="56">
        <f>=IF(AND(C24="Yes",G24="No; explanation in comments"), 1, 0)</f>
      </c>
      <c r="Y24" s="56">
        <f>=IF(AND(C24="Yes",K24="Not Assessed Yet"), 1, 0)</f>
      </c>
      <c r="Z24" s="56">
        <f>=IF(AND(C24="Yes",AND(G24&lt;&gt;"-",K24="Mitigated")), 1, 0)</f>
      </c>
      <c r="AA24" s="56">
        <f>=IF(AND(C24="Yes",AND(G24&lt;&gt;"-",K24="Not Mitigated")), 1, 0)</f>
      </c>
    </row>
    <row r="25" ht="35" customHeight="1" spans="1:27" s="53" customFormat="1" x14ac:dyDescent="0.25">
      <c r="A25" s="61" t="s">
        <v>41</v>
      </c>
      <c r="B25" s="62" t="s">
        <v>1335</v>
      </c>
      <c r="C25" s="56">
        <f>=IF(IOT_COREInUse="Yes","Yes","No")</f>
      </c>
      <c r="D25" s="56" t="s">
        <v>1336</v>
      </c>
      <c r="E25" s="56" t="s">
        <v>1337</v>
      </c>
      <c r="F25" s="56">
        <f>=IF(AND(C25="Yes",G25="-"), "Yes", "No")</f>
      </c>
      <c r="G25" s="56" t="s">
        <v>13</v>
      </c>
      <c r="H25" s="56" t="s">
        <v>5</v>
      </c>
      <c r="I25" s="56" t="s">
        <v>229</v>
      </c>
      <c r="J25" s="56" t="s">
        <v>226</v>
      </c>
      <c r="K25" s="56" t="s">
        <v>230</v>
      </c>
      <c r="L25" s="56" t="s">
        <v>5</v>
      </c>
      <c r="M25" s="56" t="s">
        <v>5</v>
      </c>
      <c r="N25" s="56" t="s">
        <v>5</v>
      </c>
      <c r="O25" s="56" t="s">
        <v>5</v>
      </c>
      <c r="P25" s="56" t="s">
        <v>5</v>
      </c>
      <c r="Q25" s="56" t="s">
        <v>5</v>
      </c>
      <c r="R25" s="56" t="s">
        <v>5</v>
      </c>
      <c r="S25" s="56" t="s">
        <v>5</v>
      </c>
      <c r="T25" s="56" t="s">
        <v>5</v>
      </c>
      <c r="U25" s="56" t="s">
        <v>5</v>
      </c>
      <c r="V25" s="56">
        <f>=IF(AND(C25="Yes",G25="-"), 1, 0)</f>
      </c>
      <c r="W25" s="56">
        <f>=IF(AND(C25="Yes",G25="Yes"), 1, 0)</f>
      </c>
      <c r="X25" s="56">
        <f>=IF(AND(C25="Yes",G25="No; explanation in comments"), 1, 0)</f>
      </c>
      <c r="Y25" s="56">
        <f>=IF(AND(C25="Yes",K25="Not Assessed Yet"), 1, 0)</f>
      </c>
      <c r="Z25" s="56">
        <f>=IF(AND(C25="Yes",AND(G25&lt;&gt;"-",K25="Mitigated")), 1, 0)</f>
      </c>
      <c r="AA25" s="56">
        <f>=IF(AND(C25="Yes",AND(G25&lt;&gt;"-",K25="Not Mitigated")), 1, 0)</f>
      </c>
    </row>
    <row r="26" ht="35" customHeight="1" spans="1:27" s="53" customFormat="1" x14ac:dyDescent="0.25">
      <c r="A26" s="61" t="s">
        <v>41</v>
      </c>
      <c r="B26" s="62" t="s">
        <v>1338</v>
      </c>
      <c r="C26" s="56">
        <f>=IF(IOT_COREInUse="Yes","Yes","No")</f>
      </c>
      <c r="D26" s="56" t="s">
        <v>1339</v>
      </c>
      <c r="E26" s="56" t="s">
        <v>1340</v>
      </c>
      <c r="F26" s="56">
        <f>=IF(AND(C26="Yes",G26="-"), "Yes", "No")</f>
      </c>
      <c r="G26" s="56" t="s">
        <v>13</v>
      </c>
      <c r="H26" s="56" t="s">
        <v>5</v>
      </c>
      <c r="I26" s="56" t="s">
        <v>242</v>
      </c>
      <c r="J26" s="56" t="s">
        <v>32</v>
      </c>
      <c r="K26" s="56" t="s">
        <v>230</v>
      </c>
      <c r="L26" s="56" t="s">
        <v>5</v>
      </c>
      <c r="M26" s="56" t="s">
        <v>5</v>
      </c>
      <c r="N26" s="56" t="s">
        <v>5</v>
      </c>
      <c r="O26" s="56" t="s">
        <v>5</v>
      </c>
      <c r="P26" s="56" t="s">
        <v>5</v>
      </c>
      <c r="Q26" s="56" t="s">
        <v>5</v>
      </c>
      <c r="R26" s="56" t="s">
        <v>5</v>
      </c>
      <c r="S26" s="56" t="s">
        <v>5</v>
      </c>
      <c r="T26" s="56" t="s">
        <v>5</v>
      </c>
      <c r="U26" s="56" t="s">
        <v>5</v>
      </c>
      <c r="V26" s="56">
        <f>=IF(AND(C26="Yes",G26="-"), 1, 0)</f>
      </c>
      <c r="W26" s="56">
        <f>=IF(AND(C26="Yes",G26="Yes"), 1, 0)</f>
      </c>
      <c r="X26" s="56">
        <f>=IF(AND(C26="Yes",G26="No; explanation in comments"), 1, 0)</f>
      </c>
      <c r="Y26" s="56">
        <f>=IF(AND(C26="Yes",K26="Not Assessed Yet"), 1, 0)</f>
      </c>
      <c r="Z26" s="56">
        <f>=IF(AND(C26="Yes",AND(G26&lt;&gt;"-",K26="Mitigated")), 1, 0)</f>
      </c>
      <c r="AA26" s="56">
        <f>=IF(AND(C26="Yes",AND(G26&lt;&gt;"-",K26="Not Mitigated")), 1, 0)</f>
      </c>
    </row>
    <row r="27" ht="50" customHeight="1" spans="1:27" s="53" customFormat="1" x14ac:dyDescent="0.25">
      <c r="A27" s="61" t="s">
        <v>41</v>
      </c>
      <c r="B27" s="62" t="s">
        <v>1341</v>
      </c>
      <c r="C27" s="56">
        <f>=IF(IOT_COREInUse="Yes","Yes","No")</f>
      </c>
      <c r="D27" s="56" t="s">
        <v>1342</v>
      </c>
      <c r="E27" s="56" t="s">
        <v>1343</v>
      </c>
      <c r="F27" s="56">
        <f>=IF(AND(C27="Yes",G27="-"), "Yes", "No")</f>
      </c>
      <c r="G27" s="56" t="s">
        <v>13</v>
      </c>
      <c r="H27" s="56" t="s">
        <v>5</v>
      </c>
      <c r="I27" s="56" t="s">
        <v>229</v>
      </c>
      <c r="J27" s="56" t="s">
        <v>226</v>
      </c>
      <c r="K27" s="56" t="s">
        <v>230</v>
      </c>
      <c r="L27" s="56" t="s">
        <v>5</v>
      </c>
      <c r="M27" s="56" t="s">
        <v>5</v>
      </c>
      <c r="N27" s="56" t="s">
        <v>5</v>
      </c>
      <c r="O27" s="56" t="s">
        <v>5</v>
      </c>
      <c r="P27" s="56" t="s">
        <v>5</v>
      </c>
      <c r="Q27" s="56" t="s">
        <v>5</v>
      </c>
      <c r="R27" s="56" t="s">
        <v>5</v>
      </c>
      <c r="S27" s="56" t="s">
        <v>5</v>
      </c>
      <c r="T27" s="56" t="s">
        <v>5</v>
      </c>
      <c r="U27" s="56" t="s">
        <v>5</v>
      </c>
      <c r="V27" s="56">
        <f>=IF(AND(C27="Yes",G27="-"), 1, 0)</f>
      </c>
      <c r="W27" s="56">
        <f>=IF(AND(C27="Yes",G27="Yes"), 1, 0)</f>
      </c>
      <c r="X27" s="56">
        <f>=IF(AND(C27="Yes",G27="No; explanation in comments"), 1, 0)</f>
      </c>
      <c r="Y27" s="56">
        <f>=IF(AND(C27="Yes",K27="Not Assessed Yet"), 1, 0)</f>
      </c>
      <c r="Z27" s="56">
        <f>=IF(AND(C27="Yes",AND(G27&lt;&gt;"-",K27="Mitigated")), 1, 0)</f>
      </c>
      <c r="AA27" s="56">
        <f>=IF(AND(C27="Yes",AND(G27&lt;&gt;"-",K27="Not Mitigated")), 1, 0)</f>
      </c>
    </row>
    <row r="28" ht="50" customHeight="1" spans="1:27" s="53" customFormat="1" x14ac:dyDescent="0.25">
      <c r="A28" s="61" t="s">
        <v>41</v>
      </c>
      <c r="B28" s="62" t="s">
        <v>1344</v>
      </c>
      <c r="C28" s="56">
        <f>=IF(IOT_COREInUse="Yes","Yes","No")</f>
      </c>
      <c r="D28" s="56" t="s">
        <v>1345</v>
      </c>
      <c r="E28" s="56" t="s">
        <v>1346</v>
      </c>
      <c r="F28" s="56">
        <f>=IF(AND(C28="Yes",G28="-"), "Yes", "No")</f>
      </c>
      <c r="G28" s="56" t="s">
        <v>13</v>
      </c>
      <c r="H28" s="56" t="s">
        <v>5</v>
      </c>
      <c r="I28" s="56" t="s">
        <v>229</v>
      </c>
      <c r="J28" s="56" t="s">
        <v>226</v>
      </c>
      <c r="K28" s="56" t="s">
        <v>230</v>
      </c>
      <c r="L28" s="56" t="s">
        <v>5</v>
      </c>
      <c r="M28" s="56" t="s">
        <v>5</v>
      </c>
      <c r="N28" s="56" t="s">
        <v>5</v>
      </c>
      <c r="O28" s="56" t="s">
        <v>5</v>
      </c>
      <c r="P28" s="56" t="s">
        <v>5</v>
      </c>
      <c r="Q28" s="56" t="s">
        <v>5</v>
      </c>
      <c r="R28" s="56" t="s">
        <v>5</v>
      </c>
      <c r="S28" s="56" t="s">
        <v>5</v>
      </c>
      <c r="T28" s="56" t="s">
        <v>5</v>
      </c>
      <c r="U28" s="56" t="s">
        <v>5</v>
      </c>
      <c r="V28" s="56">
        <f>=IF(AND(C28="Yes",G28="-"), 1, 0)</f>
      </c>
      <c r="W28" s="56">
        <f>=IF(AND(C28="Yes",G28="Yes"), 1, 0)</f>
      </c>
      <c r="X28" s="56">
        <f>=IF(AND(C28="Yes",G28="No; explanation in comments"), 1, 0)</f>
      </c>
      <c r="Y28" s="56">
        <f>=IF(AND(C28="Yes",K28="Not Assessed Yet"), 1, 0)</f>
      </c>
      <c r="Z28" s="56">
        <f>=IF(AND(C28="Yes",AND(G28&lt;&gt;"-",K28="Mitigated")), 1, 0)</f>
      </c>
      <c r="AA28" s="56">
        <f>=IF(AND(C28="Yes",AND(G28&lt;&gt;"-",K28="Not Mitigated")), 1, 0)</f>
      </c>
    </row>
    <row r="29" ht="50" customHeight="1" spans="1:27" s="53" customFormat="1" x14ac:dyDescent="0.25">
      <c r="A29" s="61" t="s">
        <v>41</v>
      </c>
      <c r="B29" s="62" t="s">
        <v>1347</v>
      </c>
      <c r="C29" s="56">
        <f>=IF(IOT_COREInUse="Yes","Yes","No")</f>
      </c>
      <c r="D29" s="56" t="s">
        <v>1348</v>
      </c>
      <c r="E29" s="56" t="s">
        <v>1349</v>
      </c>
      <c r="F29" s="56">
        <f>=IF(AND(C29="Yes",G29="-"), "Yes", "No")</f>
      </c>
      <c r="G29" s="56" t="s">
        <v>13</v>
      </c>
      <c r="H29" s="56" t="s">
        <v>5</v>
      </c>
      <c r="I29" s="56" t="s">
        <v>229</v>
      </c>
      <c r="J29" s="56" t="s">
        <v>226</v>
      </c>
      <c r="K29" s="56" t="s">
        <v>230</v>
      </c>
      <c r="L29" s="56" t="s">
        <v>5</v>
      </c>
      <c r="M29" s="56" t="s">
        <v>5</v>
      </c>
      <c r="N29" s="56" t="s">
        <v>5</v>
      </c>
      <c r="O29" s="56" t="s">
        <v>5</v>
      </c>
      <c r="P29" s="56" t="s">
        <v>5</v>
      </c>
      <c r="Q29" s="56" t="s">
        <v>5</v>
      </c>
      <c r="R29" s="56" t="s">
        <v>5</v>
      </c>
      <c r="S29" s="56" t="s">
        <v>5</v>
      </c>
      <c r="T29" s="56" t="s">
        <v>5</v>
      </c>
      <c r="U29" s="56" t="s">
        <v>5</v>
      </c>
      <c r="V29" s="56">
        <f>=IF(AND(C29="Yes",G29="-"), 1, 0)</f>
      </c>
      <c r="W29" s="56">
        <f>=IF(AND(C29="Yes",G29="Yes"), 1, 0)</f>
      </c>
      <c r="X29" s="56">
        <f>=IF(AND(C29="Yes",G29="No; explanation in comments"), 1, 0)</f>
      </c>
      <c r="Y29" s="56">
        <f>=IF(AND(C29="Yes",K29="Not Assessed Yet"), 1, 0)</f>
      </c>
      <c r="Z29" s="56">
        <f>=IF(AND(C29="Yes",AND(G29&lt;&gt;"-",K29="Mitigated")), 1, 0)</f>
      </c>
      <c r="AA29" s="56">
        <f>=IF(AND(C29="Yes",AND(G29&lt;&gt;"-",K29="Not Mitigated")), 1, 0)</f>
      </c>
    </row>
    <row r="30" ht="50" customHeight="1" spans="1:27" s="53" customFormat="1" x14ac:dyDescent="0.25">
      <c r="A30" s="61" t="s">
        <v>41</v>
      </c>
      <c r="B30" s="62" t="s">
        <v>1350</v>
      </c>
      <c r="C30" s="56">
        <f>=IF(IOT_COREInUse="Yes","Yes","No")</f>
      </c>
      <c r="D30" s="56" t="s">
        <v>1351</v>
      </c>
      <c r="E30" s="56" t="s">
        <v>1352</v>
      </c>
      <c r="F30" s="56">
        <f>=IF(AND(C30="Yes",G30="-"), "Yes", "No")</f>
      </c>
      <c r="G30" s="56" t="s">
        <v>13</v>
      </c>
      <c r="H30" s="56" t="s">
        <v>5</v>
      </c>
      <c r="I30" s="56" t="s">
        <v>242</v>
      </c>
      <c r="J30" s="56" t="s">
        <v>32</v>
      </c>
      <c r="K30" s="56" t="s">
        <v>230</v>
      </c>
      <c r="L30" s="56" t="s">
        <v>5</v>
      </c>
      <c r="M30" s="56" t="s">
        <v>5</v>
      </c>
      <c r="N30" s="56" t="s">
        <v>5</v>
      </c>
      <c r="O30" s="56" t="s">
        <v>5</v>
      </c>
      <c r="P30" s="56" t="s">
        <v>5</v>
      </c>
      <c r="Q30" s="56" t="s">
        <v>5</v>
      </c>
      <c r="R30" s="56" t="s">
        <v>5</v>
      </c>
      <c r="S30" s="56" t="s">
        <v>5</v>
      </c>
      <c r="T30" s="56" t="s">
        <v>5</v>
      </c>
      <c r="U30" s="56" t="s">
        <v>5</v>
      </c>
      <c r="V30" s="56">
        <f>=IF(AND(C30="Yes",G30="-"), 1, 0)</f>
      </c>
      <c r="W30" s="56">
        <f>=IF(AND(C30="Yes",G30="Yes"), 1, 0)</f>
      </c>
      <c r="X30" s="56">
        <f>=IF(AND(C30="Yes",G30="No; explanation in comments"), 1, 0)</f>
      </c>
      <c r="Y30" s="56">
        <f>=IF(AND(C30="Yes",K30="Not Assessed Yet"), 1, 0)</f>
      </c>
      <c r="Z30" s="56">
        <f>=IF(AND(C30="Yes",AND(G30&lt;&gt;"-",K30="Mitigated")), 1, 0)</f>
      </c>
      <c r="AA30" s="56">
        <f>=IF(AND(C30="Yes",AND(G30&lt;&gt;"-",K30="Not Mitigated")), 1, 0)</f>
      </c>
    </row>
  </sheetData>
  <autoFilter ref="A1:L1"/>
  <conditionalFormatting sqref="$F$2">
    <cfRule type="containsText" dxfId="2248" priority="1">
      <formula>NOT(ISERROR(SEARCH("Yes",F2)))</formula>
    </cfRule>
  </conditionalFormatting>
  <conditionalFormatting sqref="$G$2">
    <cfRule type="containsText" dxfId="2249" priority="1">
      <formula>NOT(ISERROR(SEARCH("Yes",G2)))</formula>
    </cfRule>
    <cfRule type="containsText" dxfId="2250" priority="2">
      <formula>NOT(ISERROR(SEARCH("No; explanation in comments",G2)))</formula>
    </cfRule>
  </conditionalFormatting>
  <conditionalFormatting sqref="$J$2">
    <cfRule type="containsText" dxfId="2251" priority="1">
      <formula>NOT(ISERROR(SEARCH("Yes",J2)))</formula>
    </cfRule>
  </conditionalFormatting>
  <conditionalFormatting sqref="$K$2">
    <cfRule type="containsText" dxfId="2252" priority="1">
      <formula>NOT(ISERROR(SEARCH("Mitigated",K2)))</formula>
    </cfRule>
    <cfRule type="containsText" dxfId="2253" priority="2">
      <formula>NOT(ISERROR(SEARCH("Not Mitigated",K2)))</formula>
    </cfRule>
  </conditionalFormatting>
  <conditionalFormatting sqref="$F$3">
    <cfRule type="containsText" dxfId="2254" priority="1">
      <formula>NOT(ISERROR(SEARCH("Yes",F3)))</formula>
    </cfRule>
  </conditionalFormatting>
  <conditionalFormatting sqref="$G$3">
    <cfRule type="containsText" dxfId="2255" priority="1">
      <formula>NOT(ISERROR(SEARCH("Yes",G3)))</formula>
    </cfRule>
    <cfRule type="containsText" dxfId="2256" priority="2">
      <formula>NOT(ISERROR(SEARCH("No; explanation in comments",G3)))</formula>
    </cfRule>
  </conditionalFormatting>
  <conditionalFormatting sqref="$J$3">
    <cfRule type="containsText" dxfId="2257" priority="1">
      <formula>NOT(ISERROR(SEARCH("Yes",J3)))</formula>
    </cfRule>
  </conditionalFormatting>
  <conditionalFormatting sqref="$K$3">
    <cfRule type="containsText" dxfId="2258" priority="1">
      <formula>NOT(ISERROR(SEARCH("Mitigated",K3)))</formula>
    </cfRule>
    <cfRule type="containsText" dxfId="2259" priority="2">
      <formula>NOT(ISERROR(SEARCH("Not Mitigated",K3)))</formula>
    </cfRule>
  </conditionalFormatting>
  <conditionalFormatting sqref="$F$4">
    <cfRule type="containsText" dxfId="2260" priority="1">
      <formula>NOT(ISERROR(SEARCH("Yes",F4)))</formula>
    </cfRule>
  </conditionalFormatting>
  <conditionalFormatting sqref="$G$4">
    <cfRule type="containsText" dxfId="2261" priority="1">
      <formula>NOT(ISERROR(SEARCH("Yes",G4)))</formula>
    </cfRule>
    <cfRule type="containsText" dxfId="2262" priority="2">
      <formula>NOT(ISERROR(SEARCH("No; explanation in comments",G4)))</formula>
    </cfRule>
  </conditionalFormatting>
  <conditionalFormatting sqref="$J$4">
    <cfRule type="containsText" dxfId="2263" priority="1">
      <formula>NOT(ISERROR(SEARCH("Yes",J4)))</formula>
    </cfRule>
  </conditionalFormatting>
  <conditionalFormatting sqref="$K$4">
    <cfRule type="containsText" dxfId="2264" priority="1">
      <formula>NOT(ISERROR(SEARCH("Mitigated",K4)))</formula>
    </cfRule>
    <cfRule type="containsText" dxfId="2265" priority="2">
      <formula>NOT(ISERROR(SEARCH("Not Mitigated",K4)))</formula>
    </cfRule>
  </conditionalFormatting>
  <conditionalFormatting sqref="$F$5">
    <cfRule type="containsText" dxfId="2266" priority="1">
      <formula>NOT(ISERROR(SEARCH("Yes",F5)))</formula>
    </cfRule>
  </conditionalFormatting>
  <conditionalFormatting sqref="$G$5">
    <cfRule type="containsText" dxfId="2267" priority="1">
      <formula>NOT(ISERROR(SEARCH("Yes",G5)))</formula>
    </cfRule>
    <cfRule type="containsText" dxfId="2268" priority="2">
      <formula>NOT(ISERROR(SEARCH("No; explanation in comments",G5)))</formula>
    </cfRule>
  </conditionalFormatting>
  <conditionalFormatting sqref="$J$5">
    <cfRule type="containsText" dxfId="2269" priority="1">
      <formula>NOT(ISERROR(SEARCH("Yes",J5)))</formula>
    </cfRule>
  </conditionalFormatting>
  <conditionalFormatting sqref="$K$5">
    <cfRule type="containsText" dxfId="2270" priority="1">
      <formula>NOT(ISERROR(SEARCH("Mitigated",K5)))</formula>
    </cfRule>
    <cfRule type="containsText" dxfId="2271" priority="2">
      <formula>NOT(ISERROR(SEARCH("Not Mitigated",K5)))</formula>
    </cfRule>
  </conditionalFormatting>
  <conditionalFormatting sqref="$F$6">
    <cfRule type="containsText" dxfId="2272" priority="1">
      <formula>NOT(ISERROR(SEARCH("Yes",F6)))</formula>
    </cfRule>
  </conditionalFormatting>
  <conditionalFormatting sqref="$G$6">
    <cfRule type="containsText" dxfId="2273" priority="1">
      <formula>NOT(ISERROR(SEARCH("Yes",G6)))</formula>
    </cfRule>
    <cfRule type="containsText" dxfId="2274" priority="2">
      <formula>NOT(ISERROR(SEARCH("No; explanation in comments",G6)))</formula>
    </cfRule>
  </conditionalFormatting>
  <conditionalFormatting sqref="$J$6">
    <cfRule type="containsText" dxfId="2275" priority="1">
      <formula>NOT(ISERROR(SEARCH("Yes",J6)))</formula>
    </cfRule>
  </conditionalFormatting>
  <conditionalFormatting sqref="$K$6">
    <cfRule type="containsText" dxfId="2276" priority="1">
      <formula>NOT(ISERROR(SEARCH("Mitigated",K6)))</formula>
    </cfRule>
    <cfRule type="containsText" dxfId="2277" priority="2">
      <formula>NOT(ISERROR(SEARCH("Not Mitigated",K6)))</formula>
    </cfRule>
  </conditionalFormatting>
  <conditionalFormatting sqref="$F$7">
    <cfRule type="containsText" dxfId="2278" priority="1">
      <formula>NOT(ISERROR(SEARCH("Yes",F7)))</formula>
    </cfRule>
  </conditionalFormatting>
  <conditionalFormatting sqref="$G$7">
    <cfRule type="containsText" dxfId="2279" priority="1">
      <formula>NOT(ISERROR(SEARCH("Yes",G7)))</formula>
    </cfRule>
    <cfRule type="containsText" dxfId="2280" priority="2">
      <formula>NOT(ISERROR(SEARCH("No; explanation in comments",G7)))</formula>
    </cfRule>
  </conditionalFormatting>
  <conditionalFormatting sqref="$J$7">
    <cfRule type="containsText" dxfId="2281" priority="1">
      <formula>NOT(ISERROR(SEARCH("Yes",J7)))</formula>
    </cfRule>
  </conditionalFormatting>
  <conditionalFormatting sqref="$K$7">
    <cfRule type="containsText" dxfId="2282" priority="1">
      <formula>NOT(ISERROR(SEARCH("Mitigated",K7)))</formula>
    </cfRule>
    <cfRule type="containsText" dxfId="2283" priority="2">
      <formula>NOT(ISERROR(SEARCH("Not Mitigated",K7)))</formula>
    </cfRule>
  </conditionalFormatting>
  <conditionalFormatting sqref="$F$8">
    <cfRule type="containsText" dxfId="2284" priority="1">
      <formula>NOT(ISERROR(SEARCH("Yes",F8)))</formula>
    </cfRule>
  </conditionalFormatting>
  <conditionalFormatting sqref="$G$8">
    <cfRule type="containsText" dxfId="2285" priority="1">
      <formula>NOT(ISERROR(SEARCH("Yes",G8)))</formula>
    </cfRule>
    <cfRule type="containsText" dxfId="2286" priority="2">
      <formula>NOT(ISERROR(SEARCH("No; explanation in comments",G8)))</formula>
    </cfRule>
  </conditionalFormatting>
  <conditionalFormatting sqref="$J$8">
    <cfRule type="containsText" dxfId="2287" priority="1">
      <formula>NOT(ISERROR(SEARCH("Yes",J8)))</formula>
    </cfRule>
  </conditionalFormatting>
  <conditionalFormatting sqref="$K$8">
    <cfRule type="containsText" dxfId="2288" priority="1">
      <formula>NOT(ISERROR(SEARCH("Mitigated",K8)))</formula>
    </cfRule>
    <cfRule type="containsText" dxfId="2289" priority="2">
      <formula>NOT(ISERROR(SEARCH("Not Mitigated",K8)))</formula>
    </cfRule>
  </conditionalFormatting>
  <conditionalFormatting sqref="$F$9">
    <cfRule type="containsText" dxfId="2290" priority="1">
      <formula>NOT(ISERROR(SEARCH("Yes",F9)))</formula>
    </cfRule>
  </conditionalFormatting>
  <conditionalFormatting sqref="$G$9">
    <cfRule type="containsText" dxfId="2291" priority="1">
      <formula>NOT(ISERROR(SEARCH("Yes",G9)))</formula>
    </cfRule>
    <cfRule type="containsText" dxfId="2292" priority="2">
      <formula>NOT(ISERROR(SEARCH("No; explanation in comments",G9)))</formula>
    </cfRule>
  </conditionalFormatting>
  <conditionalFormatting sqref="$J$9">
    <cfRule type="containsText" dxfId="2293" priority="1">
      <formula>NOT(ISERROR(SEARCH("Yes",J9)))</formula>
    </cfRule>
  </conditionalFormatting>
  <conditionalFormatting sqref="$K$9">
    <cfRule type="containsText" dxfId="2294" priority="1">
      <formula>NOT(ISERROR(SEARCH("Mitigated",K9)))</formula>
    </cfRule>
    <cfRule type="containsText" dxfId="2295" priority="2">
      <formula>NOT(ISERROR(SEARCH("Not Mitigated",K9)))</formula>
    </cfRule>
  </conditionalFormatting>
  <conditionalFormatting sqref="$F$10">
    <cfRule type="containsText" dxfId="2296" priority="1">
      <formula>NOT(ISERROR(SEARCH("Yes",F10)))</formula>
    </cfRule>
  </conditionalFormatting>
  <conditionalFormatting sqref="$G$10">
    <cfRule type="containsText" dxfId="2297" priority="1">
      <formula>NOT(ISERROR(SEARCH("Yes",G10)))</formula>
    </cfRule>
    <cfRule type="containsText" dxfId="2298" priority="2">
      <formula>NOT(ISERROR(SEARCH("No; explanation in comments",G10)))</formula>
    </cfRule>
  </conditionalFormatting>
  <conditionalFormatting sqref="$J$10">
    <cfRule type="containsText" dxfId="2299" priority="1">
      <formula>NOT(ISERROR(SEARCH("Yes",J10)))</formula>
    </cfRule>
  </conditionalFormatting>
  <conditionalFormatting sqref="$K$10">
    <cfRule type="containsText" dxfId="2300" priority="1">
      <formula>NOT(ISERROR(SEARCH("Mitigated",K10)))</formula>
    </cfRule>
    <cfRule type="containsText" dxfId="2301" priority="2">
      <formula>NOT(ISERROR(SEARCH("Not Mitigated",K10)))</formula>
    </cfRule>
  </conditionalFormatting>
  <conditionalFormatting sqref="$F$11">
    <cfRule type="containsText" dxfId="2302" priority="1">
      <formula>NOT(ISERROR(SEARCH("Yes",F11)))</formula>
    </cfRule>
  </conditionalFormatting>
  <conditionalFormatting sqref="$G$11">
    <cfRule type="containsText" dxfId="2303" priority="1">
      <formula>NOT(ISERROR(SEARCH("Yes",G11)))</formula>
    </cfRule>
    <cfRule type="containsText" dxfId="2304" priority="2">
      <formula>NOT(ISERROR(SEARCH("No; explanation in comments",G11)))</formula>
    </cfRule>
  </conditionalFormatting>
  <conditionalFormatting sqref="$J$11">
    <cfRule type="containsText" dxfId="2305" priority="1">
      <formula>NOT(ISERROR(SEARCH("Yes",J11)))</formula>
    </cfRule>
  </conditionalFormatting>
  <conditionalFormatting sqref="$K$11">
    <cfRule type="containsText" dxfId="2306" priority="1">
      <formula>NOT(ISERROR(SEARCH("Mitigated",K11)))</formula>
    </cfRule>
    <cfRule type="containsText" dxfId="2307" priority="2">
      <formula>NOT(ISERROR(SEARCH("Not Mitigated",K11)))</formula>
    </cfRule>
  </conditionalFormatting>
  <conditionalFormatting sqref="$F$12">
    <cfRule type="containsText" dxfId="2308" priority="1">
      <formula>NOT(ISERROR(SEARCH("Yes",F12)))</formula>
    </cfRule>
  </conditionalFormatting>
  <conditionalFormatting sqref="$G$12">
    <cfRule type="containsText" dxfId="2309" priority="1">
      <formula>NOT(ISERROR(SEARCH("Yes",G12)))</formula>
    </cfRule>
    <cfRule type="containsText" dxfId="2310" priority="2">
      <formula>NOT(ISERROR(SEARCH("No; explanation in comments",G12)))</formula>
    </cfRule>
  </conditionalFormatting>
  <conditionalFormatting sqref="$J$12">
    <cfRule type="containsText" dxfId="2311" priority="1">
      <formula>NOT(ISERROR(SEARCH("Yes",J12)))</formula>
    </cfRule>
  </conditionalFormatting>
  <conditionalFormatting sqref="$K$12">
    <cfRule type="containsText" dxfId="2312" priority="1">
      <formula>NOT(ISERROR(SEARCH("Mitigated",K12)))</formula>
    </cfRule>
    <cfRule type="containsText" dxfId="2313" priority="2">
      <formula>NOT(ISERROR(SEARCH("Not Mitigated",K12)))</formula>
    </cfRule>
  </conditionalFormatting>
  <conditionalFormatting sqref="$F$13">
    <cfRule type="containsText" dxfId="2314" priority="1">
      <formula>NOT(ISERROR(SEARCH("Yes",F13)))</formula>
    </cfRule>
  </conditionalFormatting>
  <conditionalFormatting sqref="$G$13">
    <cfRule type="containsText" dxfId="2315" priority="1">
      <formula>NOT(ISERROR(SEARCH("Yes",G13)))</formula>
    </cfRule>
    <cfRule type="containsText" dxfId="2316" priority="2">
      <formula>NOT(ISERROR(SEARCH("No; explanation in comments",G13)))</formula>
    </cfRule>
  </conditionalFormatting>
  <conditionalFormatting sqref="$J$13">
    <cfRule type="containsText" dxfId="2317" priority="1">
      <formula>NOT(ISERROR(SEARCH("Yes",J13)))</formula>
    </cfRule>
  </conditionalFormatting>
  <conditionalFormatting sqref="$K$13">
    <cfRule type="containsText" dxfId="2318" priority="1">
      <formula>NOT(ISERROR(SEARCH("Mitigated",K13)))</formula>
    </cfRule>
    <cfRule type="containsText" dxfId="2319" priority="2">
      <formula>NOT(ISERROR(SEARCH("Not Mitigated",K13)))</formula>
    </cfRule>
  </conditionalFormatting>
  <conditionalFormatting sqref="$F$14">
    <cfRule type="containsText" dxfId="2320" priority="1">
      <formula>NOT(ISERROR(SEARCH("Yes",F14)))</formula>
    </cfRule>
  </conditionalFormatting>
  <conditionalFormatting sqref="$G$14">
    <cfRule type="containsText" dxfId="2321" priority="1">
      <formula>NOT(ISERROR(SEARCH("Yes",G14)))</formula>
    </cfRule>
    <cfRule type="containsText" dxfId="2322" priority="2">
      <formula>NOT(ISERROR(SEARCH("No; explanation in comments",G14)))</formula>
    </cfRule>
  </conditionalFormatting>
  <conditionalFormatting sqref="$J$14">
    <cfRule type="containsText" dxfId="2323" priority="1">
      <formula>NOT(ISERROR(SEARCH("Yes",J14)))</formula>
    </cfRule>
  </conditionalFormatting>
  <conditionalFormatting sqref="$K$14">
    <cfRule type="containsText" dxfId="2324" priority="1">
      <formula>NOT(ISERROR(SEARCH("Mitigated",K14)))</formula>
    </cfRule>
    <cfRule type="containsText" dxfId="2325" priority="2">
      <formula>NOT(ISERROR(SEARCH("Not Mitigated",K14)))</formula>
    </cfRule>
  </conditionalFormatting>
  <conditionalFormatting sqref="$F$15">
    <cfRule type="containsText" dxfId="2326" priority="1">
      <formula>NOT(ISERROR(SEARCH("Yes",F15)))</formula>
    </cfRule>
  </conditionalFormatting>
  <conditionalFormatting sqref="$G$15">
    <cfRule type="containsText" dxfId="2327" priority="1">
      <formula>NOT(ISERROR(SEARCH("Yes",G15)))</formula>
    </cfRule>
    <cfRule type="containsText" dxfId="2328" priority="2">
      <formula>NOT(ISERROR(SEARCH("No; explanation in comments",G15)))</formula>
    </cfRule>
  </conditionalFormatting>
  <conditionalFormatting sqref="$J$15">
    <cfRule type="containsText" dxfId="2329" priority="1">
      <formula>NOT(ISERROR(SEARCH("Yes",J15)))</formula>
    </cfRule>
  </conditionalFormatting>
  <conditionalFormatting sqref="$K$15">
    <cfRule type="containsText" dxfId="2330" priority="1">
      <formula>NOT(ISERROR(SEARCH("Mitigated",K15)))</formula>
    </cfRule>
    <cfRule type="containsText" dxfId="2331" priority="2">
      <formula>NOT(ISERROR(SEARCH("Not Mitigated",K15)))</formula>
    </cfRule>
  </conditionalFormatting>
  <conditionalFormatting sqref="$F$16">
    <cfRule type="containsText" dxfId="2332" priority="1">
      <formula>NOT(ISERROR(SEARCH("Yes",F16)))</formula>
    </cfRule>
  </conditionalFormatting>
  <conditionalFormatting sqref="$G$16">
    <cfRule type="containsText" dxfId="2333" priority="1">
      <formula>NOT(ISERROR(SEARCH("Yes",G16)))</formula>
    </cfRule>
    <cfRule type="containsText" dxfId="2334" priority="2">
      <formula>NOT(ISERROR(SEARCH("No; explanation in comments",G16)))</formula>
    </cfRule>
  </conditionalFormatting>
  <conditionalFormatting sqref="$J$16">
    <cfRule type="containsText" dxfId="2335" priority="1">
      <formula>NOT(ISERROR(SEARCH("Yes",J16)))</formula>
    </cfRule>
  </conditionalFormatting>
  <conditionalFormatting sqref="$K$16">
    <cfRule type="containsText" dxfId="2336" priority="1">
      <formula>NOT(ISERROR(SEARCH("Mitigated",K16)))</formula>
    </cfRule>
    <cfRule type="containsText" dxfId="2337" priority="2">
      <formula>NOT(ISERROR(SEARCH("Not Mitigated",K16)))</formula>
    </cfRule>
  </conditionalFormatting>
  <conditionalFormatting sqref="$F$17">
    <cfRule type="containsText" dxfId="2338" priority="1">
      <formula>NOT(ISERROR(SEARCH("Yes",F17)))</formula>
    </cfRule>
  </conditionalFormatting>
  <conditionalFormatting sqref="$G$17">
    <cfRule type="containsText" dxfId="2339" priority="1">
      <formula>NOT(ISERROR(SEARCH("Yes",G17)))</formula>
    </cfRule>
    <cfRule type="containsText" dxfId="2340" priority="2">
      <formula>NOT(ISERROR(SEARCH("No; explanation in comments",G17)))</formula>
    </cfRule>
  </conditionalFormatting>
  <conditionalFormatting sqref="$J$17">
    <cfRule type="containsText" dxfId="2341" priority="1">
      <formula>NOT(ISERROR(SEARCH("Yes",J17)))</formula>
    </cfRule>
  </conditionalFormatting>
  <conditionalFormatting sqref="$K$17">
    <cfRule type="containsText" dxfId="2342" priority="1">
      <formula>NOT(ISERROR(SEARCH("Mitigated",K17)))</formula>
    </cfRule>
    <cfRule type="containsText" dxfId="2343" priority="2">
      <formula>NOT(ISERROR(SEARCH("Not Mitigated",K17)))</formula>
    </cfRule>
  </conditionalFormatting>
  <conditionalFormatting sqref="$F$18">
    <cfRule type="containsText" dxfId="2344" priority="1">
      <formula>NOT(ISERROR(SEARCH("Yes",F18)))</formula>
    </cfRule>
  </conditionalFormatting>
  <conditionalFormatting sqref="$G$18">
    <cfRule type="containsText" dxfId="2345" priority="1">
      <formula>NOT(ISERROR(SEARCH("Yes",G18)))</formula>
    </cfRule>
    <cfRule type="containsText" dxfId="2346" priority="2">
      <formula>NOT(ISERROR(SEARCH("No; explanation in comments",G18)))</formula>
    </cfRule>
  </conditionalFormatting>
  <conditionalFormatting sqref="$J$18">
    <cfRule type="containsText" dxfId="2347" priority="1">
      <formula>NOT(ISERROR(SEARCH("Yes",J18)))</formula>
    </cfRule>
  </conditionalFormatting>
  <conditionalFormatting sqref="$K$18">
    <cfRule type="containsText" dxfId="2348" priority="1">
      <formula>NOT(ISERROR(SEARCH("Mitigated",K18)))</formula>
    </cfRule>
    <cfRule type="containsText" dxfId="2349" priority="2">
      <formula>NOT(ISERROR(SEARCH("Not Mitigated",K18)))</formula>
    </cfRule>
  </conditionalFormatting>
  <conditionalFormatting sqref="$F$19">
    <cfRule type="containsText" dxfId="2350" priority="1">
      <formula>NOT(ISERROR(SEARCH("Yes",F19)))</formula>
    </cfRule>
  </conditionalFormatting>
  <conditionalFormatting sqref="$G$19">
    <cfRule type="containsText" dxfId="2351" priority="1">
      <formula>NOT(ISERROR(SEARCH("Yes",G19)))</formula>
    </cfRule>
    <cfRule type="containsText" dxfId="2352" priority="2">
      <formula>NOT(ISERROR(SEARCH("No; explanation in comments",G19)))</formula>
    </cfRule>
  </conditionalFormatting>
  <conditionalFormatting sqref="$J$19">
    <cfRule type="containsText" dxfId="2353" priority="1">
      <formula>NOT(ISERROR(SEARCH("Yes",J19)))</formula>
    </cfRule>
  </conditionalFormatting>
  <conditionalFormatting sqref="$K$19">
    <cfRule type="containsText" dxfId="2354" priority="1">
      <formula>NOT(ISERROR(SEARCH("Mitigated",K19)))</formula>
    </cfRule>
    <cfRule type="containsText" dxfId="2355" priority="2">
      <formula>NOT(ISERROR(SEARCH("Not Mitigated",K19)))</formula>
    </cfRule>
  </conditionalFormatting>
  <conditionalFormatting sqref="$F$20">
    <cfRule type="containsText" dxfId="2356" priority="1">
      <formula>NOT(ISERROR(SEARCH("Yes",F20)))</formula>
    </cfRule>
  </conditionalFormatting>
  <conditionalFormatting sqref="$G$20">
    <cfRule type="containsText" dxfId="2357" priority="1">
      <formula>NOT(ISERROR(SEARCH("Yes",G20)))</formula>
    </cfRule>
    <cfRule type="containsText" dxfId="2358" priority="2">
      <formula>NOT(ISERROR(SEARCH("No; explanation in comments",G20)))</formula>
    </cfRule>
  </conditionalFormatting>
  <conditionalFormatting sqref="$J$20">
    <cfRule type="containsText" dxfId="2359" priority="1">
      <formula>NOT(ISERROR(SEARCH("Yes",J20)))</formula>
    </cfRule>
  </conditionalFormatting>
  <conditionalFormatting sqref="$K$20">
    <cfRule type="containsText" dxfId="2360" priority="1">
      <formula>NOT(ISERROR(SEARCH("Mitigated",K20)))</formula>
    </cfRule>
    <cfRule type="containsText" dxfId="2361" priority="2">
      <formula>NOT(ISERROR(SEARCH("Not Mitigated",K20)))</formula>
    </cfRule>
  </conditionalFormatting>
  <conditionalFormatting sqref="$F$21">
    <cfRule type="containsText" dxfId="2362" priority="1">
      <formula>NOT(ISERROR(SEARCH("Yes",F21)))</formula>
    </cfRule>
  </conditionalFormatting>
  <conditionalFormatting sqref="$G$21">
    <cfRule type="containsText" dxfId="2363" priority="1">
      <formula>NOT(ISERROR(SEARCH("Yes",G21)))</formula>
    </cfRule>
    <cfRule type="containsText" dxfId="2364" priority="2">
      <formula>NOT(ISERROR(SEARCH("No; explanation in comments",G21)))</formula>
    </cfRule>
  </conditionalFormatting>
  <conditionalFormatting sqref="$J$21">
    <cfRule type="containsText" dxfId="2365" priority="1">
      <formula>NOT(ISERROR(SEARCH("Yes",J21)))</formula>
    </cfRule>
  </conditionalFormatting>
  <conditionalFormatting sqref="$K$21">
    <cfRule type="containsText" dxfId="2366" priority="1">
      <formula>NOT(ISERROR(SEARCH("Mitigated",K21)))</formula>
    </cfRule>
    <cfRule type="containsText" dxfId="2367" priority="2">
      <formula>NOT(ISERROR(SEARCH("Not Mitigated",K21)))</formula>
    </cfRule>
  </conditionalFormatting>
  <conditionalFormatting sqref="$F$22">
    <cfRule type="containsText" dxfId="2368" priority="1">
      <formula>NOT(ISERROR(SEARCH("Yes",F22)))</formula>
    </cfRule>
  </conditionalFormatting>
  <conditionalFormatting sqref="$G$22">
    <cfRule type="containsText" dxfId="2369" priority="1">
      <formula>NOT(ISERROR(SEARCH("Yes",G22)))</formula>
    </cfRule>
    <cfRule type="containsText" dxfId="2370" priority="2">
      <formula>NOT(ISERROR(SEARCH("No; explanation in comments",G22)))</formula>
    </cfRule>
  </conditionalFormatting>
  <conditionalFormatting sqref="$J$22">
    <cfRule type="containsText" dxfId="2371" priority="1">
      <formula>NOT(ISERROR(SEARCH("Yes",J22)))</formula>
    </cfRule>
  </conditionalFormatting>
  <conditionalFormatting sqref="$K$22">
    <cfRule type="containsText" dxfId="2372" priority="1">
      <formula>NOT(ISERROR(SEARCH("Mitigated",K22)))</formula>
    </cfRule>
    <cfRule type="containsText" dxfId="2373" priority="2">
      <formula>NOT(ISERROR(SEARCH("Not Mitigated",K22)))</formula>
    </cfRule>
  </conditionalFormatting>
  <conditionalFormatting sqref="$F$23">
    <cfRule type="containsText" dxfId="2374" priority="1">
      <formula>NOT(ISERROR(SEARCH("Yes",F23)))</formula>
    </cfRule>
  </conditionalFormatting>
  <conditionalFormatting sqref="$G$23">
    <cfRule type="containsText" dxfId="2375" priority="1">
      <formula>NOT(ISERROR(SEARCH("Yes",G23)))</formula>
    </cfRule>
    <cfRule type="containsText" dxfId="2376" priority="2">
      <formula>NOT(ISERROR(SEARCH("No; explanation in comments",G23)))</formula>
    </cfRule>
  </conditionalFormatting>
  <conditionalFormatting sqref="$J$23">
    <cfRule type="containsText" dxfId="2377" priority="1">
      <formula>NOT(ISERROR(SEARCH("Yes",J23)))</formula>
    </cfRule>
  </conditionalFormatting>
  <conditionalFormatting sqref="$K$23">
    <cfRule type="containsText" dxfId="2378" priority="1">
      <formula>NOT(ISERROR(SEARCH("Mitigated",K23)))</formula>
    </cfRule>
    <cfRule type="containsText" dxfId="2379" priority="2">
      <formula>NOT(ISERROR(SEARCH("Not Mitigated",K23)))</formula>
    </cfRule>
  </conditionalFormatting>
  <conditionalFormatting sqref="$F$24">
    <cfRule type="containsText" dxfId="2380" priority="1">
      <formula>NOT(ISERROR(SEARCH("Yes",F24)))</formula>
    </cfRule>
  </conditionalFormatting>
  <conditionalFormatting sqref="$G$24">
    <cfRule type="containsText" dxfId="2381" priority="1">
      <formula>NOT(ISERROR(SEARCH("Yes",G24)))</formula>
    </cfRule>
    <cfRule type="containsText" dxfId="2382" priority="2">
      <formula>NOT(ISERROR(SEARCH("No; explanation in comments",G24)))</formula>
    </cfRule>
  </conditionalFormatting>
  <conditionalFormatting sqref="$J$24">
    <cfRule type="containsText" dxfId="2383" priority="1">
      <formula>NOT(ISERROR(SEARCH("Yes",J24)))</formula>
    </cfRule>
  </conditionalFormatting>
  <conditionalFormatting sqref="$K$24">
    <cfRule type="containsText" dxfId="2384" priority="1">
      <formula>NOT(ISERROR(SEARCH("Mitigated",K24)))</formula>
    </cfRule>
    <cfRule type="containsText" dxfId="2385" priority="2">
      <formula>NOT(ISERROR(SEARCH("Not Mitigated",K24)))</formula>
    </cfRule>
  </conditionalFormatting>
  <conditionalFormatting sqref="$F$25">
    <cfRule type="containsText" dxfId="2386" priority="1">
      <formula>NOT(ISERROR(SEARCH("Yes",F25)))</formula>
    </cfRule>
  </conditionalFormatting>
  <conditionalFormatting sqref="$G$25">
    <cfRule type="containsText" dxfId="2387" priority="1">
      <formula>NOT(ISERROR(SEARCH("Yes",G25)))</formula>
    </cfRule>
    <cfRule type="containsText" dxfId="2388" priority="2">
      <formula>NOT(ISERROR(SEARCH("No; explanation in comments",G25)))</formula>
    </cfRule>
  </conditionalFormatting>
  <conditionalFormatting sqref="$J$25">
    <cfRule type="containsText" dxfId="2389" priority="1">
      <formula>NOT(ISERROR(SEARCH("Yes",J25)))</formula>
    </cfRule>
  </conditionalFormatting>
  <conditionalFormatting sqref="$K$25">
    <cfRule type="containsText" dxfId="2390" priority="1">
      <formula>NOT(ISERROR(SEARCH("Mitigated",K25)))</formula>
    </cfRule>
    <cfRule type="containsText" dxfId="2391" priority="2">
      <formula>NOT(ISERROR(SEARCH("Not Mitigated",K25)))</formula>
    </cfRule>
  </conditionalFormatting>
  <conditionalFormatting sqref="$F$26">
    <cfRule type="containsText" dxfId="2392" priority="1">
      <formula>NOT(ISERROR(SEARCH("Yes",F26)))</formula>
    </cfRule>
  </conditionalFormatting>
  <conditionalFormatting sqref="$G$26">
    <cfRule type="containsText" dxfId="2393" priority="1">
      <formula>NOT(ISERROR(SEARCH("Yes",G26)))</formula>
    </cfRule>
    <cfRule type="containsText" dxfId="2394" priority="2">
      <formula>NOT(ISERROR(SEARCH("No; explanation in comments",G26)))</formula>
    </cfRule>
  </conditionalFormatting>
  <conditionalFormatting sqref="$J$26">
    <cfRule type="containsText" dxfId="2395" priority="1">
      <formula>NOT(ISERROR(SEARCH("Yes",J26)))</formula>
    </cfRule>
  </conditionalFormatting>
  <conditionalFormatting sqref="$K$26">
    <cfRule type="containsText" dxfId="2396" priority="1">
      <formula>NOT(ISERROR(SEARCH("Mitigated",K26)))</formula>
    </cfRule>
    <cfRule type="containsText" dxfId="2397" priority="2">
      <formula>NOT(ISERROR(SEARCH("Not Mitigated",K26)))</formula>
    </cfRule>
  </conditionalFormatting>
  <conditionalFormatting sqref="$F$27">
    <cfRule type="containsText" dxfId="2398" priority="1">
      <formula>NOT(ISERROR(SEARCH("Yes",F27)))</formula>
    </cfRule>
  </conditionalFormatting>
  <conditionalFormatting sqref="$G$27">
    <cfRule type="containsText" dxfId="2399" priority="1">
      <formula>NOT(ISERROR(SEARCH("Yes",G27)))</formula>
    </cfRule>
    <cfRule type="containsText" dxfId="2400" priority="2">
      <formula>NOT(ISERROR(SEARCH("No; explanation in comments",G27)))</formula>
    </cfRule>
  </conditionalFormatting>
  <conditionalFormatting sqref="$J$27">
    <cfRule type="containsText" dxfId="2401" priority="1">
      <formula>NOT(ISERROR(SEARCH("Yes",J27)))</formula>
    </cfRule>
  </conditionalFormatting>
  <conditionalFormatting sqref="$K$27">
    <cfRule type="containsText" dxfId="2402" priority="1">
      <formula>NOT(ISERROR(SEARCH("Mitigated",K27)))</formula>
    </cfRule>
    <cfRule type="containsText" dxfId="2403" priority="2">
      <formula>NOT(ISERROR(SEARCH("Not Mitigated",K27)))</formula>
    </cfRule>
  </conditionalFormatting>
  <conditionalFormatting sqref="$F$28">
    <cfRule type="containsText" dxfId="2404" priority="1">
      <formula>NOT(ISERROR(SEARCH("Yes",F28)))</formula>
    </cfRule>
  </conditionalFormatting>
  <conditionalFormatting sqref="$G$28">
    <cfRule type="containsText" dxfId="2405" priority="1">
      <formula>NOT(ISERROR(SEARCH("Yes",G28)))</formula>
    </cfRule>
    <cfRule type="containsText" dxfId="2406" priority="2">
      <formula>NOT(ISERROR(SEARCH("No; explanation in comments",G28)))</formula>
    </cfRule>
  </conditionalFormatting>
  <conditionalFormatting sqref="$J$28">
    <cfRule type="containsText" dxfId="2407" priority="1">
      <formula>NOT(ISERROR(SEARCH("Yes",J28)))</formula>
    </cfRule>
  </conditionalFormatting>
  <conditionalFormatting sqref="$K$28">
    <cfRule type="containsText" dxfId="2408" priority="1">
      <formula>NOT(ISERROR(SEARCH("Mitigated",K28)))</formula>
    </cfRule>
    <cfRule type="containsText" dxfId="2409" priority="2">
      <formula>NOT(ISERROR(SEARCH("Not Mitigated",K28)))</formula>
    </cfRule>
  </conditionalFormatting>
  <conditionalFormatting sqref="$F$29">
    <cfRule type="containsText" dxfId="2410" priority="1">
      <formula>NOT(ISERROR(SEARCH("Yes",F29)))</formula>
    </cfRule>
  </conditionalFormatting>
  <conditionalFormatting sqref="$G$29">
    <cfRule type="containsText" dxfId="2411" priority="1">
      <formula>NOT(ISERROR(SEARCH("Yes",G29)))</formula>
    </cfRule>
    <cfRule type="containsText" dxfId="2412" priority="2">
      <formula>NOT(ISERROR(SEARCH("No; explanation in comments",G29)))</formula>
    </cfRule>
  </conditionalFormatting>
  <conditionalFormatting sqref="$J$29">
    <cfRule type="containsText" dxfId="2413" priority="1">
      <formula>NOT(ISERROR(SEARCH("Yes",J29)))</formula>
    </cfRule>
  </conditionalFormatting>
  <conditionalFormatting sqref="$K$29">
    <cfRule type="containsText" dxfId="2414" priority="1">
      <formula>NOT(ISERROR(SEARCH("Mitigated",K29)))</formula>
    </cfRule>
    <cfRule type="containsText" dxfId="2415" priority="2">
      <formula>NOT(ISERROR(SEARCH("Not Mitigated",K29)))</formula>
    </cfRule>
  </conditionalFormatting>
  <conditionalFormatting sqref="$F$30">
    <cfRule type="containsText" dxfId="2416" priority="1">
      <formula>NOT(ISERROR(SEARCH("Yes",F30)))</formula>
    </cfRule>
  </conditionalFormatting>
  <conditionalFormatting sqref="$G$30">
    <cfRule type="containsText" dxfId="2417" priority="1">
      <formula>NOT(ISERROR(SEARCH("Yes",G30)))</formula>
    </cfRule>
    <cfRule type="containsText" dxfId="2418" priority="2">
      <formula>NOT(ISERROR(SEARCH("No; explanation in comments",G30)))</formula>
    </cfRule>
  </conditionalFormatting>
  <conditionalFormatting sqref="$J$30">
    <cfRule type="containsText" dxfId="2419" priority="1">
      <formula>NOT(ISERROR(SEARCH("Yes",J30)))</formula>
    </cfRule>
  </conditionalFormatting>
  <conditionalFormatting sqref="$K$30">
    <cfRule type="containsText" dxfId="2420" priority="1">
      <formula>NOT(ISERROR(SEARCH("Mitigated",K30)))</formula>
    </cfRule>
    <cfRule type="containsText" dxfId="2421" priority="2">
      <formula>NOT(ISERROR(SEARCH("Not Mitigated",K30)))</formula>
    </cfRule>
  </conditionalFormatting>
  <dataValidations count="4">
    <dataValidation type="list" sqref="G10:G30">
      <formula1>"-,Yes,No; explanation in comments"</formula1>
    </dataValidation>
    <dataValidation type="list" sqref="G2:G30">
      <formula1>"-,Yes,No; explanation in comments"</formula1>
    </dataValidation>
    <dataValidation type="list" sqref="K10:K30">
      <formula1>"Mitigated,Not Mitigated,Not Assessed Yet,N/A"</formula1>
    </dataValidation>
    <dataValidation type="list" sqref="K2:K30">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FormatPr defaultRowHeight="15" outlineLevelRow="0" outlineLevelCol="0" x14ac:dyDescent="55"/>
  <cols>
    <col min="1" max="1" width="18" customWidth="1"/>
    <col min="2" max="2" width="76" customWidth="1"/>
    <col min="3" max="3" width="10" customWidth="1"/>
    <col min="4" max="4" width="20" customWidth="1"/>
  </cols>
  <sheetData>
    <row r="1" spans="1:4" s="101" customFormat="1" x14ac:dyDescent="0.25">
      <c r="A1" s="102" t="s">
        <v>1353</v>
      </c>
      <c r="B1" s="102" t="s">
        <v>1354</v>
      </c>
      <c r="C1" s="102" t="s">
        <v>1355</v>
      </c>
      <c r="D1" s="102" t="s">
        <v>1356</v>
      </c>
    </row>
    <row r="2" ht="20" customHeight="1" spans="1:4" s="53" customFormat="1" x14ac:dyDescent="0.25">
      <c r="A2" s="56" t="s">
        <v>1357</v>
      </c>
      <c r="B2" s="56" t="s">
        <v>1358</v>
      </c>
      <c r="D2" s="56" t="s">
        <v>1359</v>
      </c>
    </row>
    <row r="3" ht="20" customHeight="1" spans="1:4" s="53" customFormat="1" x14ac:dyDescent="0.25">
      <c r="A3" s="56" t="s">
        <v>1360</v>
      </c>
      <c r="B3" s="56" t="s">
        <v>1361</v>
      </c>
      <c r="D3" s="56" t="s">
        <v>1359</v>
      </c>
    </row>
    <row r="4" ht="20" customHeight="1" spans="1:4" s="53" customFormat="1" x14ac:dyDescent="0.25">
      <c r="A4" s="56" t="s">
        <v>5</v>
      </c>
      <c r="B4" s="56" t="s">
        <v>1362</v>
      </c>
      <c r="D4" s="56" t="s">
        <v>1359</v>
      </c>
    </row>
    <row r="5" ht="20" customHeight="1" spans="1:4" s="53" customFormat="1" x14ac:dyDescent="0.25">
      <c r="A5" s="56" t="s">
        <v>5</v>
      </c>
      <c r="B5" s="56" t="s">
        <v>1363</v>
      </c>
      <c r="D5" s="56" t="s">
        <v>1359</v>
      </c>
    </row>
    <row r="6" ht="20" customHeight="1" spans="1:4" s="53" customFormat="1" x14ac:dyDescent="0.25">
      <c r="A6" s="56" t="s">
        <v>5</v>
      </c>
      <c r="B6" s="56" t="s">
        <v>1364</v>
      </c>
      <c r="D6" s="56" t="s">
        <v>1359</v>
      </c>
    </row>
    <row r="7" ht="20" customHeight="1" spans="1:4" s="53" customFormat="1" x14ac:dyDescent="0.25">
      <c r="A7" s="56" t="s">
        <v>1365</v>
      </c>
      <c r="B7" s="56" t="s">
        <v>1366</v>
      </c>
      <c r="D7" s="56" t="s">
        <v>1359</v>
      </c>
    </row>
    <row r="8" ht="20" customHeight="1" spans="1:4" s="53" customFormat="1" x14ac:dyDescent="0.25">
      <c r="A8" s="56" t="s">
        <v>1367</v>
      </c>
      <c r="B8" s="56" t="s">
        <v>1368</v>
      </c>
      <c r="D8" s="56" t="s">
        <v>1359</v>
      </c>
    </row>
    <row r="9" ht="20" customHeight="1" spans="1:4" s="53" customFormat="1" x14ac:dyDescent="0.25">
      <c r="A9" s="56" t="s">
        <v>1369</v>
      </c>
      <c r="B9" s="56" t="s">
        <v>1370</v>
      </c>
      <c r="D9" s="56" t="s">
        <v>1359</v>
      </c>
    </row>
    <row r="10" ht="20" customHeight="1" spans="1:4" s="53" customFormat="1" x14ac:dyDescent="0.25">
      <c r="A10" s="56" t="s">
        <v>1371</v>
      </c>
      <c r="B10" s="56" t="s">
        <v>1372</v>
      </c>
      <c r="D10" s="56" t="s">
        <v>1359</v>
      </c>
    </row>
    <row r="11" ht="35" customHeight="1" spans="1:4" s="53" customFormat="1" x14ac:dyDescent="0.25">
      <c r="A11" s="56" t="s">
        <v>1373</v>
      </c>
      <c r="B11" s="56" t="s">
        <v>1374</v>
      </c>
      <c r="D11" s="56" t="s">
        <v>1375</v>
      </c>
    </row>
    <row r="12" ht="20" customHeight="1" spans="1:4" s="53" customFormat="1" x14ac:dyDescent="0.25">
      <c r="A12" s="56" t="s">
        <v>1376</v>
      </c>
      <c r="B12" s="56" t="s">
        <v>1377</v>
      </c>
      <c r="D12" s="56" t="s">
        <v>1378</v>
      </c>
    </row>
    <row r="13" ht="20" customHeight="1" spans="1:4" s="53" customFormat="1" x14ac:dyDescent="0.25">
      <c r="A13" s="56" t="s">
        <v>1379</v>
      </c>
      <c r="B13" s="56" t="s">
        <v>1380</v>
      </c>
      <c r="D13" s="56" t="s">
        <v>1381</v>
      </c>
    </row>
    <row r="14" ht="20" customHeight="1" spans="1:4" s="53" customFormat="1" x14ac:dyDescent="0.25">
      <c r="A14" s="56" t="s">
        <v>1382</v>
      </c>
      <c r="B14" s="56" t="s">
        <v>1383</v>
      </c>
      <c r="D14" s="56" t="s">
        <v>1384</v>
      </c>
    </row>
    <row r="15" ht="20" customHeight="1" spans="1:4" s="53" customFormat="1" x14ac:dyDescent="0.25">
      <c r="A15" s="56" t="s">
        <v>1385</v>
      </c>
      <c r="B15" s="56" t="s">
        <v>1386</v>
      </c>
      <c r="D15" s="56" t="s">
        <v>1387</v>
      </c>
    </row>
    <row r="16" ht="35" customHeight="1" spans="1:4" s="53" customFormat="1" x14ac:dyDescent="0.25">
      <c r="A16" s="56" t="s">
        <v>1388</v>
      </c>
      <c r="B16" s="56" t="s">
        <v>1389</v>
      </c>
      <c r="D16" s="56" t="s">
        <v>1390</v>
      </c>
    </row>
    <row r="17" ht="35" customHeight="1" spans="1:4" s="53" customFormat="1" x14ac:dyDescent="0.25">
      <c r="A17" s="56" t="s">
        <v>1391</v>
      </c>
      <c r="B17" s="56" t="s">
        <v>1392</v>
      </c>
      <c r="D17" s="56" t="s">
        <v>1393</v>
      </c>
    </row>
    <row r="18" ht="35" customHeight="1" spans="1:4" s="53" customFormat="1" x14ac:dyDescent="0.25">
      <c r="A18" s="56" t="s">
        <v>1394</v>
      </c>
      <c r="B18" s="56" t="s">
        <v>1395</v>
      </c>
      <c r="D18" s="56" t="s">
        <v>1396</v>
      </c>
    </row>
    <row r="19" ht="20" customHeight="1" spans="1:4" s="53" customFormat="1" x14ac:dyDescent="0.25">
      <c r="A19" s="56" t="s">
        <v>1397</v>
      </c>
      <c r="B19" s="56" t="s">
        <v>1398</v>
      </c>
      <c r="D19" s="56" t="s">
        <v>1399</v>
      </c>
    </row>
    <row r="20" ht="20" customHeight="1" spans="1:4" s="53" customFormat="1" x14ac:dyDescent="0.25">
      <c r="A20" s="56" t="s">
        <v>1400</v>
      </c>
      <c r="B20" s="56" t="s">
        <v>1401</v>
      </c>
      <c r="D20" s="56" t="s">
        <v>1402</v>
      </c>
    </row>
    <row r="21" ht="20" customHeight="1" spans="1:4" s="53" customFormat="1" x14ac:dyDescent="0.25">
      <c r="A21" s="56" t="s">
        <v>1403</v>
      </c>
      <c r="B21" s="56" t="s">
        <v>1404</v>
      </c>
      <c r="D21" s="56" t="s">
        <v>1405</v>
      </c>
    </row>
    <row r="22" ht="65" customHeight="1" spans="1:4" s="53" customFormat="1" x14ac:dyDescent="0.25">
      <c r="A22" s="56" t="s">
        <v>1406</v>
      </c>
      <c r="B22" s="56" t="s">
        <v>1407</v>
      </c>
      <c r="D22" s="56" t="s">
        <v>1408</v>
      </c>
    </row>
    <row r="23" ht="20" customHeight="1" spans="1:4" s="53" customFormat="1" x14ac:dyDescent="0.25">
      <c r="A23" s="56" t="s">
        <v>1409</v>
      </c>
      <c r="B23" s="56" t="s">
        <v>1410</v>
      </c>
      <c r="D23" s="56" t="s">
        <v>1411</v>
      </c>
    </row>
    <row r="24" ht="20" customHeight="1" spans="1:4" s="53" customFormat="1" x14ac:dyDescent="0.25">
      <c r="A24" s="56" t="s">
        <v>1412</v>
      </c>
      <c r="B24" s="56" t="s">
        <v>1413</v>
      </c>
      <c r="D24" s="56" t="s">
        <v>1414</v>
      </c>
    </row>
    <row r="25" ht="20" customHeight="1" spans="1:4" s="53" customFormat="1" x14ac:dyDescent="0.25">
      <c r="A25" s="56" t="s">
        <v>1415</v>
      </c>
      <c r="B25" s="56" t="s">
        <v>1416</v>
      </c>
      <c r="D25" s="56" t="s">
        <v>1417</v>
      </c>
    </row>
    <row r="26" ht="20" customHeight="1" spans="1:4" s="53" customFormat="1" x14ac:dyDescent="0.25">
      <c r="A26" s="56" t="s">
        <v>1418</v>
      </c>
      <c r="B26" s="56" t="s">
        <v>1419</v>
      </c>
      <c r="D26" s="56" t="s">
        <v>1420</v>
      </c>
    </row>
    <row r="27" ht="20" customHeight="1" spans="1:4" s="53" customFormat="1" x14ac:dyDescent="0.25">
      <c r="A27" s="56" t="s">
        <v>1421</v>
      </c>
      <c r="B27" s="56" t="s">
        <v>1422</v>
      </c>
      <c r="D27" s="56" t="s">
        <v>1423</v>
      </c>
    </row>
    <row r="28" ht="20" customHeight="1" spans="1:4" s="53" customFormat="1" x14ac:dyDescent="0.25">
      <c r="A28" s="56" t="s">
        <v>1424</v>
      </c>
      <c r="B28" s="56" t="s">
        <v>1425</v>
      </c>
      <c r="D28" s="56" t="s">
        <v>1426</v>
      </c>
    </row>
    <row r="29" ht="110" customHeight="1" spans="1:4" s="53" customFormat="1" x14ac:dyDescent="0.25">
      <c r="A29" s="56" t="s">
        <v>1427</v>
      </c>
      <c r="B29" s="56" t="s">
        <v>1428</v>
      </c>
      <c r="D29" s="56" t="s">
        <v>1429</v>
      </c>
    </row>
    <row r="30" ht="65" customHeight="1" spans="1:4" s="53" customFormat="1" x14ac:dyDescent="0.25">
      <c r="A30" s="56" t="s">
        <v>1430</v>
      </c>
      <c r="B30" s="56" t="s">
        <v>1431</v>
      </c>
      <c r="D30" s="56" t="s">
        <v>1429</v>
      </c>
    </row>
    <row r="31" ht="35" customHeight="1" spans="1:4" s="53" customFormat="1" x14ac:dyDescent="0.25">
      <c r="A31" s="56" t="s">
        <v>1432</v>
      </c>
      <c r="B31" s="56" t="s">
        <v>1433</v>
      </c>
      <c r="D31" s="56" t="s">
        <v>1434</v>
      </c>
    </row>
    <row r="32" ht="35" customHeight="1" spans="1:4" s="53" customFormat="1" x14ac:dyDescent="0.25">
      <c r="A32" s="56" t="s">
        <v>1435</v>
      </c>
      <c r="B32" s="56" t="s">
        <v>1436</v>
      </c>
      <c r="D32" s="56" t="s">
        <v>1437</v>
      </c>
    </row>
    <row r="33" ht="35" customHeight="1" spans="1:4" s="53" customFormat="1" x14ac:dyDescent="0.25">
      <c r="A33" s="56" t="s">
        <v>1438</v>
      </c>
      <c r="B33" s="56" t="s">
        <v>1439</v>
      </c>
      <c r="D33" s="56" t="s">
        <v>1440</v>
      </c>
    </row>
    <row r="34" ht="20" customHeight="1" spans="1:4" s="53" customFormat="1" x14ac:dyDescent="0.25">
      <c r="A34" s="56" t="s">
        <v>1441</v>
      </c>
      <c r="B34" s="56" t="s">
        <v>1442</v>
      </c>
      <c r="D34" s="56" t="s">
        <v>1443</v>
      </c>
    </row>
    <row r="35" ht="20" customHeight="1" spans="1:4" s="53" customFormat="1" x14ac:dyDescent="0.25">
      <c r="A35" s="56" t="s">
        <v>1444</v>
      </c>
      <c r="B35" s="56" t="s">
        <v>1445</v>
      </c>
      <c r="D35" s="56" t="s">
        <v>1446</v>
      </c>
    </row>
    <row r="36" ht="35" customHeight="1" spans="1:4" s="53" customFormat="1" x14ac:dyDescent="0.25">
      <c r="A36" s="56" t="s">
        <v>1447</v>
      </c>
      <c r="B36" s="56" t="s">
        <v>1448</v>
      </c>
      <c r="D36" s="56" t="s">
        <v>1449</v>
      </c>
    </row>
    <row r="37" ht="80" customHeight="1" spans="1:4" s="53" customFormat="1" x14ac:dyDescent="0.25">
      <c r="A37" s="56" t="s">
        <v>1450</v>
      </c>
      <c r="B37" s="56" t="s">
        <v>1451</v>
      </c>
      <c r="D37" s="56" t="s">
        <v>1452</v>
      </c>
    </row>
    <row r="38" ht="50" customHeight="1" spans="1:4" s="53" customFormat="1" x14ac:dyDescent="0.25">
      <c r="A38" s="56" t="s">
        <v>1453</v>
      </c>
      <c r="B38" s="56" t="s">
        <v>1454</v>
      </c>
      <c r="D38" s="56" t="s">
        <v>1455</v>
      </c>
    </row>
    <row r="39" ht="20" customHeight="1" spans="1:4" s="53" customFormat="1" x14ac:dyDescent="0.25">
      <c r="A39" s="56" t="s">
        <v>1456</v>
      </c>
      <c r="B39" s="56" t="s">
        <v>1457</v>
      </c>
      <c r="D39" s="56" t="s">
        <v>1458</v>
      </c>
    </row>
    <row r="40" ht="20" customHeight="1" spans="1:4" s="53" customFormat="1" x14ac:dyDescent="0.25">
      <c r="A40" s="56" t="s">
        <v>1459</v>
      </c>
      <c r="B40" s="56" t="s">
        <v>1460</v>
      </c>
      <c r="D40" s="56" t="s">
        <v>1461</v>
      </c>
    </row>
    <row r="41" ht="35" customHeight="1" spans="1:4" s="53" customFormat="1" x14ac:dyDescent="0.25">
      <c r="A41" s="56" t="s">
        <v>1462</v>
      </c>
      <c r="B41" s="56" t="s">
        <v>1463</v>
      </c>
      <c r="D41" s="56" t="s">
        <v>1464</v>
      </c>
    </row>
    <row r="42" ht="50" customHeight="1" spans="1:4" s="53" customFormat="1" x14ac:dyDescent="0.25">
      <c r="A42" s="56" t="s">
        <v>1465</v>
      </c>
      <c r="B42" s="56" t="s">
        <v>1466</v>
      </c>
      <c r="D42" s="56" t="s">
        <v>1467</v>
      </c>
    </row>
    <row r="43" ht="20" customHeight="1" spans="1:4" s="53" customFormat="1" x14ac:dyDescent="0.25">
      <c r="A43" s="56" t="s">
        <v>1468</v>
      </c>
      <c r="B43" s="56" t="s">
        <v>1469</v>
      </c>
      <c r="D43" s="56" t="s">
        <v>1470</v>
      </c>
    </row>
    <row r="44" ht="110" customHeight="1" spans="1:4" s="53" customFormat="1" x14ac:dyDescent="0.25">
      <c r="A44" s="56" t="s">
        <v>1471</v>
      </c>
      <c r="B44" s="56" t="s">
        <v>1472</v>
      </c>
      <c r="D44" s="56" t="s">
        <v>1473</v>
      </c>
    </row>
    <row r="45" ht="35" customHeight="1" spans="1:4" s="53" customFormat="1" x14ac:dyDescent="0.25">
      <c r="A45" s="56" t="s">
        <v>1474</v>
      </c>
      <c r="B45" s="56" t="s">
        <v>1475</v>
      </c>
      <c r="D45" s="56" t="s">
        <v>1476</v>
      </c>
    </row>
    <row r="46" ht="20" customHeight="1" spans="1:4" s="53" customFormat="1" x14ac:dyDescent="0.25">
      <c r="A46" s="103" t="s">
        <v>1477</v>
      </c>
      <c r="B46" s="103" t="s">
        <v>1478</v>
      </c>
      <c r="C46" s="56" t="s">
        <v>1479</v>
      </c>
      <c r="D46" s="56" t="s">
        <v>1480</v>
      </c>
    </row>
  </sheetData>
  <hyperlinks>
    <hyperlink ref="A46" r:id="rId1"/>
    <hyperlink ref="B46"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owGridLines="0"/>
  </sheetViews>
  <sheetFormatPr defaultRowHeight="15" outlineLevelRow="0" outlineLevelCol="0" x14ac:dyDescent="55"/>
  <cols>
    <col min="1" max="2" width="2" customWidth="1"/>
    <col min="3" max="3" width="30" style="2" customWidth="1"/>
    <col min="4" max="4" width="2" customWidth="1"/>
    <col min="5" max="10" width="18" customWidth="1"/>
  </cols>
  <sheetData>
    <row r="1" spans="1:10" x14ac:dyDescent="0.25">
      <c r="A1" s="3"/>
      <c r="B1" s="3"/>
      <c r="C1" s="4"/>
      <c r="D1" s="3"/>
      <c r="E1" s="3"/>
      <c r="F1" s="3"/>
      <c r="G1" s="3"/>
      <c r="H1" s="3"/>
      <c r="I1" s="3"/>
      <c r="J1" s="3"/>
    </row>
    <row r="2" spans="1:10" x14ac:dyDescent="0.25">
      <c r="A2" s="3"/>
      <c r="B2" s="5"/>
      <c r="C2" s="6"/>
      <c r="D2" s="7"/>
      <c r="E2" s="7"/>
      <c r="F2" s="7"/>
      <c r="G2" s="7"/>
      <c r="H2" s="7"/>
      <c r="I2" s="8"/>
      <c r="J2" s="3"/>
    </row>
    <row r="3" spans="1:10" x14ac:dyDescent="0.25">
      <c r="A3" s="3"/>
      <c r="B3" s="9"/>
      <c r="C3" s="10" t="s">
        <v>1</v>
      </c>
      <c r="D3" s="11" t="s">
        <v>2</v>
      </c>
      <c r="E3" s="11"/>
      <c r="F3" s="11"/>
      <c r="G3" s="11"/>
      <c r="I3" s="12"/>
      <c r="J3" s="3"/>
    </row>
    <row r="4" spans="1:10" x14ac:dyDescent="0.25">
      <c r="A4" s="3"/>
      <c r="B4" s="9"/>
      <c r="I4" s="12"/>
      <c r="J4" s="3"/>
    </row>
    <row r="5" spans="1:10" x14ac:dyDescent="0.25">
      <c r="A5" s="3"/>
      <c r="B5" s="9"/>
      <c r="C5" s="10" t="s">
        <v>3</v>
      </c>
      <c r="D5" s="11"/>
      <c r="E5" s="11"/>
      <c r="F5" s="11"/>
      <c r="G5" s="11"/>
      <c r="I5" s="12"/>
      <c r="J5" s="3"/>
    </row>
    <row r="6" spans="1:10" x14ac:dyDescent="0.25">
      <c r="A6" s="3"/>
      <c r="B6" s="9"/>
      <c r="I6" s="12"/>
      <c r="J6" s="3"/>
    </row>
    <row r="7" spans="1:10" x14ac:dyDescent="0.25">
      <c r="A7" s="3"/>
      <c r="B7" s="9"/>
      <c r="C7" s="10" t="s">
        <v>4</v>
      </c>
      <c r="D7" s="11"/>
      <c r="E7" s="11"/>
      <c r="F7" s="11"/>
      <c r="G7" s="11"/>
      <c r="I7" s="12"/>
      <c r="J7" s="3"/>
    </row>
    <row r="8" spans="1:10" x14ac:dyDescent="0.25">
      <c r="A8" s="3"/>
      <c r="B8" s="9"/>
      <c r="I8" s="12"/>
      <c r="J8" s="3"/>
    </row>
    <row r="9" spans="1:10" s="13" customFormat="1" x14ac:dyDescent="0.25">
      <c r="A9" s="14" t="s">
        <v>5</v>
      </c>
      <c r="B9" s="15" t="s">
        <v>5</v>
      </c>
      <c r="C9" s="16" t="s">
        <v>6</v>
      </c>
      <c r="D9" s="17" t="s">
        <v>5</v>
      </c>
      <c r="E9" s="17" t="s">
        <v>7</v>
      </c>
      <c r="F9" s="17" t="s">
        <v>8</v>
      </c>
      <c r="G9" s="17" t="s">
        <v>9</v>
      </c>
      <c r="H9" s="15" t="s">
        <v>10</v>
      </c>
      <c r="I9" s="18" t="s">
        <v>11</v>
      </c>
      <c r="J9" s="19"/>
    </row>
    <row r="10" spans="1:10" s="20" customFormat="1" x14ac:dyDescent="0.25">
      <c r="A10" s="21" t="s">
        <v>5</v>
      </c>
      <c r="B10" s="22" t="s">
        <v>5</v>
      </c>
      <c r="C10" s="23" t="s">
        <v>12</v>
      </c>
      <c r="D10" s="24" t="s">
        <v>5</v>
      </c>
      <c r="E10" s="24" t="s">
        <v>13</v>
      </c>
      <c r="F10" s="24" t="s">
        <v>13</v>
      </c>
      <c r="G10" s="24" t="s">
        <v>13</v>
      </c>
      <c r="H10" s="22" t="s">
        <v>13</v>
      </c>
      <c r="I10" s="25" t="s">
        <v>13</v>
      </c>
      <c r="J10" s="26"/>
    </row>
    <row r="11" spans="1:10" s="20" customFormat="1" x14ac:dyDescent="0.25">
      <c r="A11" s="21" t="s">
        <v>5</v>
      </c>
      <c r="B11" s="22" t="s">
        <v>5</v>
      </c>
      <c r="C11" s="23" t="s">
        <v>14</v>
      </c>
      <c r="D11" s="24" t="s">
        <v>5</v>
      </c>
      <c r="E11" s="24">
        <f>=GENERALTotalIdentified</f>
      </c>
      <c r="F11" s="24">
        <f>=GENERALTotalReviewedRiskMitigated</f>
      </c>
      <c r="G11" s="24">
        <f>=GENERALTotalReviewedRiskNotMitigated</f>
      </c>
      <c r="H11" s="27">
        <f>=IF(E11=0, 0,IF(E11&gt;0,(F11)/E11, 1))</f>
      </c>
      <c r="I11" s="28">
        <f>=IF(E11=0, 0,IF(E11&gt;0,(F11+G11)/E11, 1))</f>
      </c>
      <c r="J11" s="26"/>
    </row>
    <row r="12" spans="1:10" s="20" customFormat="1" x14ac:dyDescent="0.25">
      <c r="A12" s="21" t="s">
        <v>5</v>
      </c>
      <c r="B12" s="22" t="s">
        <v>5</v>
      </c>
      <c r="C12" s="23" t="s">
        <v>15</v>
      </c>
      <c r="D12" s="24" t="s">
        <v>5</v>
      </c>
      <c r="E12" s="24">
        <f>=COMPUTETotalIdentified</f>
      </c>
      <c r="F12" s="24">
        <f>=COMPUTETotalReviewedRiskMitigated</f>
      </c>
      <c r="G12" s="24">
        <f>=COMPUTETotalReviewedRiskNotMitigated</f>
      </c>
      <c r="H12" s="27">
        <f>=IF(E12=0, 0,IF(E12&gt;0,(F12)/E12, 1))</f>
      </c>
      <c r="I12" s="28">
        <f>=IF(E12=0, 0,IF(E12&gt;0,(F12+G12)/E12, 1))</f>
      </c>
      <c r="J12" s="26"/>
    </row>
    <row r="13" spans="1:10" s="20" customFormat="1" x14ac:dyDescent="0.25">
      <c r="A13" s="21" t="s">
        <v>5</v>
      </c>
      <c r="B13" s="22" t="s">
        <v>5</v>
      </c>
      <c r="C13" s="23" t="s">
        <v>16</v>
      </c>
      <c r="D13" s="24" t="s">
        <v>5</v>
      </c>
      <c r="E13" s="24">
        <f>=STORAGETotalIdentified</f>
      </c>
      <c r="F13" s="24">
        <f>=STORAGETotalReviewedRiskMitigated</f>
      </c>
      <c r="G13" s="24">
        <f>=STORAGETotalReviewedRiskNotMitigated</f>
      </c>
      <c r="H13" s="27">
        <f>=IF(E13=0, 0,IF(E13&gt;0,(F13)/E13, 1))</f>
      </c>
      <c r="I13" s="28">
        <f>=IF(E13=0, 0,IF(E13&gt;0,(F13+G13)/E13, 1))</f>
      </c>
      <c r="J13" s="26"/>
    </row>
    <row r="14" spans="1:10" s="20" customFormat="1" x14ac:dyDescent="0.25">
      <c r="A14" s="21" t="s">
        <v>5</v>
      </c>
      <c r="B14" s="22" t="s">
        <v>5</v>
      </c>
      <c r="C14" s="23" t="s">
        <v>17</v>
      </c>
      <c r="D14" s="24" t="s">
        <v>5</v>
      </c>
      <c r="E14" s="24">
        <f>=DATABASESTotalIdentified</f>
      </c>
      <c r="F14" s="24">
        <f>=DATABASESTotalReviewedRiskMitigated</f>
      </c>
      <c r="G14" s="24">
        <f>=DATABASESTotalReviewedRiskNotMitigated</f>
      </c>
      <c r="H14" s="27">
        <f>=IF(E14=0, 0,IF(E14&gt;0,(F14)/E14, 1))</f>
      </c>
      <c r="I14" s="28">
        <f>=IF(E14=0, 0,IF(E14&gt;0,(F14+G14)/E14, 1))</f>
      </c>
      <c r="J14" s="26"/>
    </row>
    <row r="15" spans="1:10" s="20" customFormat="1" x14ac:dyDescent="0.25">
      <c r="A15" s="21" t="s">
        <v>5</v>
      </c>
      <c r="B15" s="22" t="s">
        <v>5</v>
      </c>
      <c r="C15" s="23" t="s">
        <v>18</v>
      </c>
      <c r="D15" s="24" t="s">
        <v>5</v>
      </c>
      <c r="E15" s="24">
        <f>=NETWORK_AND_DELIVERYTotalIdentified</f>
      </c>
      <c r="F15" s="24">
        <f>=NETWORK_AND_DELIVERYTotalReviewedRiskMitigated</f>
      </c>
      <c r="G15" s="24">
        <f>=NETWORK_AND_DELIVERYTotalReviewedRiskNotMitigated</f>
      </c>
      <c r="H15" s="27">
        <f>=IF(E15=0, 0,IF(E15&gt;0,(F15)/E15, 1))</f>
      </c>
      <c r="I15" s="28">
        <f>=IF(E15=0, 0,IF(E15&gt;0,(F15+G15)/E15, 1))</f>
      </c>
      <c r="J15" s="26"/>
    </row>
    <row r="16" spans="1:10" s="20" customFormat="1" x14ac:dyDescent="0.25">
      <c r="A16" s="21" t="s">
        <v>5</v>
      </c>
      <c r="B16" s="22" t="s">
        <v>5</v>
      </c>
      <c r="C16" s="23" t="s">
        <v>19</v>
      </c>
      <c r="D16" s="24" t="s">
        <v>5</v>
      </c>
      <c r="E16" s="24">
        <f>=MANAGEMENT_AND_GOVERNANCETotalIdentified</f>
      </c>
      <c r="F16" s="24">
        <f>=MANAGEMENT_AND_GOVERNANCETotalReviewedRiskMitigated</f>
      </c>
      <c r="G16" s="24">
        <f>=MANAGEMENT_AND_GOVERNANCETotalReviewedRiskNotMitigated</f>
      </c>
      <c r="H16" s="27">
        <f>=IF(E16=0, 0,IF(E16&gt;0,(F16)/E16, 1))</f>
      </c>
      <c r="I16" s="28">
        <f>=IF(E16=0, 0,IF(E16&gt;0,(F16+G16)/E16, 1))</f>
      </c>
      <c r="J16" s="26"/>
    </row>
    <row r="17" spans="1:10" s="20" customFormat="1" x14ac:dyDescent="0.25">
      <c r="A17" s="21" t="s">
        <v>5</v>
      </c>
      <c r="B17" s="22" t="s">
        <v>5</v>
      </c>
      <c r="C17" s="23" t="s">
        <v>20</v>
      </c>
      <c r="D17" s="24" t="s">
        <v>5</v>
      </c>
      <c r="E17" s="24">
        <f>=MACHINE_LEARNINGTotalIdentified</f>
      </c>
      <c r="F17" s="24">
        <f>=MACHINE_LEARNINGTotalReviewedRiskMitigated</f>
      </c>
      <c r="G17" s="24">
        <f>=MACHINE_LEARNINGTotalReviewedRiskNotMitigated</f>
      </c>
      <c r="H17" s="27">
        <f>=IF(E17=0, 0,IF(E17&gt;0,(F17)/E17, 1))</f>
      </c>
      <c r="I17" s="28">
        <f>=IF(E17=0, 0,IF(E17&gt;0,(F17+G17)/E17, 1))</f>
      </c>
      <c r="J17" s="26"/>
    </row>
    <row r="18" spans="1:10" s="20" customFormat="1" x14ac:dyDescent="0.25">
      <c r="A18" s="21" t="s">
        <v>5</v>
      </c>
      <c r="B18" s="22" t="s">
        <v>5</v>
      </c>
      <c r="C18" s="23" t="s">
        <v>21</v>
      </c>
      <c r="D18" s="24" t="s">
        <v>5</v>
      </c>
      <c r="E18" s="24">
        <f>=ANALYTICSTotalIdentified</f>
      </c>
      <c r="F18" s="24">
        <f>=ANALYTICSTotalReviewedRiskMitigated</f>
      </c>
      <c r="G18" s="24">
        <f>=ANALYTICSTotalReviewedRiskNotMitigated</f>
      </c>
      <c r="H18" s="27">
        <f>=IF(E18=0, 0,IF(E18&gt;0,(F18)/E18, 1))</f>
      </c>
      <c r="I18" s="28">
        <f>=IF(E18=0, 0,IF(E18&gt;0,(F18+G18)/E18, 1))</f>
      </c>
      <c r="J18" s="26"/>
    </row>
    <row r="19" spans="1:10" s="20" customFormat="1" x14ac:dyDescent="0.25">
      <c r="A19" s="21" t="s">
        <v>5</v>
      </c>
      <c r="B19" s="22" t="s">
        <v>5</v>
      </c>
      <c r="C19" s="23" t="s">
        <v>22</v>
      </c>
      <c r="D19" s="24" t="s">
        <v>5</v>
      </c>
      <c r="E19" s="24">
        <f>=SECURITY_AND_COMPLIANCETotalIdentified</f>
      </c>
      <c r="F19" s="24">
        <f>=SECURITY_AND_COMPLIANCETotalReviewedRiskMitigated</f>
      </c>
      <c r="G19" s="24">
        <f>=SECURITY_AND_COMPLIANCETotalReviewedRiskNotMitigated</f>
      </c>
      <c r="H19" s="27">
        <f>=IF(E19=0, 0,IF(E19&gt;0,(F19)/E19, 1))</f>
      </c>
      <c r="I19" s="28">
        <f>=IF(E19=0, 0,IF(E19&gt;0,(F19+G19)/E19, 1))</f>
      </c>
      <c r="J19" s="26"/>
    </row>
    <row r="20" spans="1:10" s="20" customFormat="1" x14ac:dyDescent="0.25">
      <c r="A20" s="21" t="s">
        <v>5</v>
      </c>
      <c r="B20" s="22" t="s">
        <v>5</v>
      </c>
      <c r="C20" s="23" t="s">
        <v>23</v>
      </c>
      <c r="D20" s="24" t="s">
        <v>5</v>
      </c>
      <c r="E20" s="24">
        <f>=SERVERLESSTotalIdentified</f>
      </c>
      <c r="F20" s="24">
        <f>=SERVERLESSTotalReviewedRiskMitigated</f>
      </c>
      <c r="G20" s="24">
        <f>=SERVERLESSTotalReviewedRiskNotMitigated</f>
      </c>
      <c r="H20" s="27">
        <f>=IF(E20=0, 0,IF(E20&gt;0,(F20)/E20, 1))</f>
      </c>
      <c r="I20" s="28">
        <f>=IF(E20=0, 0,IF(E20&gt;0,(F20+G20)/E20, 1))</f>
      </c>
      <c r="J20" s="26"/>
    </row>
    <row r="21" spans="1:10" s="20" customFormat="1" x14ac:dyDescent="0.25">
      <c r="A21" s="21" t="s">
        <v>5</v>
      </c>
      <c r="B21" s="22" t="s">
        <v>5</v>
      </c>
      <c r="C21" s="23" t="s">
        <v>24</v>
      </c>
      <c r="D21" s="24" t="s">
        <v>5</v>
      </c>
      <c r="E21" s="24">
        <f>=APPLICATION_INTEGRATIONTotalIdentified</f>
      </c>
      <c r="F21" s="24">
        <f>=APPLICATION_INTEGRATIONTotalReviewedRiskMitigated</f>
      </c>
      <c r="G21" s="24">
        <f>=APPLICATION_INTEGRATIONTotalReviewedRiskNotMitigated</f>
      </c>
      <c r="H21" s="27">
        <f>=IF(E21=0, 0,IF(E21&gt;0,(F21)/E21, 1))</f>
      </c>
      <c r="I21" s="28">
        <f>=IF(E21=0, 0,IF(E21&gt;0,(F21+G21)/E21, 1))</f>
      </c>
      <c r="J21" s="26"/>
    </row>
    <row r="22" spans="1:10" s="20" customFormat="1" x14ac:dyDescent="0.25">
      <c r="A22" s="21" t="s">
        <v>5</v>
      </c>
      <c r="B22" s="22" t="s">
        <v>5</v>
      </c>
      <c r="C22" s="23" t="s">
        <v>25</v>
      </c>
      <c r="D22" s="24" t="s">
        <v>5</v>
      </c>
      <c r="E22" s="24">
        <f>=MEDIA_SERVICESTotalIdentified</f>
      </c>
      <c r="F22" s="24">
        <f>=MEDIA_SERVICESTotalReviewedRiskMitigated</f>
      </c>
      <c r="G22" s="24">
        <f>=MEDIA_SERVICESTotalReviewedRiskNotMitigated</f>
      </c>
      <c r="H22" s="27">
        <f>=IF(E22=0, 0,IF(E22&gt;0,(F22)/E22, 1))</f>
      </c>
      <c r="I22" s="28">
        <f>=IF(E22=0, 0,IF(E22&gt;0,(F22+G22)/E22, 1))</f>
      </c>
      <c r="J22" s="26"/>
    </row>
    <row r="23" spans="1:10" s="20" customFormat="1" x14ac:dyDescent="0.25">
      <c r="A23" s="21" t="s">
        <v>5</v>
      </c>
      <c r="B23" s="22" t="s">
        <v>5</v>
      </c>
      <c r="C23" s="23" t="s">
        <v>26</v>
      </c>
      <c r="D23" s="24" t="s">
        <v>5</v>
      </c>
      <c r="E23" s="24">
        <f>=DEVELOPER_TOOLSTotalIdentified</f>
      </c>
      <c r="F23" s="24">
        <f>=DEVELOPER_TOOLSTotalReviewedRiskMitigated</f>
      </c>
      <c r="G23" s="24">
        <f>=DEVELOPER_TOOLSTotalReviewedRiskNotMitigated</f>
      </c>
      <c r="H23" s="27">
        <f>=IF(E23=0, 0,IF(E23&gt;0,(F23)/E23, 1))</f>
      </c>
      <c r="I23" s="28">
        <f>=IF(E23=0, 0,IF(E23&gt;0,(F23+G23)/E23, 1))</f>
      </c>
      <c r="J23" s="26"/>
    </row>
    <row r="24" spans="1:10" s="20" customFormat="1" x14ac:dyDescent="0.25">
      <c r="A24" s="21" t="s">
        <v>5</v>
      </c>
      <c r="B24" s="22" t="s">
        <v>5</v>
      </c>
      <c r="C24" s="23" t="s">
        <v>27</v>
      </c>
      <c r="D24" s="24" t="s">
        <v>5</v>
      </c>
      <c r="E24" s="24">
        <f>=INTERNET_OF_THINGSTotalIdentified</f>
      </c>
      <c r="F24" s="24">
        <f>=INTERNET_OF_THINGSTotalReviewedRiskMitigated</f>
      </c>
      <c r="G24" s="24">
        <f>=INTERNET_OF_THINGSTotalReviewedRiskNotMitigated</f>
      </c>
      <c r="H24" s="27">
        <f>=IF(E24=0, 0,IF(E24&gt;0,(F24)/E24, 1))</f>
      </c>
      <c r="I24" s="28">
        <f>=IF(E24=0, 0,IF(E24&gt;0,(F24+G24)/E24, 1))</f>
      </c>
      <c r="J24" s="26"/>
    </row>
    <row r="25" spans="1:10" x14ac:dyDescent="0.25">
      <c r="A25" s="3"/>
      <c r="B25" s="9"/>
      <c r="H25" s="9"/>
      <c r="I25" s="12"/>
      <c r="J25" s="3"/>
    </row>
    <row r="26" spans="1:10" s="13" customFormat="1" x14ac:dyDescent="0.25">
      <c r="A26" s="14" t="s">
        <v>5</v>
      </c>
      <c r="B26" s="15" t="s">
        <v>5</v>
      </c>
      <c r="C26" s="29" t="s">
        <v>28</v>
      </c>
      <c r="D26" s="30" t="s">
        <v>5</v>
      </c>
      <c r="E26" s="30">
        <f>=SUM(E11:E24)</f>
      </c>
      <c r="F26" s="30">
        <f>=SUM(F11:F24)</f>
      </c>
      <c r="G26" s="30">
        <f>=SUM(G11:G24)</f>
      </c>
      <c r="H26" s="31">
        <f>=IF(E26=0, 0,IF(E26&gt;0,(F26)/E26, 1))</f>
      </c>
      <c r="I26" s="32">
        <f>=IF(E26=0, 0,IF(E26&gt;0,(F26+G26)/E26, 1))</f>
      </c>
      <c r="J26" s="14" t="s">
        <v>5</v>
      </c>
    </row>
    <row r="27" spans="1:10" x14ac:dyDescent="0.25">
      <c r="A27" s="3"/>
      <c r="B27" s="9"/>
      <c r="I27" s="12"/>
      <c r="J27" s="3"/>
    </row>
    <row r="28" spans="1:10" x14ac:dyDescent="0.25">
      <c r="A28" s="3"/>
      <c r="B28" s="9"/>
      <c r="C28" s="23" t="s">
        <v>29</v>
      </c>
      <c r="I28" s="12"/>
      <c r="J28" s="3"/>
    </row>
    <row r="29" spans="1:10" x14ac:dyDescent="0.25">
      <c r="A29" s="3"/>
      <c r="B29" s="33"/>
      <c r="C29" s="34"/>
      <c r="D29" s="35"/>
      <c r="E29" s="35"/>
      <c r="F29" s="35"/>
      <c r="G29" s="35"/>
      <c r="H29" s="35"/>
      <c r="I29" s="36"/>
      <c r="J29" s="3"/>
    </row>
    <row r="30" spans="1:10" x14ac:dyDescent="0.25">
      <c r="A30" s="3"/>
      <c r="B30" s="3"/>
      <c r="C30" s="4"/>
      <c r="D30" s="3"/>
      <c r="E30" s="3"/>
      <c r="F30" s="3"/>
      <c r="G30" s="3"/>
      <c r="H30" s="3"/>
      <c r="I30" s="3"/>
      <c r="J30" s="3"/>
    </row>
  </sheetData>
  <mergeCells count="3">
    <mergeCell ref="D3:G3"/>
    <mergeCell ref="D5:G5"/>
    <mergeCell ref="D7:G7"/>
  </mergeCells>
  <conditionalFormatting sqref="$F$11">
    <cfRule type="cellIs" dxfId="0" priority="1" operator="greaterThan">
      <formula>0</formula>
    </cfRule>
  </conditionalFormatting>
  <conditionalFormatting sqref="$G$11">
    <cfRule type="cellIs" dxfId="1" priority="1" operator="greaterThan">
      <formula>0</formula>
    </cfRule>
  </conditionalFormatting>
  <conditionalFormatting sqref="$F$12">
    <cfRule type="cellIs" dxfId="2" priority="1" operator="greaterThan">
      <formula>0</formula>
    </cfRule>
  </conditionalFormatting>
  <conditionalFormatting sqref="$G$12">
    <cfRule type="cellIs" dxfId="3" priority="1" operator="greaterThan">
      <formula>0</formula>
    </cfRule>
  </conditionalFormatting>
  <conditionalFormatting sqref="$F$13">
    <cfRule type="cellIs" dxfId="4" priority="1" operator="greaterThan">
      <formula>0</formula>
    </cfRule>
  </conditionalFormatting>
  <conditionalFormatting sqref="$G$13">
    <cfRule type="cellIs" dxfId="5" priority="1" operator="greaterThan">
      <formula>0</formula>
    </cfRule>
  </conditionalFormatting>
  <conditionalFormatting sqref="$F$14">
    <cfRule type="cellIs" dxfId="6" priority="1" operator="greaterThan">
      <formula>0</formula>
    </cfRule>
  </conditionalFormatting>
  <conditionalFormatting sqref="$G$14">
    <cfRule type="cellIs" dxfId="7" priority="1" operator="greaterThan">
      <formula>0</formula>
    </cfRule>
  </conditionalFormatting>
  <conditionalFormatting sqref="$F$15">
    <cfRule type="cellIs" dxfId="8" priority="1" operator="greaterThan">
      <formula>0</formula>
    </cfRule>
  </conditionalFormatting>
  <conditionalFormatting sqref="$G$15">
    <cfRule type="cellIs" dxfId="9" priority="1" operator="greaterThan">
      <formula>0</formula>
    </cfRule>
  </conditionalFormatting>
  <conditionalFormatting sqref="$F$16">
    <cfRule type="cellIs" dxfId="10" priority="1" operator="greaterThan">
      <formula>0</formula>
    </cfRule>
  </conditionalFormatting>
  <conditionalFormatting sqref="$G$16">
    <cfRule type="cellIs" dxfId="11" priority="1" operator="greaterThan">
      <formula>0</formula>
    </cfRule>
  </conditionalFormatting>
  <conditionalFormatting sqref="$F$17">
    <cfRule type="cellIs" dxfId="12" priority="1" operator="greaterThan">
      <formula>0</formula>
    </cfRule>
  </conditionalFormatting>
  <conditionalFormatting sqref="$G$17">
    <cfRule type="cellIs" dxfId="13" priority="1" operator="greaterThan">
      <formula>0</formula>
    </cfRule>
  </conditionalFormatting>
  <conditionalFormatting sqref="$F$18">
    <cfRule type="cellIs" dxfId="14" priority="1" operator="greaterThan">
      <formula>0</formula>
    </cfRule>
  </conditionalFormatting>
  <conditionalFormatting sqref="$G$18">
    <cfRule type="cellIs" dxfId="15" priority="1" operator="greaterThan">
      <formula>0</formula>
    </cfRule>
  </conditionalFormatting>
  <conditionalFormatting sqref="$F$19">
    <cfRule type="cellIs" dxfId="16" priority="1" operator="greaterThan">
      <formula>0</formula>
    </cfRule>
  </conditionalFormatting>
  <conditionalFormatting sqref="$G$19">
    <cfRule type="cellIs" dxfId="17" priority="1" operator="greaterThan">
      <formula>0</formula>
    </cfRule>
  </conditionalFormatting>
  <conditionalFormatting sqref="$F$20">
    <cfRule type="cellIs" dxfId="18" priority="1" operator="greaterThan">
      <formula>0</formula>
    </cfRule>
  </conditionalFormatting>
  <conditionalFormatting sqref="$G$20">
    <cfRule type="cellIs" dxfId="19" priority="1" operator="greaterThan">
      <formula>0</formula>
    </cfRule>
  </conditionalFormatting>
  <conditionalFormatting sqref="$F$21">
    <cfRule type="cellIs" dxfId="20" priority="1" operator="greaterThan">
      <formula>0</formula>
    </cfRule>
  </conditionalFormatting>
  <conditionalFormatting sqref="$G$21">
    <cfRule type="cellIs" dxfId="21" priority="1" operator="greaterThan">
      <formula>0</formula>
    </cfRule>
  </conditionalFormatting>
  <conditionalFormatting sqref="$F$22">
    <cfRule type="cellIs" dxfId="22" priority="1" operator="greaterThan">
      <formula>0</formula>
    </cfRule>
  </conditionalFormatting>
  <conditionalFormatting sqref="$G$22">
    <cfRule type="cellIs" dxfId="23" priority="1" operator="greaterThan">
      <formula>0</formula>
    </cfRule>
  </conditionalFormatting>
  <conditionalFormatting sqref="$F$23">
    <cfRule type="cellIs" dxfId="24" priority="1" operator="greaterThan">
      <formula>0</formula>
    </cfRule>
  </conditionalFormatting>
  <conditionalFormatting sqref="$G$23">
    <cfRule type="cellIs" dxfId="25" priority="1" operator="greaterThan">
      <formula>0</formula>
    </cfRule>
  </conditionalFormatting>
  <conditionalFormatting sqref="$F$24">
    <cfRule type="cellIs" dxfId="26" priority="1" operator="greaterThan">
      <formula>0</formula>
    </cfRule>
  </conditionalFormatting>
  <conditionalFormatting sqref="$G$24">
    <cfRule type="cellIs" dxfId="27" priority="1" operator="greaterThan">
      <formula>0</formula>
    </cfRule>
  </conditionalFormatting>
  <conditionalFormatting sqref="F26">
    <cfRule type="cellIs" dxfId="28" priority="1" operator="greaterThan">
      <formula>0</formula>
    </cfRule>
  </conditionalFormatting>
  <conditionalFormatting sqref="G26">
    <cfRule type="cellIs" dxfId="29" priority="1" operator="greaterThan">
      <formula>0</formula>
    </cfRule>
  </conditionalFormatting>
  <hyperlinks>
    <hyperlink ref="C10" r:id="rId1" location="#'List of Services'!A1"/>
    <hyperlink ref="C11" r:id="rId2" location="#'I. General'!A1"/>
    <hyperlink ref="C12" r:id="rId3" location="#'II. Compute'!A1"/>
    <hyperlink ref="C13" r:id="rId4" location="#'III. Storage'!A1"/>
    <hyperlink ref="C14" r:id="rId5" location="#'IV. Databases'!A1"/>
    <hyperlink ref="C15" r:id="rId6" location="#'V. Network &amp; Delivery'!A1"/>
    <hyperlink ref="C16" r:id="rId7" location="#'VI. Management &amp; Governance'!A1"/>
    <hyperlink ref="C17" r:id="rId8" location="#'VII. Machine Learning'!A1"/>
    <hyperlink ref="C18" r:id="rId9" location="#'VIII. Analytics'!A1"/>
    <hyperlink ref="C19" r:id="rId10" location="#'IX. Security &amp; Compliance'!A1"/>
    <hyperlink ref="C20" r:id="rId11" location="#'X. Serverless'!A1"/>
    <hyperlink ref="C21" r:id="rId12" location="#'XI. Application Integration'!A1"/>
    <hyperlink ref="C22" r:id="rId13" location="#'XII. Media Services'!A1"/>
    <hyperlink ref="C23" r:id="rId14" location="#'XIII. Developer Tools'!A1"/>
    <hyperlink ref="C24" r:id="rId15" location="#'XIV. Internet of Things'!A1"/>
    <hyperlink ref="C28" r:id="rId16"/>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FormatPr defaultRowHeight="15" outlineLevelRow="0" outlineLevelCol="0" x14ac:dyDescent="55"/>
  <cols>
    <col min="1" max="1" width="22" customWidth="1"/>
    <col min="4" max="4" width="22" customWidth="1"/>
    <col min="7" max="7" width="22" customWidth="1"/>
    <col min="10" max="10" width="22" customWidth="1"/>
    <col min="13" max="13" width="22" customWidth="1"/>
  </cols>
  <sheetData>
    <row r="1" spans="1:9" x14ac:dyDescent="0.25">
      <c r="A1" s="37" t="s">
        <v>30</v>
      </c>
      <c r="B1" s="37"/>
      <c r="C1" s="37"/>
      <c r="D1" s="37"/>
      <c r="E1" s="37"/>
      <c r="F1" s="37"/>
      <c r="G1" s="37"/>
      <c r="H1" s="37"/>
      <c r="I1" s="37"/>
    </row>
    <row r="2" spans="20:21" x14ac:dyDescent="0.25">
      <c r="T2" s="38" t="s">
        <v>7</v>
      </c>
      <c r="U2" s="38">
        <v>67</v>
      </c>
    </row>
    <row r="3" spans="1:21" x14ac:dyDescent="0.25">
      <c r="A3" s="37" t="s">
        <v>31</v>
      </c>
      <c r="B3" s="37"/>
      <c r="C3" s="37"/>
      <c r="D3" s="37"/>
      <c r="E3" s="37"/>
      <c r="F3" s="38" t="s">
        <v>32</v>
      </c>
      <c r="G3" s="37" t="s">
        <v>33</v>
      </c>
      <c r="H3" s="37"/>
      <c r="T3" s="38" t="s">
        <v>34</v>
      </c>
      <c r="U3" s="38">
        <f>=COUNTIFS(A8:O38, "Yes")+COUNTIFS(A8:O38, "No")</f>
      </c>
    </row>
    <row r="4" spans="1:1" x14ac:dyDescent="0.25">
      <c r="A4" s="38" t="s">
        <v>5</v>
      </c>
    </row>
    <row r="8" spans="1:15" x14ac:dyDescent="0.25">
      <c r="A8" s="39" t="s">
        <v>15</v>
      </c>
      <c r="B8" s="40" t="s">
        <v>35</v>
      </c>
      <c r="C8" s="38" t="s">
        <v>5</v>
      </c>
      <c r="D8" s="39" t="s">
        <v>18</v>
      </c>
      <c r="E8" s="40" t="s">
        <v>35</v>
      </c>
      <c r="F8" s="38" t="s">
        <v>5</v>
      </c>
      <c r="G8" s="39" t="s">
        <v>21</v>
      </c>
      <c r="H8" s="40" t="s">
        <v>35</v>
      </c>
      <c r="I8" s="38" t="s">
        <v>5</v>
      </c>
      <c r="J8" s="39" t="s">
        <v>24</v>
      </c>
      <c r="K8" s="40" t="s">
        <v>35</v>
      </c>
      <c r="L8" s="38" t="s">
        <v>5</v>
      </c>
      <c r="M8" s="39" t="s">
        <v>27</v>
      </c>
      <c r="N8" s="40" t="s">
        <v>35</v>
      </c>
      <c r="O8" s="38" t="s">
        <v>5</v>
      </c>
    </row>
    <row r="9" spans="1:15" x14ac:dyDescent="0.25">
      <c r="A9" s="38" t="s">
        <v>36</v>
      </c>
      <c r="B9" s="38" t="s">
        <v>37</v>
      </c>
      <c r="C9" s="38" t="s">
        <v>5</v>
      </c>
      <c r="D9" s="38" t="s">
        <v>38</v>
      </c>
      <c r="E9" s="38" t="s">
        <v>37</v>
      </c>
      <c r="F9" s="38" t="s">
        <v>5</v>
      </c>
      <c r="G9" s="38" t="s">
        <v>39</v>
      </c>
      <c r="H9" s="38" t="s">
        <v>37</v>
      </c>
      <c r="I9" s="38" t="s">
        <v>5</v>
      </c>
      <c r="J9" s="38" t="s">
        <v>40</v>
      </c>
      <c r="K9" s="38" t="s">
        <v>37</v>
      </c>
      <c r="L9" s="38" t="s">
        <v>5</v>
      </c>
      <c r="M9" s="38" t="s">
        <v>41</v>
      </c>
      <c r="N9" s="38" t="s">
        <v>37</v>
      </c>
      <c r="O9" s="38" t="s">
        <v>5</v>
      </c>
    </row>
    <row r="10" spans="1:15" x14ac:dyDescent="0.25">
      <c r="A10" s="38" t="s">
        <v>42</v>
      </c>
      <c r="B10" s="38" t="s">
        <v>37</v>
      </c>
      <c r="C10" s="38" t="s">
        <v>5</v>
      </c>
      <c r="D10" s="38" t="s">
        <v>43</v>
      </c>
      <c r="E10" s="38" t="s">
        <v>37</v>
      </c>
      <c r="F10" s="38" t="s">
        <v>5</v>
      </c>
      <c r="G10" s="38" t="s">
        <v>44</v>
      </c>
      <c r="H10" s="38" t="s">
        <v>37</v>
      </c>
      <c r="I10" s="38" t="s">
        <v>5</v>
      </c>
      <c r="J10" s="38" t="s">
        <v>45</v>
      </c>
      <c r="K10" s="38" t="s">
        <v>37</v>
      </c>
      <c r="L10" s="38" t="s">
        <v>5</v>
      </c>
      <c r="M10" s="38" t="s">
        <v>5</v>
      </c>
      <c r="N10" s="38" t="s">
        <v>5</v>
      </c>
      <c r="O10" s="38" t="s">
        <v>5</v>
      </c>
    </row>
    <row r="11" spans="1:15" x14ac:dyDescent="0.25">
      <c r="A11" s="38" t="s">
        <v>46</v>
      </c>
      <c r="B11" s="38" t="s">
        <v>37</v>
      </c>
      <c r="C11" s="38" t="s">
        <v>5</v>
      </c>
      <c r="D11" s="38" t="s">
        <v>47</v>
      </c>
      <c r="E11" s="38" t="s">
        <v>37</v>
      </c>
      <c r="F11" s="38" t="s">
        <v>5</v>
      </c>
      <c r="G11" s="38" t="s">
        <v>48</v>
      </c>
      <c r="H11" s="38" t="s">
        <v>37</v>
      </c>
      <c r="I11" s="38" t="s">
        <v>5</v>
      </c>
      <c r="J11" s="38" t="s">
        <v>49</v>
      </c>
      <c r="K11" s="38" t="s">
        <v>37</v>
      </c>
      <c r="L11" s="38" t="s">
        <v>5</v>
      </c>
      <c r="M11" s="38" t="s">
        <v>5</v>
      </c>
      <c r="N11" s="38" t="s">
        <v>5</v>
      </c>
      <c r="O11" s="38" t="s">
        <v>5</v>
      </c>
    </row>
    <row r="12" spans="1:15" x14ac:dyDescent="0.25">
      <c r="A12" s="38" t="s">
        <v>50</v>
      </c>
      <c r="B12" s="38" t="s">
        <v>37</v>
      </c>
      <c r="C12" s="38" t="s">
        <v>5</v>
      </c>
      <c r="D12" s="38" t="s">
        <v>51</v>
      </c>
      <c r="E12" s="38" t="s">
        <v>37</v>
      </c>
      <c r="F12" s="38" t="s">
        <v>5</v>
      </c>
      <c r="G12" s="38" t="s">
        <v>52</v>
      </c>
      <c r="H12" s="38" t="s">
        <v>37</v>
      </c>
      <c r="I12" s="38" t="s">
        <v>5</v>
      </c>
      <c r="J12" s="38" t="s">
        <v>5</v>
      </c>
      <c r="K12" s="38" t="s">
        <v>5</v>
      </c>
      <c r="L12" s="38" t="s">
        <v>5</v>
      </c>
      <c r="M12" s="38" t="s">
        <v>5</v>
      </c>
      <c r="N12" s="38" t="s">
        <v>5</v>
      </c>
      <c r="O12" s="38" t="s">
        <v>5</v>
      </c>
    </row>
    <row r="13" spans="1:15" x14ac:dyDescent="0.25">
      <c r="A13" s="38" t="s">
        <v>53</v>
      </c>
      <c r="B13" s="38" t="s">
        <v>37</v>
      </c>
      <c r="C13" s="38" t="s">
        <v>5</v>
      </c>
      <c r="D13" s="38" t="s">
        <v>54</v>
      </c>
      <c r="E13" s="38" t="s">
        <v>37</v>
      </c>
      <c r="F13" s="38" t="s">
        <v>5</v>
      </c>
      <c r="G13" s="38" t="s">
        <v>55</v>
      </c>
      <c r="H13" s="38" t="s">
        <v>37</v>
      </c>
      <c r="I13" s="38" t="s">
        <v>5</v>
      </c>
      <c r="J13" s="38" t="s">
        <v>5</v>
      </c>
      <c r="K13" s="38" t="s">
        <v>5</v>
      </c>
      <c r="L13" s="38" t="s">
        <v>5</v>
      </c>
      <c r="M13" s="38" t="s">
        <v>5</v>
      </c>
      <c r="N13" s="38" t="s">
        <v>5</v>
      </c>
      <c r="O13" s="38" t="s">
        <v>5</v>
      </c>
    </row>
    <row r="14" spans="1:15" x14ac:dyDescent="0.25">
      <c r="A14" s="38" t="s">
        <v>56</v>
      </c>
      <c r="B14" s="38" t="s">
        <v>37</v>
      </c>
      <c r="C14" s="38" t="s">
        <v>5</v>
      </c>
      <c r="D14" s="38" t="s">
        <v>57</v>
      </c>
      <c r="E14" s="38" t="s">
        <v>37</v>
      </c>
      <c r="F14" s="38" t="s">
        <v>5</v>
      </c>
      <c r="G14" s="38" t="s">
        <v>58</v>
      </c>
      <c r="H14" s="38" t="s">
        <v>37</v>
      </c>
      <c r="I14" s="38" t="s">
        <v>5</v>
      </c>
      <c r="J14" s="38" t="s">
        <v>5</v>
      </c>
      <c r="K14" s="38" t="s">
        <v>5</v>
      </c>
      <c r="L14" s="38" t="s">
        <v>5</v>
      </c>
      <c r="M14" s="38" t="s">
        <v>5</v>
      </c>
      <c r="N14" s="38" t="s">
        <v>5</v>
      </c>
      <c r="O14" s="38" t="s">
        <v>5</v>
      </c>
    </row>
    <row r="15" spans="1:15" x14ac:dyDescent="0.25">
      <c r="A15" s="38" t="s">
        <v>59</v>
      </c>
      <c r="B15" s="38" t="s">
        <v>37</v>
      </c>
      <c r="C15" s="38" t="s">
        <v>5</v>
      </c>
      <c r="D15" s="38" t="s">
        <v>5</v>
      </c>
      <c r="E15" s="38" t="s">
        <v>5</v>
      </c>
      <c r="F15" s="38" t="s">
        <v>5</v>
      </c>
      <c r="G15" s="38" t="s">
        <v>60</v>
      </c>
      <c r="H15" s="38" t="s">
        <v>37</v>
      </c>
      <c r="I15" s="38" t="s">
        <v>5</v>
      </c>
      <c r="J15" s="38" t="s">
        <v>5</v>
      </c>
      <c r="K15" s="38" t="s">
        <v>5</v>
      </c>
      <c r="L15" s="38" t="s">
        <v>5</v>
      </c>
      <c r="M15" s="38" t="s">
        <v>5</v>
      </c>
      <c r="N15" s="38" t="s">
        <v>5</v>
      </c>
      <c r="O15" s="38" t="s">
        <v>5</v>
      </c>
    </row>
    <row r="16" spans="1:15" x14ac:dyDescent="0.25">
      <c r="A16" s="38" t="s">
        <v>61</v>
      </c>
      <c r="B16" s="38" t="s">
        <v>37</v>
      </c>
      <c r="C16" s="38" t="s">
        <v>5</v>
      </c>
      <c r="D16" s="38" t="s">
        <v>5</v>
      </c>
      <c r="E16" s="38" t="s">
        <v>5</v>
      </c>
      <c r="F16" s="38" t="s">
        <v>5</v>
      </c>
      <c r="G16" s="38" t="s">
        <v>5</v>
      </c>
      <c r="H16" s="38" t="s">
        <v>5</v>
      </c>
      <c r="I16" s="38" t="s">
        <v>5</v>
      </c>
      <c r="J16" s="38" t="s">
        <v>5</v>
      </c>
      <c r="K16" s="38" t="s">
        <v>5</v>
      </c>
      <c r="L16" s="38" t="s">
        <v>5</v>
      </c>
      <c r="M16" s="38" t="s">
        <v>5</v>
      </c>
      <c r="N16" s="38" t="s">
        <v>5</v>
      </c>
      <c r="O16" s="38" t="s">
        <v>5</v>
      </c>
    </row>
    <row r="18" spans="1:12" x14ac:dyDescent="0.25">
      <c r="A18" s="39" t="s">
        <v>16</v>
      </c>
      <c r="B18" s="40" t="s">
        <v>35</v>
      </c>
      <c r="C18" s="38" t="s">
        <v>5</v>
      </c>
      <c r="D18" s="39" t="s">
        <v>19</v>
      </c>
      <c r="E18" s="40" t="s">
        <v>35</v>
      </c>
      <c r="F18" s="38" t="s">
        <v>5</v>
      </c>
      <c r="G18" s="39" t="s">
        <v>22</v>
      </c>
      <c r="H18" s="40" t="s">
        <v>35</v>
      </c>
      <c r="I18" s="38" t="s">
        <v>5</v>
      </c>
      <c r="J18" s="39" t="s">
        <v>25</v>
      </c>
      <c r="K18" s="40" t="s">
        <v>35</v>
      </c>
      <c r="L18" s="38" t="s">
        <v>5</v>
      </c>
    </row>
    <row r="19" spans="1:12" x14ac:dyDescent="0.25">
      <c r="A19" s="38" t="s">
        <v>62</v>
      </c>
      <c r="B19" s="38" t="s">
        <v>37</v>
      </c>
      <c r="C19" s="38" t="s">
        <v>5</v>
      </c>
      <c r="D19" s="38" t="s">
        <v>63</v>
      </c>
      <c r="E19" s="38" t="s">
        <v>37</v>
      </c>
      <c r="F19" s="38" t="s">
        <v>5</v>
      </c>
      <c r="G19" s="38" t="s">
        <v>64</v>
      </c>
      <c r="H19" s="38" t="s">
        <v>37</v>
      </c>
      <c r="I19" s="38" t="s">
        <v>5</v>
      </c>
      <c r="J19" s="38" t="s">
        <v>65</v>
      </c>
      <c r="K19" s="38" t="s">
        <v>37</v>
      </c>
      <c r="L19" s="38" t="s">
        <v>5</v>
      </c>
    </row>
    <row r="20" spans="1:12" x14ac:dyDescent="0.25">
      <c r="A20" s="38" t="s">
        <v>66</v>
      </c>
      <c r="B20" s="38" t="s">
        <v>37</v>
      </c>
      <c r="C20" s="38" t="s">
        <v>5</v>
      </c>
      <c r="D20" s="38" t="s">
        <v>67</v>
      </c>
      <c r="E20" s="38" t="s">
        <v>37</v>
      </c>
      <c r="F20" s="38" t="s">
        <v>5</v>
      </c>
      <c r="G20" s="38" t="s">
        <v>68</v>
      </c>
      <c r="H20" s="38" t="s">
        <v>37</v>
      </c>
      <c r="I20" s="38" t="s">
        <v>5</v>
      </c>
      <c r="J20" s="38" t="s">
        <v>69</v>
      </c>
      <c r="K20" s="38" t="s">
        <v>37</v>
      </c>
      <c r="L20" s="38" t="s">
        <v>5</v>
      </c>
    </row>
    <row r="21" spans="1:12" x14ac:dyDescent="0.25">
      <c r="A21" s="38" t="s">
        <v>70</v>
      </c>
      <c r="B21" s="38" t="s">
        <v>37</v>
      </c>
      <c r="C21" s="38" t="s">
        <v>5</v>
      </c>
      <c r="D21" s="38" t="s">
        <v>71</v>
      </c>
      <c r="E21" s="38" t="s">
        <v>37</v>
      </c>
      <c r="F21" s="38" t="s">
        <v>5</v>
      </c>
      <c r="G21" s="38" t="s">
        <v>72</v>
      </c>
      <c r="H21" s="38" t="s">
        <v>37</v>
      </c>
      <c r="I21" s="38" t="s">
        <v>5</v>
      </c>
      <c r="J21" s="38" t="s">
        <v>73</v>
      </c>
      <c r="K21" s="38" t="s">
        <v>37</v>
      </c>
      <c r="L21" s="38" t="s">
        <v>5</v>
      </c>
    </row>
    <row r="22" spans="1:12" x14ac:dyDescent="0.25">
      <c r="A22" s="38" t="s">
        <v>74</v>
      </c>
      <c r="B22" s="38" t="s">
        <v>37</v>
      </c>
      <c r="C22" s="38" t="s">
        <v>5</v>
      </c>
      <c r="D22" s="38" t="s">
        <v>75</v>
      </c>
      <c r="E22" s="38" t="s">
        <v>37</v>
      </c>
      <c r="F22" s="38" t="s">
        <v>5</v>
      </c>
      <c r="G22" s="38" t="s">
        <v>76</v>
      </c>
      <c r="H22" s="38" t="s">
        <v>37</v>
      </c>
      <c r="I22" s="38" t="s">
        <v>5</v>
      </c>
      <c r="J22" s="38" t="s">
        <v>77</v>
      </c>
      <c r="K22" s="38" t="s">
        <v>37</v>
      </c>
      <c r="L22" s="38" t="s">
        <v>5</v>
      </c>
    </row>
    <row r="23" spans="1:12" x14ac:dyDescent="0.25">
      <c r="A23" s="38" t="s">
        <v>5</v>
      </c>
      <c r="B23" s="38" t="s">
        <v>5</v>
      </c>
      <c r="C23" s="38" t="s">
        <v>5</v>
      </c>
      <c r="D23" s="38" t="s">
        <v>78</v>
      </c>
      <c r="E23" s="38" t="s">
        <v>37</v>
      </c>
      <c r="F23" s="38" t="s">
        <v>5</v>
      </c>
      <c r="G23" s="38" t="s">
        <v>79</v>
      </c>
      <c r="H23" s="38" t="s">
        <v>37</v>
      </c>
      <c r="I23" s="38" t="s">
        <v>5</v>
      </c>
      <c r="J23" s="38" t="s">
        <v>5</v>
      </c>
      <c r="K23" s="38" t="s">
        <v>5</v>
      </c>
      <c r="L23" s="38" t="s">
        <v>5</v>
      </c>
    </row>
    <row r="24" spans="1:12" x14ac:dyDescent="0.25">
      <c r="A24" s="38" t="s">
        <v>5</v>
      </c>
      <c r="B24" s="38" t="s">
        <v>5</v>
      </c>
      <c r="C24" s="38" t="s">
        <v>5</v>
      </c>
      <c r="D24" s="38" t="s">
        <v>5</v>
      </c>
      <c r="E24" s="38" t="s">
        <v>5</v>
      </c>
      <c r="F24" s="38" t="s">
        <v>5</v>
      </c>
      <c r="G24" s="38" t="s">
        <v>80</v>
      </c>
      <c r="H24" s="38" t="s">
        <v>37</v>
      </c>
      <c r="I24" s="38" t="s">
        <v>5</v>
      </c>
      <c r="J24" s="38" t="s">
        <v>5</v>
      </c>
      <c r="K24" s="38" t="s">
        <v>5</v>
      </c>
      <c r="L24" s="38" t="s">
        <v>5</v>
      </c>
    </row>
    <row r="25" spans="1:12" x14ac:dyDescent="0.25">
      <c r="A25" s="38" t="s">
        <v>5</v>
      </c>
      <c r="B25" s="38" t="s">
        <v>5</v>
      </c>
      <c r="C25" s="38" t="s">
        <v>5</v>
      </c>
      <c r="D25" s="38" t="s">
        <v>5</v>
      </c>
      <c r="E25" s="38" t="s">
        <v>5</v>
      </c>
      <c r="F25" s="38" t="s">
        <v>5</v>
      </c>
      <c r="G25" s="38" t="s">
        <v>81</v>
      </c>
      <c r="H25" s="38" t="s">
        <v>37</v>
      </c>
      <c r="I25" s="38" t="s">
        <v>5</v>
      </c>
      <c r="J25" s="38" t="s">
        <v>5</v>
      </c>
      <c r="K25" s="38" t="s">
        <v>5</v>
      </c>
      <c r="L25" s="38" t="s">
        <v>5</v>
      </c>
    </row>
    <row r="26" spans="1:12" x14ac:dyDescent="0.25">
      <c r="A26" s="38" t="s">
        <v>5</v>
      </c>
      <c r="B26" s="38" t="s">
        <v>5</v>
      </c>
      <c r="C26" s="38" t="s">
        <v>5</v>
      </c>
      <c r="D26" s="38" t="s">
        <v>5</v>
      </c>
      <c r="E26" s="38" t="s">
        <v>5</v>
      </c>
      <c r="F26" s="38" t="s">
        <v>5</v>
      </c>
      <c r="G26" s="38" t="s">
        <v>82</v>
      </c>
      <c r="H26" s="38" t="s">
        <v>37</v>
      </c>
      <c r="I26" s="38" t="s">
        <v>5</v>
      </c>
      <c r="J26" s="38" t="s">
        <v>5</v>
      </c>
      <c r="K26" s="38" t="s">
        <v>5</v>
      </c>
      <c r="L26" s="38" t="s">
        <v>5</v>
      </c>
    </row>
    <row r="27" spans="1:12" x14ac:dyDescent="0.25">
      <c r="A27" s="38" t="s">
        <v>5</v>
      </c>
      <c r="B27" s="38" t="s">
        <v>5</v>
      </c>
      <c r="C27" s="38" t="s">
        <v>5</v>
      </c>
      <c r="D27" s="38" t="s">
        <v>5</v>
      </c>
      <c r="E27" s="38" t="s">
        <v>5</v>
      </c>
      <c r="F27" s="38" t="s">
        <v>5</v>
      </c>
      <c r="G27" s="38" t="s">
        <v>83</v>
      </c>
      <c r="H27" s="38" t="s">
        <v>37</v>
      </c>
      <c r="I27" s="38" t="s">
        <v>5</v>
      </c>
      <c r="J27" s="38" t="s">
        <v>5</v>
      </c>
      <c r="K27" s="38" t="s">
        <v>5</v>
      </c>
      <c r="L27" s="38" t="s">
        <v>5</v>
      </c>
    </row>
    <row r="29" spans="1:12" x14ac:dyDescent="0.25">
      <c r="A29" s="39" t="s">
        <v>17</v>
      </c>
      <c r="B29" s="40" t="s">
        <v>35</v>
      </c>
      <c r="C29" s="38" t="s">
        <v>5</v>
      </c>
      <c r="D29" s="39" t="s">
        <v>20</v>
      </c>
      <c r="E29" s="40" t="s">
        <v>35</v>
      </c>
      <c r="F29" s="38" t="s">
        <v>5</v>
      </c>
      <c r="G29" s="39" t="s">
        <v>23</v>
      </c>
      <c r="H29" s="40" t="s">
        <v>35</v>
      </c>
      <c r="I29" s="38" t="s">
        <v>5</v>
      </c>
      <c r="J29" s="39" t="s">
        <v>26</v>
      </c>
      <c r="K29" s="40" t="s">
        <v>35</v>
      </c>
      <c r="L29" s="38" t="s">
        <v>5</v>
      </c>
    </row>
    <row r="30" spans="1:12" x14ac:dyDescent="0.25">
      <c r="A30" s="38" t="s">
        <v>84</v>
      </c>
      <c r="B30" s="38" t="s">
        <v>37</v>
      </c>
      <c r="C30" s="38" t="s">
        <v>5</v>
      </c>
      <c r="D30" s="38" t="s">
        <v>85</v>
      </c>
      <c r="E30" s="38" t="s">
        <v>37</v>
      </c>
      <c r="F30" s="38" t="s">
        <v>5</v>
      </c>
      <c r="G30" s="38" t="s">
        <v>86</v>
      </c>
      <c r="H30" s="38" t="s">
        <v>37</v>
      </c>
      <c r="I30" s="38" t="s">
        <v>5</v>
      </c>
      <c r="J30" s="38" t="s">
        <v>87</v>
      </c>
      <c r="K30" s="38" t="s">
        <v>37</v>
      </c>
      <c r="L30" s="38" t="s">
        <v>5</v>
      </c>
    </row>
    <row r="31" spans="1:12" x14ac:dyDescent="0.25">
      <c r="A31" s="38" t="s">
        <v>88</v>
      </c>
      <c r="B31" s="38" t="s">
        <v>37</v>
      </c>
      <c r="C31" s="38" t="s">
        <v>5</v>
      </c>
      <c r="D31" s="38" t="s">
        <v>89</v>
      </c>
      <c r="E31" s="38" t="s">
        <v>37</v>
      </c>
      <c r="F31" s="38" t="s">
        <v>5</v>
      </c>
      <c r="G31" s="38" t="s">
        <v>90</v>
      </c>
      <c r="H31" s="38" t="s">
        <v>37</v>
      </c>
      <c r="I31" s="38" t="s">
        <v>5</v>
      </c>
      <c r="J31" s="38" t="s">
        <v>91</v>
      </c>
      <c r="K31" s="38" t="s">
        <v>37</v>
      </c>
      <c r="L31" s="38" t="s">
        <v>5</v>
      </c>
    </row>
    <row r="32" spans="1:12" x14ac:dyDescent="0.25">
      <c r="A32" s="38" t="s">
        <v>92</v>
      </c>
      <c r="B32" s="38" t="s">
        <v>37</v>
      </c>
      <c r="C32" s="38" t="s">
        <v>5</v>
      </c>
      <c r="D32" s="38" t="s">
        <v>93</v>
      </c>
      <c r="E32" s="38" t="s">
        <v>37</v>
      </c>
      <c r="F32" s="38" t="s">
        <v>5</v>
      </c>
      <c r="G32" s="38" t="s">
        <v>94</v>
      </c>
      <c r="H32" s="38" t="s">
        <v>37</v>
      </c>
      <c r="I32" s="38" t="s">
        <v>5</v>
      </c>
      <c r="J32" s="38" t="s">
        <v>95</v>
      </c>
      <c r="K32" s="38" t="s">
        <v>37</v>
      </c>
      <c r="L32" s="38" t="s">
        <v>5</v>
      </c>
    </row>
    <row r="33" spans="1:12" x14ac:dyDescent="0.25">
      <c r="A33" s="38" t="s">
        <v>96</v>
      </c>
      <c r="B33" s="38" t="s">
        <v>37</v>
      </c>
      <c r="C33" s="38" t="s">
        <v>5</v>
      </c>
      <c r="D33" s="38" t="s">
        <v>97</v>
      </c>
      <c r="E33" s="38" t="s">
        <v>37</v>
      </c>
      <c r="F33" s="38" t="s">
        <v>5</v>
      </c>
      <c r="G33" s="38" t="s">
        <v>5</v>
      </c>
      <c r="H33" s="38" t="s">
        <v>5</v>
      </c>
      <c r="I33" s="38" t="s">
        <v>5</v>
      </c>
      <c r="J33" s="38" t="s">
        <v>98</v>
      </c>
      <c r="K33" s="38" t="s">
        <v>37</v>
      </c>
      <c r="L33" s="38" t="s">
        <v>5</v>
      </c>
    </row>
    <row r="34" spans="1:12" x14ac:dyDescent="0.25">
      <c r="A34" s="38" t="s">
        <v>99</v>
      </c>
      <c r="B34" s="38" t="s">
        <v>37</v>
      </c>
      <c r="C34" s="38" t="s">
        <v>5</v>
      </c>
      <c r="D34" s="38" t="s">
        <v>5</v>
      </c>
      <c r="E34" s="38" t="s">
        <v>5</v>
      </c>
      <c r="F34" s="38" t="s">
        <v>5</v>
      </c>
      <c r="G34" s="38" t="s">
        <v>5</v>
      </c>
      <c r="H34" s="38" t="s">
        <v>5</v>
      </c>
      <c r="I34" s="38" t="s">
        <v>5</v>
      </c>
      <c r="J34" s="38" t="s">
        <v>100</v>
      </c>
      <c r="K34" s="38" t="s">
        <v>37</v>
      </c>
      <c r="L34" s="38" t="s">
        <v>5</v>
      </c>
    </row>
    <row r="35" spans="1:12" x14ac:dyDescent="0.25">
      <c r="A35" s="38" t="s">
        <v>101</v>
      </c>
      <c r="B35" s="38" t="s">
        <v>37</v>
      </c>
      <c r="C35" s="38" t="s">
        <v>5</v>
      </c>
      <c r="D35" s="38" t="s">
        <v>5</v>
      </c>
      <c r="E35" s="38" t="s">
        <v>5</v>
      </c>
      <c r="F35" s="38" t="s">
        <v>5</v>
      </c>
      <c r="G35" s="38" t="s">
        <v>5</v>
      </c>
      <c r="H35" s="38" t="s">
        <v>5</v>
      </c>
      <c r="I35" s="38" t="s">
        <v>5</v>
      </c>
      <c r="J35" s="38" t="s">
        <v>5</v>
      </c>
      <c r="K35" s="38" t="s">
        <v>5</v>
      </c>
      <c r="L35" s="38" t="s">
        <v>5</v>
      </c>
    </row>
    <row r="36" spans="1:12" x14ac:dyDescent="0.25">
      <c r="A36" s="38" t="s">
        <v>102</v>
      </c>
      <c r="B36" s="38" t="s">
        <v>37</v>
      </c>
      <c r="C36" s="38" t="s">
        <v>5</v>
      </c>
      <c r="D36" s="38" t="s">
        <v>5</v>
      </c>
      <c r="E36" s="38" t="s">
        <v>5</v>
      </c>
      <c r="F36" s="38" t="s">
        <v>5</v>
      </c>
      <c r="G36" s="38" t="s">
        <v>5</v>
      </c>
      <c r="H36" s="38" t="s">
        <v>5</v>
      </c>
      <c r="I36" s="38" t="s">
        <v>5</v>
      </c>
      <c r="J36" s="38" t="s">
        <v>5</v>
      </c>
      <c r="K36" s="38" t="s">
        <v>5</v>
      </c>
      <c r="L36" s="38" t="s">
        <v>5</v>
      </c>
    </row>
    <row r="37" spans="1:12" x14ac:dyDescent="0.25">
      <c r="A37" s="38" t="s">
        <v>103</v>
      </c>
      <c r="B37" s="38" t="s">
        <v>37</v>
      </c>
      <c r="C37" s="38" t="s">
        <v>5</v>
      </c>
      <c r="D37" s="38" t="s">
        <v>5</v>
      </c>
      <c r="E37" s="38" t="s">
        <v>5</v>
      </c>
      <c r="F37" s="38" t="s">
        <v>5</v>
      </c>
      <c r="G37" s="38" t="s">
        <v>5</v>
      </c>
      <c r="H37" s="38" t="s">
        <v>5</v>
      </c>
      <c r="I37" s="38" t="s">
        <v>5</v>
      </c>
      <c r="J37" s="38" t="s">
        <v>5</v>
      </c>
      <c r="K37" s="38" t="s">
        <v>5</v>
      </c>
      <c r="L37" s="38" t="s">
        <v>5</v>
      </c>
    </row>
  </sheetData>
  <mergeCells count="3">
    <mergeCell ref="A1:I1"/>
    <mergeCell ref="A3:E3"/>
    <mergeCell ref="G3:H3"/>
  </mergeCells>
  <conditionalFormatting sqref="$F$3">
    <cfRule type="containsText" dxfId="30" priority="1">
      <formula>NOT(ISERROR(SEARCH("Choose",F3)))</formula>
    </cfRule>
    <cfRule type="containsText" dxfId="31" priority="2">
      <formula>NOT(ISERROR(SEARCH("Yes",F3)))</formula>
    </cfRule>
  </conditionalFormatting>
  <conditionalFormatting sqref="$B$9">
    <cfRule type="containsText" dxfId="32" priority="1">
      <formula>NOT(ISERROR(SEARCH("Choose",B9)))</formula>
    </cfRule>
    <cfRule type="containsText" dxfId="33" priority="2">
      <formula>NOT(ISERROR(SEARCH("Yes",B9)))</formula>
    </cfRule>
  </conditionalFormatting>
  <conditionalFormatting sqref="$E$9">
    <cfRule type="containsText" dxfId="34" priority="1">
      <formula>NOT(ISERROR(SEARCH("Choose",E9)))</formula>
    </cfRule>
    <cfRule type="containsText" dxfId="35" priority="2">
      <formula>NOT(ISERROR(SEARCH("Yes",E9)))</formula>
    </cfRule>
  </conditionalFormatting>
  <conditionalFormatting sqref="$H$9">
    <cfRule type="containsText" dxfId="36" priority="1">
      <formula>NOT(ISERROR(SEARCH("Choose",H9)))</formula>
    </cfRule>
    <cfRule type="containsText" dxfId="37" priority="2">
      <formula>NOT(ISERROR(SEARCH("Yes",H9)))</formula>
    </cfRule>
  </conditionalFormatting>
  <conditionalFormatting sqref="$K$9">
    <cfRule type="containsText" dxfId="38" priority="1">
      <formula>NOT(ISERROR(SEARCH("Choose",K9)))</formula>
    </cfRule>
    <cfRule type="containsText" dxfId="39" priority="2">
      <formula>NOT(ISERROR(SEARCH("Yes",K9)))</formula>
    </cfRule>
  </conditionalFormatting>
  <conditionalFormatting sqref="$N$9">
    <cfRule type="containsText" dxfId="40" priority="1">
      <formula>NOT(ISERROR(SEARCH("Choose",N9)))</formula>
    </cfRule>
    <cfRule type="containsText" dxfId="41" priority="2">
      <formula>NOT(ISERROR(SEARCH("Yes",N9)))</formula>
    </cfRule>
  </conditionalFormatting>
  <conditionalFormatting sqref="$B$10">
    <cfRule type="containsText" dxfId="42" priority="1">
      <formula>NOT(ISERROR(SEARCH("Choose",B10)))</formula>
    </cfRule>
    <cfRule type="containsText" dxfId="43" priority="2">
      <formula>NOT(ISERROR(SEARCH("Yes",B10)))</formula>
    </cfRule>
  </conditionalFormatting>
  <conditionalFormatting sqref="$E$10">
    <cfRule type="containsText" dxfId="44" priority="1">
      <formula>NOT(ISERROR(SEARCH("Choose",E10)))</formula>
    </cfRule>
    <cfRule type="containsText" dxfId="45" priority="2">
      <formula>NOT(ISERROR(SEARCH("Yes",E10)))</formula>
    </cfRule>
  </conditionalFormatting>
  <conditionalFormatting sqref="$H$10">
    <cfRule type="containsText" dxfId="46" priority="1">
      <formula>NOT(ISERROR(SEARCH("Choose",H10)))</formula>
    </cfRule>
    <cfRule type="containsText" dxfId="47" priority="2">
      <formula>NOT(ISERROR(SEARCH("Yes",H10)))</formula>
    </cfRule>
  </conditionalFormatting>
  <conditionalFormatting sqref="$K$10">
    <cfRule type="containsText" dxfId="48" priority="1">
      <formula>NOT(ISERROR(SEARCH("Choose",K10)))</formula>
    </cfRule>
    <cfRule type="containsText" dxfId="49" priority="2">
      <formula>NOT(ISERROR(SEARCH("Yes",K10)))</formula>
    </cfRule>
  </conditionalFormatting>
  <conditionalFormatting sqref="$B$11">
    <cfRule type="containsText" dxfId="50" priority="1">
      <formula>NOT(ISERROR(SEARCH("Choose",B11)))</formula>
    </cfRule>
    <cfRule type="containsText" dxfId="51" priority="2">
      <formula>NOT(ISERROR(SEARCH("Yes",B11)))</formula>
    </cfRule>
  </conditionalFormatting>
  <conditionalFormatting sqref="$E$11">
    <cfRule type="containsText" dxfId="52" priority="1">
      <formula>NOT(ISERROR(SEARCH("Choose",E11)))</formula>
    </cfRule>
    <cfRule type="containsText" dxfId="53" priority="2">
      <formula>NOT(ISERROR(SEARCH("Yes",E11)))</formula>
    </cfRule>
  </conditionalFormatting>
  <conditionalFormatting sqref="$H$11">
    <cfRule type="containsText" dxfId="54" priority="1">
      <formula>NOT(ISERROR(SEARCH("Choose",H11)))</formula>
    </cfRule>
    <cfRule type="containsText" dxfId="55" priority="2">
      <formula>NOT(ISERROR(SEARCH("Yes",H11)))</formula>
    </cfRule>
  </conditionalFormatting>
  <conditionalFormatting sqref="$K$11">
    <cfRule type="containsText" dxfId="56" priority="1">
      <formula>NOT(ISERROR(SEARCH("Choose",K11)))</formula>
    </cfRule>
    <cfRule type="containsText" dxfId="57" priority="2">
      <formula>NOT(ISERROR(SEARCH("Yes",K11)))</formula>
    </cfRule>
  </conditionalFormatting>
  <conditionalFormatting sqref="$B$12">
    <cfRule type="containsText" dxfId="58" priority="1">
      <formula>NOT(ISERROR(SEARCH("Choose",B12)))</formula>
    </cfRule>
    <cfRule type="containsText" dxfId="59" priority="2">
      <formula>NOT(ISERROR(SEARCH("Yes",B12)))</formula>
    </cfRule>
  </conditionalFormatting>
  <conditionalFormatting sqref="$E$12">
    <cfRule type="containsText" dxfId="60" priority="1">
      <formula>NOT(ISERROR(SEARCH("Choose",E12)))</formula>
    </cfRule>
    <cfRule type="containsText" dxfId="61" priority="2">
      <formula>NOT(ISERROR(SEARCH("Yes",E12)))</formula>
    </cfRule>
  </conditionalFormatting>
  <conditionalFormatting sqref="$H$12">
    <cfRule type="containsText" dxfId="62" priority="1">
      <formula>NOT(ISERROR(SEARCH("Choose",H12)))</formula>
    </cfRule>
    <cfRule type="containsText" dxfId="63" priority="2">
      <formula>NOT(ISERROR(SEARCH("Yes",H12)))</formula>
    </cfRule>
  </conditionalFormatting>
  <conditionalFormatting sqref="$B$13">
    <cfRule type="containsText" dxfId="64" priority="1">
      <formula>NOT(ISERROR(SEARCH("Choose",B13)))</formula>
    </cfRule>
    <cfRule type="containsText" dxfId="65" priority="2">
      <formula>NOT(ISERROR(SEARCH("Yes",B13)))</formula>
    </cfRule>
  </conditionalFormatting>
  <conditionalFormatting sqref="$E$13">
    <cfRule type="containsText" dxfId="66" priority="1">
      <formula>NOT(ISERROR(SEARCH("Choose",E13)))</formula>
    </cfRule>
    <cfRule type="containsText" dxfId="67" priority="2">
      <formula>NOT(ISERROR(SEARCH("Yes",E13)))</formula>
    </cfRule>
  </conditionalFormatting>
  <conditionalFormatting sqref="$H$13">
    <cfRule type="containsText" dxfId="68" priority="1">
      <formula>NOT(ISERROR(SEARCH("Choose",H13)))</formula>
    </cfRule>
    <cfRule type="containsText" dxfId="69" priority="2">
      <formula>NOT(ISERROR(SEARCH("Yes",H13)))</formula>
    </cfRule>
  </conditionalFormatting>
  <conditionalFormatting sqref="$B$14">
    <cfRule type="containsText" dxfId="70" priority="1">
      <formula>NOT(ISERROR(SEARCH("Choose",B14)))</formula>
    </cfRule>
    <cfRule type="containsText" dxfId="71" priority="2">
      <formula>NOT(ISERROR(SEARCH("Yes",B14)))</formula>
    </cfRule>
  </conditionalFormatting>
  <conditionalFormatting sqref="$E$14">
    <cfRule type="containsText" dxfId="72" priority="1">
      <formula>NOT(ISERROR(SEARCH("Choose",E14)))</formula>
    </cfRule>
    <cfRule type="containsText" dxfId="73" priority="2">
      <formula>NOT(ISERROR(SEARCH("Yes",E14)))</formula>
    </cfRule>
  </conditionalFormatting>
  <conditionalFormatting sqref="$H$14">
    <cfRule type="containsText" dxfId="74" priority="1">
      <formula>NOT(ISERROR(SEARCH("Choose",H14)))</formula>
    </cfRule>
    <cfRule type="containsText" dxfId="75" priority="2">
      <formula>NOT(ISERROR(SEARCH("Yes",H14)))</formula>
    </cfRule>
  </conditionalFormatting>
  <conditionalFormatting sqref="$B$15">
    <cfRule type="containsText" dxfId="76" priority="1">
      <formula>NOT(ISERROR(SEARCH("Choose",B15)))</formula>
    </cfRule>
    <cfRule type="containsText" dxfId="77" priority="2">
      <formula>NOT(ISERROR(SEARCH("Yes",B15)))</formula>
    </cfRule>
  </conditionalFormatting>
  <conditionalFormatting sqref="$H$15">
    <cfRule type="containsText" dxfId="78" priority="1">
      <formula>NOT(ISERROR(SEARCH("Choose",H15)))</formula>
    </cfRule>
    <cfRule type="containsText" dxfId="79" priority="2">
      <formula>NOT(ISERROR(SEARCH("Yes",H15)))</formula>
    </cfRule>
  </conditionalFormatting>
  <conditionalFormatting sqref="$B$16">
    <cfRule type="containsText" dxfId="80" priority="1">
      <formula>NOT(ISERROR(SEARCH("Choose",B16)))</formula>
    </cfRule>
    <cfRule type="containsText" dxfId="81" priority="2">
      <formula>NOT(ISERROR(SEARCH("Yes",B16)))</formula>
    </cfRule>
  </conditionalFormatting>
  <conditionalFormatting sqref="$B$19">
    <cfRule type="containsText" dxfId="82" priority="1">
      <formula>NOT(ISERROR(SEARCH("Choose",B19)))</formula>
    </cfRule>
    <cfRule type="containsText" dxfId="83" priority="2">
      <formula>NOT(ISERROR(SEARCH("Yes",B19)))</formula>
    </cfRule>
  </conditionalFormatting>
  <conditionalFormatting sqref="$E$19">
    <cfRule type="containsText" dxfId="84" priority="1">
      <formula>NOT(ISERROR(SEARCH("Choose",E19)))</formula>
    </cfRule>
    <cfRule type="containsText" dxfId="85" priority="2">
      <formula>NOT(ISERROR(SEARCH("Yes",E19)))</formula>
    </cfRule>
  </conditionalFormatting>
  <conditionalFormatting sqref="$H$19">
    <cfRule type="containsText" dxfId="86" priority="1">
      <formula>NOT(ISERROR(SEARCH("Choose",H19)))</formula>
    </cfRule>
    <cfRule type="containsText" dxfId="87" priority="2">
      <formula>NOT(ISERROR(SEARCH("Yes",H19)))</formula>
    </cfRule>
  </conditionalFormatting>
  <conditionalFormatting sqref="$K$19">
    <cfRule type="containsText" dxfId="88" priority="1">
      <formula>NOT(ISERROR(SEARCH("Choose",K19)))</formula>
    </cfRule>
    <cfRule type="containsText" dxfId="89" priority="2">
      <formula>NOT(ISERROR(SEARCH("Yes",K19)))</formula>
    </cfRule>
  </conditionalFormatting>
  <conditionalFormatting sqref="$B$20">
    <cfRule type="containsText" dxfId="90" priority="1">
      <formula>NOT(ISERROR(SEARCH("Choose",B20)))</formula>
    </cfRule>
    <cfRule type="containsText" dxfId="91" priority="2">
      <formula>NOT(ISERROR(SEARCH("Yes",B20)))</formula>
    </cfRule>
  </conditionalFormatting>
  <conditionalFormatting sqref="$E$20">
    <cfRule type="containsText" dxfId="92" priority="1">
      <formula>NOT(ISERROR(SEARCH("Choose",E20)))</formula>
    </cfRule>
    <cfRule type="containsText" dxfId="93" priority="2">
      <formula>NOT(ISERROR(SEARCH("Yes",E20)))</formula>
    </cfRule>
  </conditionalFormatting>
  <conditionalFormatting sqref="$H$20">
    <cfRule type="containsText" dxfId="94" priority="1">
      <formula>NOT(ISERROR(SEARCH("Choose",H20)))</formula>
    </cfRule>
    <cfRule type="containsText" dxfId="95" priority="2">
      <formula>NOT(ISERROR(SEARCH("Yes",H20)))</formula>
    </cfRule>
  </conditionalFormatting>
  <conditionalFormatting sqref="$K$20">
    <cfRule type="containsText" dxfId="96" priority="1">
      <formula>NOT(ISERROR(SEARCH("Choose",K20)))</formula>
    </cfRule>
    <cfRule type="containsText" dxfId="97" priority="2">
      <formula>NOT(ISERROR(SEARCH("Yes",K20)))</formula>
    </cfRule>
  </conditionalFormatting>
  <conditionalFormatting sqref="$B$21">
    <cfRule type="containsText" dxfId="98" priority="1">
      <formula>NOT(ISERROR(SEARCH("Choose",B21)))</formula>
    </cfRule>
    <cfRule type="containsText" dxfId="99" priority="2">
      <formula>NOT(ISERROR(SEARCH("Yes",B21)))</formula>
    </cfRule>
  </conditionalFormatting>
  <conditionalFormatting sqref="$E$21">
    <cfRule type="containsText" dxfId="100" priority="1">
      <formula>NOT(ISERROR(SEARCH("Choose",E21)))</formula>
    </cfRule>
    <cfRule type="containsText" dxfId="101" priority="2">
      <formula>NOT(ISERROR(SEARCH("Yes",E21)))</formula>
    </cfRule>
  </conditionalFormatting>
  <conditionalFormatting sqref="$H$21">
    <cfRule type="containsText" dxfId="102" priority="1">
      <formula>NOT(ISERROR(SEARCH("Choose",H21)))</formula>
    </cfRule>
    <cfRule type="containsText" dxfId="103" priority="2">
      <formula>NOT(ISERROR(SEARCH("Yes",H21)))</formula>
    </cfRule>
  </conditionalFormatting>
  <conditionalFormatting sqref="$K$21">
    <cfRule type="containsText" dxfId="104" priority="1">
      <formula>NOT(ISERROR(SEARCH("Choose",K21)))</formula>
    </cfRule>
    <cfRule type="containsText" dxfId="105" priority="2">
      <formula>NOT(ISERROR(SEARCH("Yes",K21)))</formula>
    </cfRule>
  </conditionalFormatting>
  <conditionalFormatting sqref="$B$22">
    <cfRule type="containsText" dxfId="106" priority="1">
      <formula>NOT(ISERROR(SEARCH("Choose",B22)))</formula>
    </cfRule>
    <cfRule type="containsText" dxfId="107" priority="2">
      <formula>NOT(ISERROR(SEARCH("Yes",B22)))</formula>
    </cfRule>
  </conditionalFormatting>
  <conditionalFormatting sqref="$E$22">
    <cfRule type="containsText" dxfId="108" priority="1">
      <formula>NOT(ISERROR(SEARCH("Choose",E22)))</formula>
    </cfRule>
    <cfRule type="containsText" dxfId="109" priority="2">
      <formula>NOT(ISERROR(SEARCH("Yes",E22)))</formula>
    </cfRule>
  </conditionalFormatting>
  <conditionalFormatting sqref="$H$22">
    <cfRule type="containsText" dxfId="110" priority="1">
      <formula>NOT(ISERROR(SEARCH("Choose",H22)))</formula>
    </cfRule>
    <cfRule type="containsText" dxfId="111" priority="2">
      <formula>NOT(ISERROR(SEARCH("Yes",H22)))</formula>
    </cfRule>
  </conditionalFormatting>
  <conditionalFormatting sqref="$K$22">
    <cfRule type="containsText" dxfId="112" priority="1">
      <formula>NOT(ISERROR(SEARCH("Choose",K22)))</formula>
    </cfRule>
    <cfRule type="containsText" dxfId="113" priority="2">
      <formula>NOT(ISERROR(SEARCH("Yes",K22)))</formula>
    </cfRule>
  </conditionalFormatting>
  <conditionalFormatting sqref="$E$23">
    <cfRule type="containsText" dxfId="114" priority="1">
      <formula>NOT(ISERROR(SEARCH("Choose",E23)))</formula>
    </cfRule>
    <cfRule type="containsText" dxfId="115" priority="2">
      <formula>NOT(ISERROR(SEARCH("Yes",E23)))</formula>
    </cfRule>
  </conditionalFormatting>
  <conditionalFormatting sqref="$H$23">
    <cfRule type="containsText" dxfId="116" priority="1">
      <formula>NOT(ISERROR(SEARCH("Choose",H23)))</formula>
    </cfRule>
    <cfRule type="containsText" dxfId="117" priority="2">
      <formula>NOT(ISERROR(SEARCH("Yes",H23)))</formula>
    </cfRule>
  </conditionalFormatting>
  <conditionalFormatting sqref="$H$24">
    <cfRule type="containsText" dxfId="118" priority="1">
      <formula>NOT(ISERROR(SEARCH("Choose",H24)))</formula>
    </cfRule>
    <cfRule type="containsText" dxfId="119" priority="2">
      <formula>NOT(ISERROR(SEARCH("Yes",H24)))</formula>
    </cfRule>
  </conditionalFormatting>
  <conditionalFormatting sqref="$H$25">
    <cfRule type="containsText" dxfId="120" priority="1">
      <formula>NOT(ISERROR(SEARCH("Choose",H25)))</formula>
    </cfRule>
    <cfRule type="containsText" dxfId="121" priority="2">
      <formula>NOT(ISERROR(SEARCH("Yes",H25)))</formula>
    </cfRule>
  </conditionalFormatting>
  <conditionalFormatting sqref="$H$26">
    <cfRule type="containsText" dxfId="122" priority="1">
      <formula>NOT(ISERROR(SEARCH("Choose",H26)))</formula>
    </cfRule>
    <cfRule type="containsText" dxfId="123" priority="2">
      <formula>NOT(ISERROR(SEARCH("Yes",H26)))</formula>
    </cfRule>
  </conditionalFormatting>
  <conditionalFormatting sqref="$H$27">
    <cfRule type="containsText" dxfId="124" priority="1">
      <formula>NOT(ISERROR(SEARCH("Choose",H27)))</formula>
    </cfRule>
    <cfRule type="containsText" dxfId="125" priority="2">
      <formula>NOT(ISERROR(SEARCH("Yes",H27)))</formula>
    </cfRule>
  </conditionalFormatting>
  <conditionalFormatting sqref="$B$30">
    <cfRule type="containsText" dxfId="126" priority="1">
      <formula>NOT(ISERROR(SEARCH("Choose",B30)))</formula>
    </cfRule>
    <cfRule type="containsText" dxfId="127" priority="2">
      <formula>NOT(ISERROR(SEARCH("Yes",B30)))</formula>
    </cfRule>
  </conditionalFormatting>
  <conditionalFormatting sqref="$E$30">
    <cfRule type="containsText" dxfId="128" priority="1">
      <formula>NOT(ISERROR(SEARCH("Choose",E30)))</formula>
    </cfRule>
    <cfRule type="containsText" dxfId="129" priority="2">
      <formula>NOT(ISERROR(SEARCH("Yes",E30)))</formula>
    </cfRule>
  </conditionalFormatting>
  <conditionalFormatting sqref="$H$30">
    <cfRule type="containsText" dxfId="130" priority="1">
      <formula>NOT(ISERROR(SEARCH("Choose",H30)))</formula>
    </cfRule>
    <cfRule type="containsText" dxfId="131" priority="2">
      <formula>NOT(ISERROR(SEARCH("Yes",H30)))</formula>
    </cfRule>
  </conditionalFormatting>
  <conditionalFormatting sqref="$K$30">
    <cfRule type="containsText" dxfId="132" priority="1">
      <formula>NOT(ISERROR(SEARCH("Choose",K30)))</formula>
    </cfRule>
    <cfRule type="containsText" dxfId="133" priority="2">
      <formula>NOT(ISERROR(SEARCH("Yes",K30)))</formula>
    </cfRule>
  </conditionalFormatting>
  <conditionalFormatting sqref="$B$31">
    <cfRule type="containsText" dxfId="134" priority="1">
      <formula>NOT(ISERROR(SEARCH("Choose",B31)))</formula>
    </cfRule>
    <cfRule type="containsText" dxfId="135" priority="2">
      <formula>NOT(ISERROR(SEARCH("Yes",B31)))</formula>
    </cfRule>
  </conditionalFormatting>
  <conditionalFormatting sqref="$E$31">
    <cfRule type="containsText" dxfId="136" priority="1">
      <formula>NOT(ISERROR(SEARCH("Choose",E31)))</formula>
    </cfRule>
    <cfRule type="containsText" dxfId="137" priority="2">
      <formula>NOT(ISERROR(SEARCH("Yes",E31)))</formula>
    </cfRule>
  </conditionalFormatting>
  <conditionalFormatting sqref="$H$31">
    <cfRule type="containsText" dxfId="138" priority="1">
      <formula>NOT(ISERROR(SEARCH("Choose",H31)))</formula>
    </cfRule>
    <cfRule type="containsText" dxfId="139" priority="2">
      <formula>NOT(ISERROR(SEARCH("Yes",H31)))</formula>
    </cfRule>
  </conditionalFormatting>
  <conditionalFormatting sqref="$K$31">
    <cfRule type="containsText" dxfId="140" priority="1">
      <formula>NOT(ISERROR(SEARCH("Choose",K31)))</formula>
    </cfRule>
    <cfRule type="containsText" dxfId="141" priority="2">
      <formula>NOT(ISERROR(SEARCH("Yes",K31)))</formula>
    </cfRule>
  </conditionalFormatting>
  <conditionalFormatting sqref="$B$32">
    <cfRule type="containsText" dxfId="142" priority="1">
      <formula>NOT(ISERROR(SEARCH("Choose",B32)))</formula>
    </cfRule>
    <cfRule type="containsText" dxfId="143" priority="2">
      <formula>NOT(ISERROR(SEARCH("Yes",B32)))</formula>
    </cfRule>
  </conditionalFormatting>
  <conditionalFormatting sqref="$E$32">
    <cfRule type="containsText" dxfId="144" priority="1">
      <formula>NOT(ISERROR(SEARCH("Choose",E32)))</formula>
    </cfRule>
    <cfRule type="containsText" dxfId="145" priority="2">
      <formula>NOT(ISERROR(SEARCH("Yes",E32)))</formula>
    </cfRule>
  </conditionalFormatting>
  <conditionalFormatting sqref="$H$32">
    <cfRule type="containsText" dxfId="146" priority="1">
      <formula>NOT(ISERROR(SEARCH("Choose",H32)))</formula>
    </cfRule>
    <cfRule type="containsText" dxfId="147" priority="2">
      <formula>NOT(ISERROR(SEARCH("Yes",H32)))</formula>
    </cfRule>
  </conditionalFormatting>
  <conditionalFormatting sqref="$K$32">
    <cfRule type="containsText" dxfId="148" priority="1">
      <formula>NOT(ISERROR(SEARCH("Choose",K32)))</formula>
    </cfRule>
    <cfRule type="containsText" dxfId="149" priority="2">
      <formula>NOT(ISERROR(SEARCH("Yes",K32)))</formula>
    </cfRule>
  </conditionalFormatting>
  <conditionalFormatting sqref="$B$33">
    <cfRule type="containsText" dxfId="150" priority="1">
      <formula>NOT(ISERROR(SEARCH("Choose",B33)))</formula>
    </cfRule>
    <cfRule type="containsText" dxfId="151" priority="2">
      <formula>NOT(ISERROR(SEARCH("Yes",B33)))</formula>
    </cfRule>
  </conditionalFormatting>
  <conditionalFormatting sqref="$E$33">
    <cfRule type="containsText" dxfId="152" priority="1">
      <formula>NOT(ISERROR(SEARCH("Choose",E33)))</formula>
    </cfRule>
    <cfRule type="containsText" dxfId="153" priority="2">
      <formula>NOT(ISERROR(SEARCH("Yes",E33)))</formula>
    </cfRule>
  </conditionalFormatting>
  <conditionalFormatting sqref="$K$33">
    <cfRule type="containsText" dxfId="154" priority="1">
      <formula>NOT(ISERROR(SEARCH("Choose",K33)))</formula>
    </cfRule>
    <cfRule type="containsText" dxfId="155" priority="2">
      <formula>NOT(ISERROR(SEARCH("Yes",K33)))</formula>
    </cfRule>
  </conditionalFormatting>
  <conditionalFormatting sqref="$B$34">
    <cfRule type="containsText" dxfId="156" priority="1">
      <formula>NOT(ISERROR(SEARCH("Choose",B34)))</formula>
    </cfRule>
    <cfRule type="containsText" dxfId="157" priority="2">
      <formula>NOT(ISERROR(SEARCH("Yes",B34)))</formula>
    </cfRule>
  </conditionalFormatting>
  <conditionalFormatting sqref="$K$34">
    <cfRule type="containsText" dxfId="158" priority="1">
      <formula>NOT(ISERROR(SEARCH("Choose",K34)))</formula>
    </cfRule>
    <cfRule type="containsText" dxfId="159" priority="2">
      <formula>NOT(ISERROR(SEARCH("Yes",K34)))</formula>
    </cfRule>
  </conditionalFormatting>
  <conditionalFormatting sqref="$B$35">
    <cfRule type="containsText" dxfId="160" priority="1">
      <formula>NOT(ISERROR(SEARCH("Choose",B35)))</formula>
    </cfRule>
    <cfRule type="containsText" dxfId="161" priority="2">
      <formula>NOT(ISERROR(SEARCH("Yes",B35)))</formula>
    </cfRule>
  </conditionalFormatting>
  <conditionalFormatting sqref="$B$36">
    <cfRule type="containsText" dxfId="162" priority="1">
      <formula>NOT(ISERROR(SEARCH("Choose",B36)))</formula>
    </cfRule>
    <cfRule type="containsText" dxfId="163" priority="2">
      <formula>NOT(ISERROR(SEARCH("Yes",B36)))</formula>
    </cfRule>
  </conditionalFormatting>
  <conditionalFormatting sqref="$B$37">
    <cfRule type="containsText" dxfId="164" priority="1">
      <formula>NOT(ISERROR(SEARCH("Choose",B37)))</formula>
    </cfRule>
    <cfRule type="containsText" dxfId="165" priority="2">
      <formula>NOT(ISERROR(SEARCH("Yes",B37)))</formula>
    </cfRule>
  </conditionalFormatting>
  <dataValidations count="18">
    <dataValidation type="list" sqref="B10:B16">
      <formula1>"Choose,Yes,No"</formula1>
    </dataValidation>
    <dataValidation type="list" sqref="B19:B22">
      <formula1>"Choose,Yes,No"</formula1>
    </dataValidation>
    <dataValidation type="list" sqref="B30:B37">
      <formula1>"Choose,Yes,No"</formula1>
    </dataValidation>
    <dataValidation type="list" sqref="B9:B16">
      <formula1>"Choose,Yes,No"</formula1>
    </dataValidation>
    <dataValidation type="list" sqref="E10:E14">
      <formula1>"Choose,Yes,No"</formula1>
    </dataValidation>
    <dataValidation type="list" sqref="E19:E23">
      <formula1>"Choose,Yes,No"</formula1>
    </dataValidation>
    <dataValidation type="list" sqref="E30:E33">
      <formula1>"Choose,Yes,No"</formula1>
    </dataValidation>
    <dataValidation type="list" sqref="E9:E14">
      <formula1>"Choose,Yes,No"</formula1>
    </dataValidation>
    <dataValidation type="list" sqref="F3">
      <formula1>"Choose,Yes,No"</formula1>
    </dataValidation>
    <dataValidation type="list" sqref="H10:H15">
      <formula1>"Choose,Yes,No"</formula1>
    </dataValidation>
    <dataValidation type="list" sqref="H19:H27">
      <formula1>"Choose,Yes,No"</formula1>
    </dataValidation>
    <dataValidation type="list" sqref="H30:H32">
      <formula1>"Choose,Yes,No"</formula1>
    </dataValidation>
    <dataValidation type="list" sqref="H9:H15">
      <formula1>"Choose,Yes,No"</formula1>
    </dataValidation>
    <dataValidation type="list" sqref="K10:K11">
      <formula1>"Choose,Yes,No"</formula1>
    </dataValidation>
    <dataValidation type="list" sqref="K19:K22">
      <formula1>"Choose,Yes,No"</formula1>
    </dataValidation>
    <dataValidation type="list" sqref="K30:K34">
      <formula1>"Choose,Yes,No"</formula1>
    </dataValidation>
    <dataValidation type="list" sqref="K9:K11">
      <formula1>"Choose,Yes,No"</formula1>
    </dataValidation>
    <dataValidation type="list" sqref="N9">
      <formula1>"Choose,Yes,No"</formula1>
    </dataValidation>
  </dataValidations>
  <hyperlinks>
    <hyperlink ref="A8" r:id="rId1" location="#'II. Compute'!A1"/>
    <hyperlink ref="D8" r:id="rId2" location="#'V. Network &amp; Delivery'!A1"/>
    <hyperlink ref="G8" r:id="rId3" location="#'VIII. Analytics'!A1"/>
    <hyperlink ref="J8" r:id="rId4" location="#'XI. Application Integration'!A1"/>
    <hyperlink ref="M8" r:id="rId5" location="#'XIV. Internet of Things'!A1"/>
    <hyperlink ref="A18" r:id="rId6" location="#'III. Storage'!A1"/>
    <hyperlink ref="D18" r:id="rId7" location="#'VI. Management &amp; Governance'!A1"/>
    <hyperlink ref="G18" r:id="rId8" location="#'IX. Security &amp; Compliance'!A1"/>
    <hyperlink ref="J18" r:id="rId9" location="#'XII. Media Services'!A1"/>
    <hyperlink ref="A29" r:id="rId10" location="#'IV. Databases'!A1"/>
    <hyperlink ref="D29" r:id="rId11" location="#'VII. Machine Learning'!A1"/>
    <hyperlink ref="G29" r:id="rId12" location="#'X. Serverless'!A1"/>
    <hyperlink ref="J29" r:id="rId13" location="#'XIII. Developer Tools'!A1"/>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FormatPr defaultRowHeight="15" outlineLevelRow="0" outlineLevelCol="0" x14ac:dyDescent="55"/>
  <cols>
    <col min="1" max="1" width="40" customWidth="1"/>
    <col min="2" max="2" width="17" customWidth="1"/>
    <col min="3" max="3" width="105" customWidth="1"/>
  </cols>
  <sheetData>
    <row r="1" ht="95" customHeight="1" spans="1:3" s="41" customFormat="1" x14ac:dyDescent="0.25">
      <c r="A1" s="42" t="s">
        <v>104</v>
      </c>
      <c r="B1" s="42"/>
      <c r="C1" s="42"/>
    </row>
    <row r="3" ht="50" customHeight="1" spans="1:3" s="41" customFormat="1" x14ac:dyDescent="0.25">
      <c r="A3" s="42" t="s">
        <v>105</v>
      </c>
      <c r="B3" s="42"/>
      <c r="C3" s="42"/>
    </row>
    <row r="5" ht="25" customHeight="1" spans="1:3" s="41" customFormat="1" x14ac:dyDescent="0.25">
      <c r="A5" s="43" t="s">
        <v>106</v>
      </c>
      <c r="B5" s="43"/>
      <c r="C5" s="43"/>
    </row>
    <row r="6" ht="47.5" customHeight="1" spans="1:3" s="41" customFormat="1" x14ac:dyDescent="0.25">
      <c r="A6" s="44" t="s">
        <v>107</v>
      </c>
      <c r="B6" s="45" t="s">
        <v>108</v>
      </c>
      <c r="C6" s="44" t="s">
        <v>109</v>
      </c>
    </row>
    <row r="7" ht="47.5" customHeight="1" spans="1:3" s="41" customFormat="1" x14ac:dyDescent="0.25">
      <c r="A7" s="44"/>
      <c r="B7" s="45" t="s">
        <v>110</v>
      </c>
      <c r="C7" s="44"/>
    </row>
    <row r="8" ht="80" customHeight="1" spans="1:3" s="41" customFormat="1" x14ac:dyDescent="0.25">
      <c r="A8" s="44" t="s">
        <v>107</v>
      </c>
      <c r="B8" s="45" t="s">
        <v>111</v>
      </c>
      <c r="C8" s="44" t="s">
        <v>112</v>
      </c>
    </row>
    <row r="9" ht="35" customHeight="1" spans="1:3" s="41" customFormat="1" x14ac:dyDescent="0.25">
      <c r="A9" s="42" t="s">
        <v>113</v>
      </c>
      <c r="B9" s="42"/>
      <c r="C9" s="42"/>
    </row>
    <row r="10" spans="1:3" s="41" customFormat="1" x14ac:dyDescent="0.25">
      <c r="A10" s="46" t="s">
        <v>114</v>
      </c>
      <c r="B10" s="46" t="s">
        <v>115</v>
      </c>
      <c r="C10" s="46" t="s">
        <v>116</v>
      </c>
    </row>
    <row r="11" ht="25" customHeight="1" spans="1:3" s="41" customFormat="1" x14ac:dyDescent="0.25">
      <c r="A11" s="43" t="s">
        <v>117</v>
      </c>
      <c r="B11" s="43"/>
      <c r="C11" s="43"/>
    </row>
    <row r="12" ht="50" customHeight="1" spans="1:3" s="41" customFormat="1" x14ac:dyDescent="0.25">
      <c r="A12" s="47" t="s">
        <v>118</v>
      </c>
      <c r="B12" s="48" t="s">
        <v>119</v>
      </c>
      <c r="C12" s="48" t="s">
        <v>120</v>
      </c>
    </row>
    <row r="13" ht="25" customHeight="1" spans="1:3" s="41" customFormat="1" x14ac:dyDescent="0.25">
      <c r="A13" s="43" t="s">
        <v>121</v>
      </c>
      <c r="B13" s="43"/>
      <c r="C13" s="43"/>
    </row>
    <row r="14" ht="20" customHeight="1" spans="1:3" s="41" customFormat="1" x14ac:dyDescent="0.25">
      <c r="A14" s="47" t="s">
        <v>118</v>
      </c>
      <c r="B14" s="48" t="s">
        <v>122</v>
      </c>
      <c r="C14" s="49" t="s">
        <v>123</v>
      </c>
    </row>
    <row r="15" ht="25" customHeight="1" spans="1:3" s="41" customFormat="1" x14ac:dyDescent="0.25">
      <c r="A15" s="43" t="s">
        <v>124</v>
      </c>
      <c r="B15" s="43"/>
      <c r="C15" s="43"/>
    </row>
    <row r="16" ht="65" customHeight="1" spans="1:3" s="41" customFormat="1" x14ac:dyDescent="0.25">
      <c r="A16" s="47" t="s">
        <v>118</v>
      </c>
      <c r="B16" s="48" t="s">
        <v>125</v>
      </c>
      <c r="C16" s="49" t="s">
        <v>126</v>
      </c>
    </row>
    <row r="17" ht="35" customHeight="1" spans="1:3" s="41" customFormat="1" x14ac:dyDescent="0.25">
      <c r="A17" s="49" t="s">
        <v>127</v>
      </c>
      <c r="B17" s="48" t="s">
        <v>128</v>
      </c>
      <c r="C17" s="48" t="s">
        <v>129</v>
      </c>
    </row>
    <row r="18" ht="20" customHeight="1" spans="1:3" s="41" customFormat="1" x14ac:dyDescent="0.25">
      <c r="A18" s="49" t="s">
        <v>127</v>
      </c>
      <c r="B18" s="48" t="s">
        <v>130</v>
      </c>
      <c r="C18" s="49" t="s">
        <v>131</v>
      </c>
    </row>
    <row r="19" ht="35" customHeight="1" spans="1:3" s="41" customFormat="1" x14ac:dyDescent="0.25">
      <c r="A19" s="49" t="s">
        <v>127</v>
      </c>
      <c r="B19" s="48" t="s">
        <v>132</v>
      </c>
      <c r="C19" s="49" t="s">
        <v>5</v>
      </c>
    </row>
    <row r="20" ht="20" customHeight="1" spans="1:3" s="41" customFormat="1" x14ac:dyDescent="0.25">
      <c r="A20" s="49" t="s">
        <v>127</v>
      </c>
      <c r="B20" s="48" t="s">
        <v>133</v>
      </c>
      <c r="C20" s="49" t="s">
        <v>5</v>
      </c>
    </row>
    <row r="21" ht="25" customHeight="1" spans="1:3" s="41" customFormat="1" x14ac:dyDescent="0.25">
      <c r="A21" s="43" t="s">
        <v>134</v>
      </c>
      <c r="B21" s="43"/>
      <c r="C21" s="43"/>
    </row>
    <row r="22" ht="35" customHeight="1" spans="1:3" s="41" customFormat="1" x14ac:dyDescent="0.25">
      <c r="A22" s="47" t="s">
        <v>118</v>
      </c>
      <c r="B22" s="48" t="s">
        <v>135</v>
      </c>
      <c r="C22" s="49" t="s">
        <v>136</v>
      </c>
    </row>
    <row r="23" ht="20" customHeight="1" spans="1:3" s="41" customFormat="1" x14ac:dyDescent="0.25">
      <c r="A23" s="47" t="s">
        <v>118</v>
      </c>
      <c r="B23" s="48" t="s">
        <v>137</v>
      </c>
      <c r="C23" s="49" t="s">
        <v>138</v>
      </c>
    </row>
    <row r="24" ht="50" customHeight="1" spans="1:3" s="41" customFormat="1" x14ac:dyDescent="0.25">
      <c r="A24" s="49" t="s">
        <v>127</v>
      </c>
      <c r="B24" s="48" t="s">
        <v>139</v>
      </c>
      <c r="C24" s="49" t="s">
        <v>140</v>
      </c>
    </row>
    <row r="25" ht="20" customHeight="1" spans="1:3" s="41" customFormat="1" x14ac:dyDescent="0.25">
      <c r="A25" s="49" t="s">
        <v>127</v>
      </c>
      <c r="B25" s="48" t="s">
        <v>141</v>
      </c>
      <c r="C25" s="49" t="s">
        <v>142</v>
      </c>
    </row>
    <row r="26" ht="25" customHeight="1" spans="1:3" s="41" customFormat="1" x14ac:dyDescent="0.25">
      <c r="A26" s="43" t="s">
        <v>143</v>
      </c>
      <c r="B26" s="43"/>
      <c r="C26" s="43"/>
    </row>
    <row r="27" ht="35" customHeight="1" spans="1:3" s="41" customFormat="1" x14ac:dyDescent="0.25">
      <c r="A27" s="47" t="s">
        <v>118</v>
      </c>
      <c r="B27" s="48" t="s">
        <v>135</v>
      </c>
      <c r="C27" s="49" t="s">
        <v>144</v>
      </c>
    </row>
    <row r="28" ht="25" customHeight="1" spans="1:3" s="41" customFormat="1" x14ac:dyDescent="0.25">
      <c r="A28" s="43" t="s">
        <v>145</v>
      </c>
      <c r="B28" s="43"/>
      <c r="C28" s="43"/>
    </row>
    <row r="29" ht="35" customHeight="1" spans="1:3" s="41" customFormat="1" x14ac:dyDescent="0.25">
      <c r="A29" s="47" t="s">
        <v>118</v>
      </c>
      <c r="B29" s="48" t="s">
        <v>146</v>
      </c>
      <c r="C29" s="49" t="s">
        <v>147</v>
      </c>
    </row>
    <row r="30" ht="20" customHeight="1" spans="1:3" s="41" customFormat="1" x14ac:dyDescent="0.25">
      <c r="A30" s="49" t="s">
        <v>127</v>
      </c>
      <c r="B30" s="49" t="s">
        <v>148</v>
      </c>
      <c r="C30" s="49" t="s">
        <v>5</v>
      </c>
    </row>
    <row r="31" ht="20" customHeight="1" spans="1:3" s="41" customFormat="1" x14ac:dyDescent="0.25">
      <c r="A31" s="49" t="s">
        <v>127</v>
      </c>
      <c r="B31" s="48" t="s">
        <v>149</v>
      </c>
      <c r="C31" s="49" t="s">
        <v>150</v>
      </c>
    </row>
    <row r="32" ht="25" customHeight="1" spans="1:3" s="41" customFormat="1" x14ac:dyDescent="0.25">
      <c r="A32" s="43" t="s">
        <v>151</v>
      </c>
      <c r="B32" s="43"/>
      <c r="C32" s="43"/>
    </row>
    <row r="33" ht="50" customHeight="1" spans="1:3" s="41" customFormat="1" x14ac:dyDescent="0.25">
      <c r="A33" s="47" t="s">
        <v>118</v>
      </c>
      <c r="B33" s="48" t="s">
        <v>152</v>
      </c>
      <c r="C33" s="49" t="s">
        <v>153</v>
      </c>
    </row>
    <row r="34" ht="35" customHeight="1" spans="1:3" s="41" customFormat="1" x14ac:dyDescent="0.25">
      <c r="A34" s="49" t="s">
        <v>127</v>
      </c>
      <c r="B34" s="48" t="s">
        <v>154</v>
      </c>
      <c r="C34" s="49" t="s">
        <v>155</v>
      </c>
    </row>
    <row r="35" ht="35" customHeight="1" spans="1:3" s="41" customFormat="1" x14ac:dyDescent="0.25">
      <c r="A35" s="49" t="s">
        <v>127</v>
      </c>
      <c r="B35" s="48" t="s">
        <v>156</v>
      </c>
      <c r="C35" s="49" t="s">
        <v>157</v>
      </c>
    </row>
    <row r="36" ht="35" customHeight="1" spans="1:3" s="41" customFormat="1" x14ac:dyDescent="0.25">
      <c r="A36" s="49" t="s">
        <v>127</v>
      </c>
      <c r="B36" s="48" t="s">
        <v>158</v>
      </c>
      <c r="C36" s="49" t="s">
        <v>159</v>
      </c>
    </row>
    <row r="37" ht="25" customHeight="1" spans="1:3" s="41" customFormat="1" x14ac:dyDescent="0.25">
      <c r="A37" s="43" t="s">
        <v>160</v>
      </c>
      <c r="B37" s="43"/>
      <c r="C37" s="43"/>
    </row>
    <row r="38" ht="20" customHeight="1" spans="1:3" s="41" customFormat="1" x14ac:dyDescent="0.25">
      <c r="A38" s="47" t="s">
        <v>118</v>
      </c>
      <c r="B38" s="48" t="s">
        <v>108</v>
      </c>
      <c r="C38" s="49" t="s">
        <v>161</v>
      </c>
    </row>
    <row r="39" ht="35" customHeight="1" spans="1:3" s="41" customFormat="1" x14ac:dyDescent="0.25">
      <c r="A39" s="49" t="s">
        <v>162</v>
      </c>
      <c r="B39" s="48" t="s">
        <v>163</v>
      </c>
      <c r="C39" s="49" t="s">
        <v>164</v>
      </c>
    </row>
    <row r="40" ht="25" customHeight="1" spans="1:3" s="41" customFormat="1" x14ac:dyDescent="0.25">
      <c r="A40" s="43" t="s">
        <v>165</v>
      </c>
      <c r="B40" s="43"/>
      <c r="C40" s="43"/>
    </row>
    <row r="41" ht="35" customHeight="1" spans="1:3" s="41" customFormat="1" x14ac:dyDescent="0.25">
      <c r="A41" s="47" t="s">
        <v>118</v>
      </c>
      <c r="B41" s="48" t="s">
        <v>166</v>
      </c>
      <c r="C41" s="49" t="s">
        <v>167</v>
      </c>
    </row>
    <row r="42" ht="560" customHeight="1" spans="1:3" s="41" customFormat="1" x14ac:dyDescent="0.25">
      <c r="A42" s="47" t="s">
        <v>168</v>
      </c>
      <c r="B42" s="48" t="s">
        <v>169</v>
      </c>
      <c r="C42" s="50" t="s">
        <v>170</v>
      </c>
    </row>
    <row r="43" ht="260" customHeight="1" spans="1:3" s="41" customFormat="1" x14ac:dyDescent="0.25">
      <c r="A43" s="47" t="s">
        <v>168</v>
      </c>
      <c r="B43" s="49" t="s">
        <v>171</v>
      </c>
      <c r="C43" s="50" t="s">
        <v>172</v>
      </c>
    </row>
    <row r="44" ht="35" customHeight="1" spans="1:3" s="41" customFormat="1" x14ac:dyDescent="0.25">
      <c r="A44" s="49" t="s">
        <v>162</v>
      </c>
      <c r="B44" s="48" t="s">
        <v>173</v>
      </c>
      <c r="C44" s="49" t="s">
        <v>174</v>
      </c>
    </row>
    <row r="45" ht="35" customHeight="1" spans="1:3" s="41" customFormat="1" x14ac:dyDescent="0.25">
      <c r="A45" s="49" t="s">
        <v>162</v>
      </c>
      <c r="B45" s="48" t="s">
        <v>175</v>
      </c>
      <c r="C45" s="49" t="s">
        <v>176</v>
      </c>
    </row>
    <row r="46" ht="50" customHeight="1" spans="1:3" s="41" customFormat="1" x14ac:dyDescent="0.25">
      <c r="A46" s="49" t="s">
        <v>177</v>
      </c>
      <c r="B46" s="48" t="s">
        <v>137</v>
      </c>
      <c r="C46" s="49" t="s">
        <v>178</v>
      </c>
    </row>
    <row r="47" ht="35" customHeight="1" spans="1:3" s="41" customFormat="1" x14ac:dyDescent="0.25">
      <c r="A47" s="49" t="s">
        <v>179</v>
      </c>
      <c r="B47" s="48" t="s">
        <v>149</v>
      </c>
      <c r="C47" s="49" t="s">
        <v>180</v>
      </c>
    </row>
    <row r="48" ht="20" customHeight="1" spans="1:3" s="41" customFormat="1" x14ac:dyDescent="0.25">
      <c r="A48" s="49" t="s">
        <v>127</v>
      </c>
      <c r="B48" s="48" t="s">
        <v>181</v>
      </c>
      <c r="C48" s="49" t="s">
        <v>5</v>
      </c>
    </row>
    <row r="49" ht="35" customHeight="1" spans="1:3" s="41" customFormat="1" x14ac:dyDescent="0.25">
      <c r="A49" s="49" t="s">
        <v>127</v>
      </c>
      <c r="B49" s="48" t="s">
        <v>182</v>
      </c>
      <c r="C49" s="49" t="s">
        <v>183</v>
      </c>
    </row>
    <row r="50" ht="20" customHeight="1" spans="1:3" s="41" customFormat="1" x14ac:dyDescent="0.25">
      <c r="A50" s="49" t="s">
        <v>127</v>
      </c>
      <c r="B50" s="48" t="s">
        <v>184</v>
      </c>
      <c r="C50" s="49" t="s">
        <v>5</v>
      </c>
    </row>
    <row r="51" ht="25" customHeight="1" spans="1:3" s="41" customFormat="1" x14ac:dyDescent="0.25">
      <c r="A51" s="43" t="s">
        <v>185</v>
      </c>
      <c r="B51" s="43"/>
      <c r="C51" s="43"/>
    </row>
    <row r="52" ht="20" customHeight="1" spans="1:3" s="41" customFormat="1" x14ac:dyDescent="0.25">
      <c r="A52" s="49" t="s">
        <v>127</v>
      </c>
      <c r="B52" s="48" t="s">
        <v>186</v>
      </c>
      <c r="C52" s="49" t="s">
        <v>5</v>
      </c>
    </row>
    <row r="53" ht="20" customHeight="1" spans="1:3" s="41" customFormat="1" x14ac:dyDescent="0.25">
      <c r="A53" s="49" t="s">
        <v>127</v>
      </c>
      <c r="B53" s="48" t="s">
        <v>187</v>
      </c>
      <c r="C53" s="49" t="s">
        <v>5</v>
      </c>
    </row>
    <row r="54" ht="25" customHeight="1" spans="1:3" s="41" customFormat="1" x14ac:dyDescent="0.25">
      <c r="A54" s="43" t="s">
        <v>188</v>
      </c>
      <c r="B54" s="43"/>
      <c r="C54" s="43"/>
    </row>
    <row r="55" ht="50" customHeight="1" spans="1:3" s="41" customFormat="1" x14ac:dyDescent="0.25">
      <c r="A55" s="47" t="s">
        <v>118</v>
      </c>
      <c r="B55" s="48" t="s">
        <v>189</v>
      </c>
      <c r="C55" s="49" t="s">
        <v>190</v>
      </c>
    </row>
    <row r="56" ht="25" customHeight="1" spans="1:3" s="41" customFormat="1" x14ac:dyDescent="0.25">
      <c r="A56" s="43" t="s">
        <v>191</v>
      </c>
      <c r="B56" s="43"/>
      <c r="C56" s="43"/>
    </row>
    <row r="57" ht="35" customHeight="1" spans="1:3" s="41" customFormat="1" x14ac:dyDescent="0.25">
      <c r="A57" s="47" t="s">
        <v>118</v>
      </c>
      <c r="B57" s="48" t="s">
        <v>135</v>
      </c>
      <c r="C57" s="49" t="s">
        <v>144</v>
      </c>
    </row>
    <row r="58" ht="25" customHeight="1" spans="1:3" s="41" customFormat="1" x14ac:dyDescent="0.25">
      <c r="A58" s="43" t="s">
        <v>192</v>
      </c>
      <c r="B58" s="43"/>
      <c r="C58" s="43"/>
    </row>
    <row r="59" ht="65" customHeight="1" spans="1:3" s="41" customFormat="1" x14ac:dyDescent="0.25">
      <c r="A59" s="47" t="s">
        <v>118</v>
      </c>
      <c r="B59" s="48" t="s">
        <v>135</v>
      </c>
      <c r="C59" s="49" t="s">
        <v>193</v>
      </c>
    </row>
    <row r="60" ht="35" customHeight="1" spans="1:3" s="41" customFormat="1" x14ac:dyDescent="0.25">
      <c r="A60" s="49" t="s">
        <v>127</v>
      </c>
      <c r="B60" s="48" t="s">
        <v>194</v>
      </c>
      <c r="C60" s="49" t="s">
        <v>195</v>
      </c>
    </row>
    <row r="61" ht="35" customHeight="1" spans="1:3" s="41" customFormat="1" x14ac:dyDescent="0.25">
      <c r="A61" s="49" t="s">
        <v>127</v>
      </c>
      <c r="B61" s="48" t="s">
        <v>133</v>
      </c>
      <c r="C61" s="49" t="s">
        <v>196</v>
      </c>
    </row>
    <row r="62" ht="20" customHeight="1" spans="1:3" s="41" customFormat="1" x14ac:dyDescent="0.25">
      <c r="A62" s="49" t="s">
        <v>127</v>
      </c>
      <c r="B62" s="48" t="s">
        <v>197</v>
      </c>
      <c r="C62" s="49" t="s">
        <v>5</v>
      </c>
    </row>
    <row r="63" ht="20" customHeight="1" spans="1:3" s="41" customFormat="1" x14ac:dyDescent="0.25">
      <c r="A63" s="49" t="s">
        <v>127</v>
      </c>
      <c r="B63" s="48" t="s">
        <v>198</v>
      </c>
      <c r="C63" s="49" t="s">
        <v>199</v>
      </c>
    </row>
    <row r="64" ht="20" customHeight="1" spans="1:3" s="41" customFormat="1" x14ac:dyDescent="0.25">
      <c r="A64" s="49" t="s">
        <v>127</v>
      </c>
      <c r="B64" s="48" t="s">
        <v>200</v>
      </c>
      <c r="C64" s="49" t="s">
        <v>201</v>
      </c>
    </row>
    <row r="65" ht="20" customHeight="1" spans="1:3" s="41" customFormat="1" x14ac:dyDescent="0.25">
      <c r="A65" s="49" t="s">
        <v>127</v>
      </c>
      <c r="B65" s="48" t="s">
        <v>202</v>
      </c>
      <c r="C65" s="49" t="s">
        <v>203</v>
      </c>
    </row>
    <row r="66" ht="35" customHeight="1" spans="1:3" s="41" customFormat="1" x14ac:dyDescent="0.25">
      <c r="A66" s="49" t="s">
        <v>127</v>
      </c>
      <c r="B66" s="48" t="s">
        <v>204</v>
      </c>
      <c r="C66" s="49" t="s">
        <v>205</v>
      </c>
    </row>
  </sheetData>
  <mergeCells count="19">
    <mergeCell ref="A1:C1"/>
    <mergeCell ref="A3:C3"/>
    <mergeCell ref="A5:C5"/>
    <mergeCell ref="A6:A7"/>
    <mergeCell ref="C6:C7"/>
    <mergeCell ref="A9:C9"/>
    <mergeCell ref="A11:C11"/>
    <mergeCell ref="A13:C13"/>
    <mergeCell ref="A15:C15"/>
    <mergeCell ref="A21:C21"/>
    <mergeCell ref="A26:C26"/>
    <mergeCell ref="A28:C28"/>
    <mergeCell ref="A32:C32"/>
    <mergeCell ref="A37:C37"/>
    <mergeCell ref="A40:C40"/>
    <mergeCell ref="A51:C51"/>
    <mergeCell ref="A54:C54"/>
    <mergeCell ref="A56:C56"/>
    <mergeCell ref="A58:C58"/>
  </mergeCells>
  <hyperlinks>
    <hyperlink ref="B6" r:id="rId1"/>
    <hyperlink ref="B7" r:id="rId2"/>
    <hyperlink ref="B8" r:id="rId3"/>
    <hyperlink ref="B12" r:id="rId4"/>
    <hyperlink ref="C12" r:id="rId5"/>
    <hyperlink ref="B14" r:id="rId6"/>
    <hyperlink ref="B16" r:id="rId7"/>
    <hyperlink ref="B17" r:id="rId8"/>
    <hyperlink ref="C17" r:id="rId9"/>
    <hyperlink ref="B18" r:id="rId10"/>
    <hyperlink ref="B19" r:id="rId11"/>
    <hyperlink ref="B20" r:id="rId12"/>
    <hyperlink ref="B22" r:id="rId13"/>
    <hyperlink ref="B23" r:id="rId14"/>
    <hyperlink ref="B24" r:id="rId15"/>
    <hyperlink ref="B25" r:id="rId16"/>
    <hyperlink ref="B27" r:id="rId17"/>
    <hyperlink ref="B29" r:id="rId18"/>
    <hyperlink ref="B31" r:id="rId19"/>
    <hyperlink ref="B33" r:id="rId20"/>
    <hyperlink ref="B34" r:id="rId21"/>
    <hyperlink ref="B35" r:id="rId22"/>
    <hyperlink ref="B36" r:id="rId23"/>
    <hyperlink ref="B38" r:id="rId24"/>
    <hyperlink ref="B39" r:id="rId25"/>
    <hyperlink ref="B41" r:id="rId26"/>
    <hyperlink ref="B42" r:id="rId27"/>
    <hyperlink ref="B44" r:id="rId28"/>
    <hyperlink ref="B45" r:id="rId29"/>
    <hyperlink ref="B46" r:id="rId30"/>
    <hyperlink ref="B47" r:id="rId31"/>
    <hyperlink ref="B48" r:id="rId32"/>
    <hyperlink ref="B49" r:id="rId33"/>
    <hyperlink ref="B50" r:id="rId34"/>
    <hyperlink ref="B52" r:id="rId35"/>
    <hyperlink ref="B53" r:id="rId36"/>
    <hyperlink ref="B55" r:id="rId37"/>
    <hyperlink ref="B57" r:id="rId38"/>
    <hyperlink ref="B59" r:id="rId39"/>
    <hyperlink ref="B60" r:id="rId40"/>
    <hyperlink ref="B61" r:id="rId41"/>
    <hyperlink ref="B62" r:id="rId42"/>
    <hyperlink ref="B63" r:id="rId43"/>
    <hyperlink ref="B64" r:id="rId44"/>
    <hyperlink ref="B65" r:id="rId45"/>
    <hyperlink ref="B66" r:id="rId46"/>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54" t="s">
        <v>224</v>
      </c>
      <c r="B2" s="55" t="s">
        <v>225</v>
      </c>
      <c r="C2" s="56" t="s">
        <v>226</v>
      </c>
      <c r="D2" s="56" t="s">
        <v>227</v>
      </c>
      <c r="E2" s="56" t="s">
        <v>228</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=COUNTIFS(C2:C21,"Yes")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54" t="s">
        <v>224</v>
      </c>
      <c r="B3" s="55" t="s">
        <v>231</v>
      </c>
      <c r="C3" s="56" t="s">
        <v>226</v>
      </c>
      <c r="D3" s="56" t="s">
        <v>232</v>
      </c>
      <c r="E3" s="56" t="s">
        <v>233</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80" customHeight="1" spans="1:27" s="53" customFormat="1" x14ac:dyDescent="0.25">
      <c r="A4" s="54" t="s">
        <v>224</v>
      </c>
      <c r="B4" s="55" t="s">
        <v>234</v>
      </c>
      <c r="C4" s="56" t="s">
        <v>226</v>
      </c>
      <c r="D4" s="56" t="s">
        <v>235</v>
      </c>
      <c r="E4" s="56" t="s">
        <v>236</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=SUM(W2:W21)</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57" t="s">
        <v>238</v>
      </c>
      <c r="B5" s="58" t="s">
        <v>239</v>
      </c>
      <c r="C5" s="56" t="s">
        <v>226</v>
      </c>
      <c r="D5" s="56" t="s">
        <v>240</v>
      </c>
      <c r="E5" s="56" t="s">
        <v>241</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=SUM(X2:X21)</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65" customHeight="1" spans="1:27" s="53" customFormat="1" x14ac:dyDescent="0.25">
      <c r="A6" s="57" t="s">
        <v>238</v>
      </c>
      <c r="B6" s="58" t="s">
        <v>244</v>
      </c>
      <c r="C6" s="56" t="s">
        <v>226</v>
      </c>
      <c r="D6" s="56" t="s">
        <v>245</v>
      </c>
      <c r="E6" s="56" t="s">
        <v>246</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=SUM(Z2:Z21)</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65" customHeight="1" spans="1:27" s="53" customFormat="1" x14ac:dyDescent="0.25">
      <c r="A7" s="57" t="s">
        <v>238</v>
      </c>
      <c r="B7" s="58" t="s">
        <v>247</v>
      </c>
      <c r="C7" s="56" t="s">
        <v>226</v>
      </c>
      <c r="D7" s="56" t="s">
        <v>248</v>
      </c>
      <c r="E7" s="56" t="s">
        <v>249</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=SUM(AA2:AA21)</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57" t="s">
        <v>238</v>
      </c>
      <c r="B8" s="58" t="s">
        <v>250</v>
      </c>
      <c r="C8" s="56" t="s">
        <v>226</v>
      </c>
      <c r="D8" s="56" t="s">
        <v>251</v>
      </c>
      <c r="E8" s="56" t="s">
        <v>252</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65" customHeight="1" spans="1:27" s="53" customFormat="1" x14ac:dyDescent="0.25">
      <c r="A9" s="57" t="s">
        <v>238</v>
      </c>
      <c r="B9" s="58" t="s">
        <v>253</v>
      </c>
      <c r="C9" s="56" t="s">
        <v>226</v>
      </c>
      <c r="D9" s="56" t="s">
        <v>254</v>
      </c>
      <c r="E9" s="56" t="s">
        <v>255</v>
      </c>
      <c r="F9" s="56">
        <f>=IF(AND(C9="Yes",G9="-"), "Yes", "No")</f>
      </c>
      <c r="G9" s="56" t="s">
        <v>13</v>
      </c>
      <c r="H9" s="56" t="s">
        <v>5</v>
      </c>
      <c r="I9" s="56" t="s">
        <v>242</v>
      </c>
      <c r="J9" s="56" t="s">
        <v>32</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35" customHeight="1" spans="1:27" s="53" customFormat="1" x14ac:dyDescent="0.25">
      <c r="A10" s="57" t="s">
        <v>238</v>
      </c>
      <c r="B10" s="58" t="s">
        <v>256</v>
      </c>
      <c r="C10" s="56" t="s">
        <v>226</v>
      </c>
      <c r="D10" s="56" t="s">
        <v>257</v>
      </c>
      <c r="E10" s="56" t="s">
        <v>258</v>
      </c>
      <c r="F10" s="56">
        <f>=IF(AND(C10="Yes",G10="-"), "Yes", "No")</f>
      </c>
      <c r="G10" s="56" t="s">
        <v>13</v>
      </c>
      <c r="H10" s="56" t="s">
        <v>5</v>
      </c>
      <c r="I10" s="56" t="s">
        <v>242</v>
      </c>
      <c r="J10" s="56" t="s">
        <v>32</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35" customHeight="1" spans="1:27" s="53" customFormat="1" x14ac:dyDescent="0.25">
      <c r="A11" s="57" t="s">
        <v>238</v>
      </c>
      <c r="B11" s="58" t="s">
        <v>259</v>
      </c>
      <c r="C11" s="56" t="s">
        <v>226</v>
      </c>
      <c r="D11" s="56" t="s">
        <v>260</v>
      </c>
      <c r="E11" s="56" t="s">
        <v>261</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140" customHeight="1" spans="1:27" s="53" customFormat="1" x14ac:dyDescent="0.25">
      <c r="A12" s="57" t="s">
        <v>238</v>
      </c>
      <c r="B12" s="58" t="s">
        <v>262</v>
      </c>
      <c r="C12" s="56" t="s">
        <v>226</v>
      </c>
      <c r="D12" s="56" t="s">
        <v>263</v>
      </c>
      <c r="E12" s="56" t="s">
        <v>264</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59" t="s">
        <v>265</v>
      </c>
      <c r="B13" s="60" t="s">
        <v>266</v>
      </c>
      <c r="C13" s="56" t="s">
        <v>226</v>
      </c>
      <c r="D13" s="56" t="s">
        <v>267</v>
      </c>
      <c r="E13" s="56" t="s">
        <v>268</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35" customHeight="1" spans="1:27" s="53" customFormat="1" x14ac:dyDescent="0.25">
      <c r="A14" s="59" t="s">
        <v>265</v>
      </c>
      <c r="B14" s="60" t="s">
        <v>269</v>
      </c>
      <c r="C14" s="56" t="s">
        <v>226</v>
      </c>
      <c r="D14" s="56" t="s">
        <v>270</v>
      </c>
      <c r="E14" s="56" t="s">
        <v>271</v>
      </c>
      <c r="F14" s="56">
        <f>=IF(AND(C14="Yes",G14="-"), "Yes", "No")</f>
      </c>
      <c r="G14" s="56" t="s">
        <v>13</v>
      </c>
      <c r="H14" s="56" t="s">
        <v>5</v>
      </c>
      <c r="I14" s="56" t="s">
        <v>242</v>
      </c>
      <c r="J14" s="56" t="s">
        <v>32</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59" t="s">
        <v>265</v>
      </c>
      <c r="B15" s="60" t="s">
        <v>272</v>
      </c>
      <c r="C15" s="56" t="s">
        <v>226</v>
      </c>
      <c r="D15" s="56" t="s">
        <v>273</v>
      </c>
      <c r="E15" s="56" t="s">
        <v>274</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65" customHeight="1" spans="1:27" s="53" customFormat="1" x14ac:dyDescent="0.25">
      <c r="A16" s="59" t="s">
        <v>265</v>
      </c>
      <c r="B16" s="60" t="s">
        <v>275</v>
      </c>
      <c r="C16" s="56" t="s">
        <v>226</v>
      </c>
      <c r="D16" s="56" t="s">
        <v>276</v>
      </c>
      <c r="E16" s="56" t="s">
        <v>277</v>
      </c>
      <c r="F16" s="56">
        <f>=IF(AND(C16="Yes",G16="-"), "Yes", "No")</f>
      </c>
      <c r="G16" s="56" t="s">
        <v>13</v>
      </c>
      <c r="H16" s="56" t="s">
        <v>5</v>
      </c>
      <c r="I16" s="56" t="s">
        <v>242</v>
      </c>
      <c r="J16" s="56" t="s">
        <v>32</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59" t="s">
        <v>265</v>
      </c>
      <c r="B17" s="60" t="s">
        <v>278</v>
      </c>
      <c r="C17" s="56" t="s">
        <v>226</v>
      </c>
      <c r="D17" s="56" t="s">
        <v>279</v>
      </c>
      <c r="E17" s="56" t="s">
        <v>279</v>
      </c>
      <c r="F17" s="56">
        <f>=IF(AND(C17="Yes",G17="-"), "Yes", "No")</f>
      </c>
      <c r="G17" s="56" t="s">
        <v>13</v>
      </c>
      <c r="H17" s="56" t="s">
        <v>5</v>
      </c>
      <c r="I17" s="56" t="s">
        <v>242</v>
      </c>
      <c r="J17" s="56" t="s">
        <v>32</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65" customHeight="1" spans="1:27" s="53" customFormat="1" x14ac:dyDescent="0.25">
      <c r="A18" s="54" t="s">
        <v>280</v>
      </c>
      <c r="B18" s="55" t="s">
        <v>281</v>
      </c>
      <c r="C18" s="56" t="s">
        <v>226</v>
      </c>
      <c r="D18" s="56" t="s">
        <v>282</v>
      </c>
      <c r="E18" s="56" t="s">
        <v>283</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65" customHeight="1" spans="1:27" s="53" customFormat="1" x14ac:dyDescent="0.25">
      <c r="A19" s="54" t="s">
        <v>280</v>
      </c>
      <c r="B19" s="55" t="s">
        <v>284</v>
      </c>
      <c r="C19" s="56" t="s">
        <v>226</v>
      </c>
      <c r="D19" s="56" t="s">
        <v>285</v>
      </c>
      <c r="E19" s="56" t="s">
        <v>286</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80" customHeight="1" spans="1:27" s="53" customFormat="1" x14ac:dyDescent="0.25">
      <c r="A20" s="54" t="s">
        <v>280</v>
      </c>
      <c r="B20" s="55" t="s">
        <v>287</v>
      </c>
      <c r="C20" s="56" t="s">
        <v>226</v>
      </c>
      <c r="D20" s="56" t="s">
        <v>288</v>
      </c>
      <c r="E20" s="56" t="s">
        <v>289</v>
      </c>
      <c r="F20" s="56">
        <f>=IF(AND(C20="Yes",G20="-"), "Yes", "No")</f>
      </c>
      <c r="G20" s="56" t="s">
        <v>13</v>
      </c>
      <c r="H20" s="56" t="s">
        <v>5</v>
      </c>
      <c r="I20" s="56" t="s">
        <v>242</v>
      </c>
      <c r="J20" s="56" t="s">
        <v>32</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80" customHeight="1" spans="1:27" s="53" customFormat="1" x14ac:dyDescent="0.25">
      <c r="A21" s="54" t="s">
        <v>280</v>
      </c>
      <c r="B21" s="55" t="s">
        <v>290</v>
      </c>
      <c r="C21" s="56" t="s">
        <v>226</v>
      </c>
      <c r="D21" s="56" t="s">
        <v>291</v>
      </c>
      <c r="E21" s="56" t="s">
        <v>292</v>
      </c>
      <c r="F21" s="56">
        <f>=IF(AND(C21="Yes",G21="-"), "Yes", "No")</f>
      </c>
      <c r="G21" s="56" t="s">
        <v>13</v>
      </c>
      <c r="H21" s="56" t="s">
        <v>5</v>
      </c>
      <c r="I21" s="56" t="s">
        <v>242</v>
      </c>
      <c r="J21" s="56" t="s">
        <v>32</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sheetData>
  <autoFilter ref="A1:L1"/>
  <conditionalFormatting sqref="$F$2">
    <cfRule type="containsText" dxfId="166" priority="1">
      <formula>NOT(ISERROR(SEARCH("Yes",F2)))</formula>
    </cfRule>
  </conditionalFormatting>
  <conditionalFormatting sqref="$G$2">
    <cfRule type="containsText" dxfId="167" priority="1">
      <formula>NOT(ISERROR(SEARCH("Yes",G2)))</formula>
    </cfRule>
    <cfRule type="containsText" dxfId="168" priority="2">
      <formula>NOT(ISERROR(SEARCH("No; explanation in comments",G2)))</formula>
    </cfRule>
  </conditionalFormatting>
  <conditionalFormatting sqref="$J$2">
    <cfRule type="containsText" dxfId="169" priority="1">
      <formula>NOT(ISERROR(SEARCH("Yes",J2)))</formula>
    </cfRule>
  </conditionalFormatting>
  <conditionalFormatting sqref="$K$2">
    <cfRule type="containsText" dxfId="170" priority="1">
      <formula>NOT(ISERROR(SEARCH("Mitigated",K2)))</formula>
    </cfRule>
    <cfRule type="containsText" dxfId="171" priority="2">
      <formula>NOT(ISERROR(SEARCH("Not Mitigated",K2)))</formula>
    </cfRule>
  </conditionalFormatting>
  <conditionalFormatting sqref="$F$3">
    <cfRule type="containsText" dxfId="172" priority="1">
      <formula>NOT(ISERROR(SEARCH("Yes",F3)))</formula>
    </cfRule>
  </conditionalFormatting>
  <conditionalFormatting sqref="$G$3">
    <cfRule type="containsText" dxfId="173" priority="1">
      <formula>NOT(ISERROR(SEARCH("Yes",G3)))</formula>
    </cfRule>
    <cfRule type="containsText" dxfId="174" priority="2">
      <formula>NOT(ISERROR(SEARCH("No; explanation in comments",G3)))</formula>
    </cfRule>
  </conditionalFormatting>
  <conditionalFormatting sqref="$J$3">
    <cfRule type="containsText" dxfId="175" priority="1">
      <formula>NOT(ISERROR(SEARCH("Yes",J3)))</formula>
    </cfRule>
  </conditionalFormatting>
  <conditionalFormatting sqref="$K$3">
    <cfRule type="containsText" dxfId="176" priority="1">
      <formula>NOT(ISERROR(SEARCH("Mitigated",K3)))</formula>
    </cfRule>
    <cfRule type="containsText" dxfId="177" priority="2">
      <formula>NOT(ISERROR(SEARCH("Not Mitigated",K3)))</formula>
    </cfRule>
  </conditionalFormatting>
  <conditionalFormatting sqref="$F$4">
    <cfRule type="containsText" dxfId="178" priority="1">
      <formula>NOT(ISERROR(SEARCH("Yes",F4)))</formula>
    </cfRule>
  </conditionalFormatting>
  <conditionalFormatting sqref="$G$4">
    <cfRule type="containsText" dxfId="179" priority="1">
      <formula>NOT(ISERROR(SEARCH("Yes",G4)))</formula>
    </cfRule>
    <cfRule type="containsText" dxfId="180" priority="2">
      <formula>NOT(ISERROR(SEARCH("No; explanation in comments",G4)))</formula>
    </cfRule>
  </conditionalFormatting>
  <conditionalFormatting sqref="$J$4">
    <cfRule type="containsText" dxfId="181" priority="1">
      <formula>NOT(ISERROR(SEARCH("Yes",J4)))</formula>
    </cfRule>
  </conditionalFormatting>
  <conditionalFormatting sqref="$K$4">
    <cfRule type="containsText" dxfId="182" priority="1">
      <formula>NOT(ISERROR(SEARCH("Mitigated",K4)))</formula>
    </cfRule>
    <cfRule type="containsText" dxfId="183" priority="2">
      <formula>NOT(ISERROR(SEARCH("Not Mitigated",K4)))</formula>
    </cfRule>
  </conditionalFormatting>
  <conditionalFormatting sqref="$F$5">
    <cfRule type="containsText" dxfId="184" priority="1">
      <formula>NOT(ISERROR(SEARCH("Yes",F5)))</formula>
    </cfRule>
  </conditionalFormatting>
  <conditionalFormatting sqref="$G$5">
    <cfRule type="containsText" dxfId="185" priority="1">
      <formula>NOT(ISERROR(SEARCH("Yes",G5)))</formula>
    </cfRule>
    <cfRule type="containsText" dxfId="186" priority="2">
      <formula>NOT(ISERROR(SEARCH("No; explanation in comments",G5)))</formula>
    </cfRule>
  </conditionalFormatting>
  <conditionalFormatting sqref="$J$5">
    <cfRule type="containsText" dxfId="187" priority="1">
      <formula>NOT(ISERROR(SEARCH("Yes",J5)))</formula>
    </cfRule>
  </conditionalFormatting>
  <conditionalFormatting sqref="$K$5">
    <cfRule type="containsText" dxfId="188" priority="1">
      <formula>NOT(ISERROR(SEARCH("Mitigated",K5)))</formula>
    </cfRule>
    <cfRule type="containsText" dxfId="189" priority="2">
      <formula>NOT(ISERROR(SEARCH("Not Mitigated",K5)))</formula>
    </cfRule>
  </conditionalFormatting>
  <conditionalFormatting sqref="$F$6">
    <cfRule type="containsText" dxfId="190" priority="1">
      <formula>NOT(ISERROR(SEARCH("Yes",F6)))</formula>
    </cfRule>
  </conditionalFormatting>
  <conditionalFormatting sqref="$G$6">
    <cfRule type="containsText" dxfId="191" priority="1">
      <formula>NOT(ISERROR(SEARCH("Yes",G6)))</formula>
    </cfRule>
    <cfRule type="containsText" dxfId="192" priority="2">
      <formula>NOT(ISERROR(SEARCH("No; explanation in comments",G6)))</formula>
    </cfRule>
  </conditionalFormatting>
  <conditionalFormatting sqref="$J$6">
    <cfRule type="containsText" dxfId="193" priority="1">
      <formula>NOT(ISERROR(SEARCH("Yes",J6)))</formula>
    </cfRule>
  </conditionalFormatting>
  <conditionalFormatting sqref="$K$6">
    <cfRule type="containsText" dxfId="194" priority="1">
      <formula>NOT(ISERROR(SEARCH("Mitigated",K6)))</formula>
    </cfRule>
    <cfRule type="containsText" dxfId="195" priority="2">
      <formula>NOT(ISERROR(SEARCH("Not Mitigated",K6)))</formula>
    </cfRule>
  </conditionalFormatting>
  <conditionalFormatting sqref="$F$7">
    <cfRule type="containsText" dxfId="196" priority="1">
      <formula>NOT(ISERROR(SEARCH("Yes",F7)))</formula>
    </cfRule>
  </conditionalFormatting>
  <conditionalFormatting sqref="$G$7">
    <cfRule type="containsText" dxfId="197" priority="1">
      <formula>NOT(ISERROR(SEARCH("Yes",G7)))</formula>
    </cfRule>
    <cfRule type="containsText" dxfId="198" priority="2">
      <formula>NOT(ISERROR(SEARCH("No; explanation in comments",G7)))</formula>
    </cfRule>
  </conditionalFormatting>
  <conditionalFormatting sqref="$J$7">
    <cfRule type="containsText" dxfId="199" priority="1">
      <formula>NOT(ISERROR(SEARCH("Yes",J7)))</formula>
    </cfRule>
  </conditionalFormatting>
  <conditionalFormatting sqref="$K$7">
    <cfRule type="containsText" dxfId="200" priority="1">
      <formula>NOT(ISERROR(SEARCH("Mitigated",K7)))</formula>
    </cfRule>
    <cfRule type="containsText" dxfId="201" priority="2">
      <formula>NOT(ISERROR(SEARCH("Not Mitigated",K7)))</formula>
    </cfRule>
  </conditionalFormatting>
  <conditionalFormatting sqref="$F$8">
    <cfRule type="containsText" dxfId="202" priority="1">
      <formula>NOT(ISERROR(SEARCH("Yes",F8)))</formula>
    </cfRule>
  </conditionalFormatting>
  <conditionalFormatting sqref="$G$8">
    <cfRule type="containsText" dxfId="203" priority="1">
      <formula>NOT(ISERROR(SEARCH("Yes",G8)))</formula>
    </cfRule>
    <cfRule type="containsText" dxfId="204" priority="2">
      <formula>NOT(ISERROR(SEARCH("No; explanation in comments",G8)))</formula>
    </cfRule>
  </conditionalFormatting>
  <conditionalFormatting sqref="$J$8">
    <cfRule type="containsText" dxfId="205" priority="1">
      <formula>NOT(ISERROR(SEARCH("Yes",J8)))</formula>
    </cfRule>
  </conditionalFormatting>
  <conditionalFormatting sqref="$K$8">
    <cfRule type="containsText" dxfId="206" priority="1">
      <formula>NOT(ISERROR(SEARCH("Mitigated",K8)))</formula>
    </cfRule>
    <cfRule type="containsText" dxfId="207" priority="2">
      <formula>NOT(ISERROR(SEARCH("Not Mitigated",K8)))</formula>
    </cfRule>
  </conditionalFormatting>
  <conditionalFormatting sqref="$F$9">
    <cfRule type="containsText" dxfId="208" priority="1">
      <formula>NOT(ISERROR(SEARCH("Yes",F9)))</formula>
    </cfRule>
  </conditionalFormatting>
  <conditionalFormatting sqref="$G$9">
    <cfRule type="containsText" dxfId="209" priority="1">
      <formula>NOT(ISERROR(SEARCH("Yes",G9)))</formula>
    </cfRule>
    <cfRule type="containsText" dxfId="210" priority="2">
      <formula>NOT(ISERROR(SEARCH("No; explanation in comments",G9)))</formula>
    </cfRule>
  </conditionalFormatting>
  <conditionalFormatting sqref="$J$9">
    <cfRule type="containsText" dxfId="211" priority="1">
      <formula>NOT(ISERROR(SEARCH("Yes",J9)))</formula>
    </cfRule>
  </conditionalFormatting>
  <conditionalFormatting sqref="$K$9">
    <cfRule type="containsText" dxfId="212" priority="1">
      <formula>NOT(ISERROR(SEARCH("Mitigated",K9)))</formula>
    </cfRule>
    <cfRule type="containsText" dxfId="213" priority="2">
      <formula>NOT(ISERROR(SEARCH("Not Mitigated",K9)))</formula>
    </cfRule>
  </conditionalFormatting>
  <conditionalFormatting sqref="$F$10">
    <cfRule type="containsText" dxfId="214" priority="1">
      <formula>NOT(ISERROR(SEARCH("Yes",F10)))</formula>
    </cfRule>
  </conditionalFormatting>
  <conditionalFormatting sqref="$G$10">
    <cfRule type="containsText" dxfId="215" priority="1">
      <formula>NOT(ISERROR(SEARCH("Yes",G10)))</formula>
    </cfRule>
    <cfRule type="containsText" dxfId="216" priority="2">
      <formula>NOT(ISERROR(SEARCH("No; explanation in comments",G10)))</formula>
    </cfRule>
  </conditionalFormatting>
  <conditionalFormatting sqref="$J$10">
    <cfRule type="containsText" dxfId="217" priority="1">
      <formula>NOT(ISERROR(SEARCH("Yes",J10)))</formula>
    </cfRule>
  </conditionalFormatting>
  <conditionalFormatting sqref="$K$10">
    <cfRule type="containsText" dxfId="218" priority="1">
      <formula>NOT(ISERROR(SEARCH("Mitigated",K10)))</formula>
    </cfRule>
    <cfRule type="containsText" dxfId="219" priority="2">
      <formula>NOT(ISERROR(SEARCH("Not Mitigated",K10)))</formula>
    </cfRule>
  </conditionalFormatting>
  <conditionalFormatting sqref="$F$11">
    <cfRule type="containsText" dxfId="220" priority="1">
      <formula>NOT(ISERROR(SEARCH("Yes",F11)))</formula>
    </cfRule>
  </conditionalFormatting>
  <conditionalFormatting sqref="$G$11">
    <cfRule type="containsText" dxfId="221" priority="1">
      <formula>NOT(ISERROR(SEARCH("Yes",G11)))</formula>
    </cfRule>
    <cfRule type="containsText" dxfId="222" priority="2">
      <formula>NOT(ISERROR(SEARCH("No; explanation in comments",G11)))</formula>
    </cfRule>
  </conditionalFormatting>
  <conditionalFormatting sqref="$J$11">
    <cfRule type="containsText" dxfId="223" priority="1">
      <formula>NOT(ISERROR(SEARCH("Yes",J11)))</formula>
    </cfRule>
  </conditionalFormatting>
  <conditionalFormatting sqref="$K$11">
    <cfRule type="containsText" dxfId="224" priority="1">
      <formula>NOT(ISERROR(SEARCH("Mitigated",K11)))</formula>
    </cfRule>
    <cfRule type="containsText" dxfId="225" priority="2">
      <formula>NOT(ISERROR(SEARCH("Not Mitigated",K11)))</formula>
    </cfRule>
  </conditionalFormatting>
  <conditionalFormatting sqref="$F$12">
    <cfRule type="containsText" dxfId="226" priority="1">
      <formula>NOT(ISERROR(SEARCH("Yes",F12)))</formula>
    </cfRule>
  </conditionalFormatting>
  <conditionalFormatting sqref="$G$12">
    <cfRule type="containsText" dxfId="227" priority="1">
      <formula>NOT(ISERROR(SEARCH("Yes",G12)))</formula>
    </cfRule>
    <cfRule type="containsText" dxfId="228" priority="2">
      <formula>NOT(ISERROR(SEARCH("No; explanation in comments",G12)))</formula>
    </cfRule>
  </conditionalFormatting>
  <conditionalFormatting sqref="$J$12">
    <cfRule type="containsText" dxfId="229" priority="1">
      <formula>NOT(ISERROR(SEARCH("Yes",J12)))</formula>
    </cfRule>
  </conditionalFormatting>
  <conditionalFormatting sqref="$K$12">
    <cfRule type="containsText" dxfId="230" priority="1">
      <formula>NOT(ISERROR(SEARCH("Mitigated",K12)))</formula>
    </cfRule>
    <cfRule type="containsText" dxfId="231" priority="2">
      <formula>NOT(ISERROR(SEARCH("Not Mitigated",K12)))</formula>
    </cfRule>
  </conditionalFormatting>
  <conditionalFormatting sqref="$F$13">
    <cfRule type="containsText" dxfId="232" priority="1">
      <formula>NOT(ISERROR(SEARCH("Yes",F13)))</formula>
    </cfRule>
  </conditionalFormatting>
  <conditionalFormatting sqref="$G$13">
    <cfRule type="containsText" dxfId="233" priority="1">
      <formula>NOT(ISERROR(SEARCH("Yes",G13)))</formula>
    </cfRule>
    <cfRule type="containsText" dxfId="234" priority="2">
      <formula>NOT(ISERROR(SEARCH("No; explanation in comments",G13)))</formula>
    </cfRule>
  </conditionalFormatting>
  <conditionalFormatting sqref="$J$13">
    <cfRule type="containsText" dxfId="235" priority="1">
      <formula>NOT(ISERROR(SEARCH("Yes",J13)))</formula>
    </cfRule>
  </conditionalFormatting>
  <conditionalFormatting sqref="$K$13">
    <cfRule type="containsText" dxfId="236" priority="1">
      <formula>NOT(ISERROR(SEARCH("Mitigated",K13)))</formula>
    </cfRule>
    <cfRule type="containsText" dxfId="237" priority="2">
      <formula>NOT(ISERROR(SEARCH("Not Mitigated",K13)))</formula>
    </cfRule>
  </conditionalFormatting>
  <conditionalFormatting sqref="$F$14">
    <cfRule type="containsText" dxfId="238" priority="1">
      <formula>NOT(ISERROR(SEARCH("Yes",F14)))</formula>
    </cfRule>
  </conditionalFormatting>
  <conditionalFormatting sqref="$G$14">
    <cfRule type="containsText" dxfId="239" priority="1">
      <formula>NOT(ISERROR(SEARCH("Yes",G14)))</formula>
    </cfRule>
    <cfRule type="containsText" dxfId="240" priority="2">
      <formula>NOT(ISERROR(SEARCH("No; explanation in comments",G14)))</formula>
    </cfRule>
  </conditionalFormatting>
  <conditionalFormatting sqref="$J$14">
    <cfRule type="containsText" dxfId="241" priority="1">
      <formula>NOT(ISERROR(SEARCH("Yes",J14)))</formula>
    </cfRule>
  </conditionalFormatting>
  <conditionalFormatting sqref="$K$14">
    <cfRule type="containsText" dxfId="242" priority="1">
      <formula>NOT(ISERROR(SEARCH("Mitigated",K14)))</formula>
    </cfRule>
    <cfRule type="containsText" dxfId="243" priority="2">
      <formula>NOT(ISERROR(SEARCH("Not Mitigated",K14)))</formula>
    </cfRule>
  </conditionalFormatting>
  <conditionalFormatting sqref="$F$15">
    <cfRule type="containsText" dxfId="244" priority="1">
      <formula>NOT(ISERROR(SEARCH("Yes",F15)))</formula>
    </cfRule>
  </conditionalFormatting>
  <conditionalFormatting sqref="$G$15">
    <cfRule type="containsText" dxfId="245" priority="1">
      <formula>NOT(ISERROR(SEARCH("Yes",G15)))</formula>
    </cfRule>
    <cfRule type="containsText" dxfId="246" priority="2">
      <formula>NOT(ISERROR(SEARCH("No; explanation in comments",G15)))</formula>
    </cfRule>
  </conditionalFormatting>
  <conditionalFormatting sqref="$J$15">
    <cfRule type="containsText" dxfId="247" priority="1">
      <formula>NOT(ISERROR(SEARCH("Yes",J15)))</formula>
    </cfRule>
  </conditionalFormatting>
  <conditionalFormatting sqref="$K$15">
    <cfRule type="containsText" dxfId="248" priority="1">
      <formula>NOT(ISERROR(SEARCH("Mitigated",K15)))</formula>
    </cfRule>
    <cfRule type="containsText" dxfId="249" priority="2">
      <formula>NOT(ISERROR(SEARCH("Not Mitigated",K15)))</formula>
    </cfRule>
  </conditionalFormatting>
  <conditionalFormatting sqref="$F$16">
    <cfRule type="containsText" dxfId="250" priority="1">
      <formula>NOT(ISERROR(SEARCH("Yes",F16)))</formula>
    </cfRule>
  </conditionalFormatting>
  <conditionalFormatting sqref="$G$16">
    <cfRule type="containsText" dxfId="251" priority="1">
      <formula>NOT(ISERROR(SEARCH("Yes",G16)))</formula>
    </cfRule>
    <cfRule type="containsText" dxfId="252" priority="2">
      <formula>NOT(ISERROR(SEARCH("No; explanation in comments",G16)))</formula>
    </cfRule>
  </conditionalFormatting>
  <conditionalFormatting sqref="$J$16">
    <cfRule type="containsText" dxfId="253" priority="1">
      <formula>NOT(ISERROR(SEARCH("Yes",J16)))</formula>
    </cfRule>
  </conditionalFormatting>
  <conditionalFormatting sqref="$K$16">
    <cfRule type="containsText" dxfId="254" priority="1">
      <formula>NOT(ISERROR(SEARCH("Mitigated",K16)))</formula>
    </cfRule>
    <cfRule type="containsText" dxfId="255" priority="2">
      <formula>NOT(ISERROR(SEARCH("Not Mitigated",K16)))</formula>
    </cfRule>
  </conditionalFormatting>
  <conditionalFormatting sqref="$F$17">
    <cfRule type="containsText" dxfId="256" priority="1">
      <formula>NOT(ISERROR(SEARCH("Yes",F17)))</formula>
    </cfRule>
  </conditionalFormatting>
  <conditionalFormatting sqref="$G$17">
    <cfRule type="containsText" dxfId="257" priority="1">
      <formula>NOT(ISERROR(SEARCH("Yes",G17)))</formula>
    </cfRule>
    <cfRule type="containsText" dxfId="258" priority="2">
      <formula>NOT(ISERROR(SEARCH("No; explanation in comments",G17)))</formula>
    </cfRule>
  </conditionalFormatting>
  <conditionalFormatting sqref="$J$17">
    <cfRule type="containsText" dxfId="259" priority="1">
      <formula>NOT(ISERROR(SEARCH("Yes",J17)))</formula>
    </cfRule>
  </conditionalFormatting>
  <conditionalFormatting sqref="$K$17">
    <cfRule type="containsText" dxfId="260" priority="1">
      <formula>NOT(ISERROR(SEARCH("Mitigated",K17)))</formula>
    </cfRule>
    <cfRule type="containsText" dxfId="261" priority="2">
      <formula>NOT(ISERROR(SEARCH("Not Mitigated",K17)))</formula>
    </cfRule>
  </conditionalFormatting>
  <conditionalFormatting sqref="$F$18">
    <cfRule type="containsText" dxfId="262" priority="1">
      <formula>NOT(ISERROR(SEARCH("Yes",F18)))</formula>
    </cfRule>
  </conditionalFormatting>
  <conditionalFormatting sqref="$G$18">
    <cfRule type="containsText" dxfId="263" priority="1">
      <formula>NOT(ISERROR(SEARCH("Yes",G18)))</formula>
    </cfRule>
    <cfRule type="containsText" dxfId="264" priority="2">
      <formula>NOT(ISERROR(SEARCH("No; explanation in comments",G18)))</formula>
    </cfRule>
  </conditionalFormatting>
  <conditionalFormatting sqref="$J$18">
    <cfRule type="containsText" dxfId="265" priority="1">
      <formula>NOT(ISERROR(SEARCH("Yes",J18)))</formula>
    </cfRule>
  </conditionalFormatting>
  <conditionalFormatting sqref="$K$18">
    <cfRule type="containsText" dxfId="266" priority="1">
      <formula>NOT(ISERROR(SEARCH("Mitigated",K18)))</formula>
    </cfRule>
    <cfRule type="containsText" dxfId="267" priority="2">
      <formula>NOT(ISERROR(SEARCH("Not Mitigated",K18)))</formula>
    </cfRule>
  </conditionalFormatting>
  <conditionalFormatting sqref="$F$19">
    <cfRule type="containsText" dxfId="268" priority="1">
      <formula>NOT(ISERROR(SEARCH("Yes",F19)))</formula>
    </cfRule>
  </conditionalFormatting>
  <conditionalFormatting sqref="$G$19">
    <cfRule type="containsText" dxfId="269" priority="1">
      <formula>NOT(ISERROR(SEARCH("Yes",G19)))</formula>
    </cfRule>
    <cfRule type="containsText" dxfId="270" priority="2">
      <formula>NOT(ISERROR(SEARCH("No; explanation in comments",G19)))</formula>
    </cfRule>
  </conditionalFormatting>
  <conditionalFormatting sqref="$J$19">
    <cfRule type="containsText" dxfId="271" priority="1">
      <formula>NOT(ISERROR(SEARCH("Yes",J19)))</formula>
    </cfRule>
  </conditionalFormatting>
  <conditionalFormatting sqref="$K$19">
    <cfRule type="containsText" dxfId="272" priority="1">
      <formula>NOT(ISERROR(SEARCH("Mitigated",K19)))</formula>
    </cfRule>
    <cfRule type="containsText" dxfId="273" priority="2">
      <formula>NOT(ISERROR(SEARCH("Not Mitigated",K19)))</formula>
    </cfRule>
  </conditionalFormatting>
  <conditionalFormatting sqref="$F$20">
    <cfRule type="containsText" dxfId="274" priority="1">
      <formula>NOT(ISERROR(SEARCH("Yes",F20)))</formula>
    </cfRule>
  </conditionalFormatting>
  <conditionalFormatting sqref="$G$20">
    <cfRule type="containsText" dxfId="275" priority="1">
      <formula>NOT(ISERROR(SEARCH("Yes",G20)))</formula>
    </cfRule>
    <cfRule type="containsText" dxfId="276" priority="2">
      <formula>NOT(ISERROR(SEARCH("No; explanation in comments",G20)))</formula>
    </cfRule>
  </conditionalFormatting>
  <conditionalFormatting sqref="$J$20">
    <cfRule type="containsText" dxfId="277" priority="1">
      <formula>NOT(ISERROR(SEARCH("Yes",J20)))</formula>
    </cfRule>
  </conditionalFormatting>
  <conditionalFormatting sqref="$K$20">
    <cfRule type="containsText" dxfId="278" priority="1">
      <formula>NOT(ISERROR(SEARCH("Mitigated",K20)))</formula>
    </cfRule>
    <cfRule type="containsText" dxfId="279" priority="2">
      <formula>NOT(ISERROR(SEARCH("Not Mitigated",K20)))</formula>
    </cfRule>
  </conditionalFormatting>
  <conditionalFormatting sqref="$F$21">
    <cfRule type="containsText" dxfId="280" priority="1">
      <formula>NOT(ISERROR(SEARCH("Yes",F21)))</formula>
    </cfRule>
  </conditionalFormatting>
  <conditionalFormatting sqref="$G$21">
    <cfRule type="containsText" dxfId="281" priority="1">
      <formula>NOT(ISERROR(SEARCH("Yes",G21)))</formula>
    </cfRule>
    <cfRule type="containsText" dxfId="282" priority="2">
      <formula>NOT(ISERROR(SEARCH("No; explanation in comments",G21)))</formula>
    </cfRule>
  </conditionalFormatting>
  <conditionalFormatting sqref="$J$21">
    <cfRule type="containsText" dxfId="283" priority="1">
      <formula>NOT(ISERROR(SEARCH("Yes",J21)))</formula>
    </cfRule>
  </conditionalFormatting>
  <conditionalFormatting sqref="$K$21">
    <cfRule type="containsText" dxfId="284" priority="1">
      <formula>NOT(ISERROR(SEARCH("Mitigated",K21)))</formula>
    </cfRule>
    <cfRule type="containsText" dxfId="285" priority="2">
      <formula>NOT(ISERROR(SEARCH("Not Mitigated",K21)))</formula>
    </cfRule>
  </conditionalFormatting>
  <dataValidations count="4">
    <dataValidation type="list" sqref="G10:G21">
      <formula1>"-,Yes,No; explanation in comments"</formula1>
    </dataValidation>
    <dataValidation type="list" sqref="G2:G21">
      <formula1>"-,Yes,No; explanation in comments"</formula1>
    </dataValidation>
    <dataValidation type="list" sqref="K10:K21">
      <formula1>"Mitigated,Not Mitigated,Not Assessed Yet,N/A"</formula1>
    </dataValidation>
    <dataValidation type="list" sqref="K2:K21">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65" customHeight="1" spans="1:27" s="53" customFormat="1" x14ac:dyDescent="0.25">
      <c r="A2" s="61" t="s">
        <v>36</v>
      </c>
      <c r="B2" s="62" t="s">
        <v>293</v>
      </c>
      <c r="C2" s="56">
        <f>=IF(EC2InUse="Yes","Yes","No")</f>
      </c>
      <c r="D2" s="56" t="s">
        <v>294</v>
      </c>
      <c r="E2" s="56" t="s">
        <v>295</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=COUNTIFS(C2:C79,"Yes")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80" customHeight="1" spans="1:27" s="53" customFormat="1" x14ac:dyDescent="0.25">
      <c r="A3" s="61" t="s">
        <v>36</v>
      </c>
      <c r="B3" s="62" t="s">
        <v>296</v>
      </c>
      <c r="C3" s="56">
        <f>=IF(EC2InUse="Yes","Yes","No")</f>
      </c>
      <c r="D3" s="56" t="s">
        <v>297</v>
      </c>
      <c r="E3" s="56" t="s">
        <v>298</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65" customHeight="1" spans="1:27" s="53" customFormat="1" x14ac:dyDescent="0.25">
      <c r="A4" s="61" t="s">
        <v>36</v>
      </c>
      <c r="B4" s="62" t="s">
        <v>299</v>
      </c>
      <c r="C4" s="56">
        <f>=IF(EC2InUse="Yes","Yes","No")</f>
      </c>
      <c r="D4" s="56" t="s">
        <v>300</v>
      </c>
      <c r="E4" s="56" t="s">
        <v>301</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=SUM(W2:W79)</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65" customHeight="1" spans="1:27" s="53" customFormat="1" x14ac:dyDescent="0.25">
      <c r="A5" s="61" t="s">
        <v>36</v>
      </c>
      <c r="B5" s="62" t="s">
        <v>302</v>
      </c>
      <c r="C5" s="56">
        <f>=IF(EC2InUse="Yes","Yes","No")</f>
      </c>
      <c r="D5" s="56" t="s">
        <v>303</v>
      </c>
      <c r="E5" s="56" t="s">
        <v>304</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=SUM(X2:X79)</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50" customHeight="1" spans="1:27" s="53" customFormat="1" x14ac:dyDescent="0.25">
      <c r="A6" s="61" t="s">
        <v>36</v>
      </c>
      <c r="B6" s="62" t="s">
        <v>305</v>
      </c>
      <c r="C6" s="56">
        <f>=IF(EC2InUse="Yes","Yes","No")</f>
      </c>
      <c r="D6" s="56" t="s">
        <v>306</v>
      </c>
      <c r="E6" s="56" t="s">
        <v>307</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=SUM(Z2:Z79)</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20" customHeight="1" spans="1:27" s="53" customFormat="1" x14ac:dyDescent="0.25">
      <c r="A7" s="61" t="s">
        <v>36</v>
      </c>
      <c r="B7" s="62" t="s">
        <v>308</v>
      </c>
      <c r="C7" s="56">
        <f>=IF(EC2InUse="Yes","Yes","No")</f>
      </c>
      <c r="D7" s="56" t="s">
        <v>309</v>
      </c>
      <c r="E7" s="56" t="s">
        <v>310</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=SUM(AA2:AA79)</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50" customHeight="1" spans="1:27" s="53" customFormat="1" x14ac:dyDescent="0.25">
      <c r="A8" s="61" t="s">
        <v>36</v>
      </c>
      <c r="B8" s="62" t="s">
        <v>311</v>
      </c>
      <c r="C8" s="56">
        <f>=IF(EC2InUse="Yes","Yes","No")</f>
      </c>
      <c r="D8" s="56" t="s">
        <v>312</v>
      </c>
      <c r="E8" s="56" t="s">
        <v>313</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80" customHeight="1" spans="1:27" s="53" customFormat="1" x14ac:dyDescent="0.25">
      <c r="A9" s="61" t="s">
        <v>36</v>
      </c>
      <c r="B9" s="62" t="s">
        <v>314</v>
      </c>
      <c r="C9" s="56">
        <f>=IF(EC2InUse="Yes","Yes","No")</f>
      </c>
      <c r="D9" s="56" t="s">
        <v>315</v>
      </c>
      <c r="E9" s="56" t="s">
        <v>316</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65" customHeight="1" spans="1:27" s="53" customFormat="1" x14ac:dyDescent="0.25">
      <c r="A10" s="61" t="s">
        <v>36</v>
      </c>
      <c r="B10" s="62" t="s">
        <v>317</v>
      </c>
      <c r="C10" s="56">
        <f>=IF(EC2InUse="Yes","Yes","No")</f>
      </c>
      <c r="D10" s="56" t="s">
        <v>318</v>
      </c>
      <c r="E10" s="56" t="s">
        <v>319</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50" customHeight="1" spans="1:27" s="53" customFormat="1" x14ac:dyDescent="0.25">
      <c r="A11" s="61" t="s">
        <v>36</v>
      </c>
      <c r="B11" s="62" t="s">
        <v>320</v>
      </c>
      <c r="C11" s="56">
        <f>=IF(EC2InUse="Yes","Yes","No")</f>
      </c>
      <c r="D11" s="56" t="s">
        <v>321</v>
      </c>
      <c r="E11" s="56" t="s">
        <v>322</v>
      </c>
      <c r="F11" s="56">
        <f>=IF(AND(C11="Yes",G11="-"), "Yes", "No")</f>
      </c>
      <c r="G11" s="56" t="s">
        <v>13</v>
      </c>
      <c r="H11" s="56" t="s">
        <v>5</v>
      </c>
      <c r="I11" s="56" t="s">
        <v>242</v>
      </c>
      <c r="J11" s="56" t="s">
        <v>32</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61" t="s">
        <v>36</v>
      </c>
      <c r="B12" s="62" t="s">
        <v>323</v>
      </c>
      <c r="C12" s="56">
        <f>=IF(EC2InUse="Yes","Yes","No")</f>
      </c>
      <c r="D12" s="56" t="s">
        <v>324</v>
      </c>
      <c r="E12" s="56" t="s">
        <v>325</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63" t="s">
        <v>42</v>
      </c>
      <c r="B13" s="64" t="s">
        <v>326</v>
      </c>
      <c r="C13" s="56">
        <f>=IF(ECRInUse="Yes","Yes","No")</f>
      </c>
      <c r="D13" s="56" t="s">
        <v>327</v>
      </c>
      <c r="E13" s="56" t="s">
        <v>328</v>
      </c>
      <c r="F13" s="56">
        <f>=IF(AND(C13="Yes",G13="-"), "Yes", "No")</f>
      </c>
      <c r="G13" s="56" t="s">
        <v>13</v>
      </c>
      <c r="H13" s="56" t="s">
        <v>5</v>
      </c>
      <c r="I13" s="56" t="s">
        <v>229</v>
      </c>
      <c r="J13" s="56" t="s">
        <v>226</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80" customHeight="1" spans="1:27" s="53" customFormat="1" x14ac:dyDescent="0.25">
      <c r="A14" s="61" t="s">
        <v>46</v>
      </c>
      <c r="B14" s="62" t="s">
        <v>329</v>
      </c>
      <c r="C14" s="56">
        <f>=IF(ECSInUse="Yes","Yes","No")</f>
      </c>
      <c r="D14" s="56" t="s">
        <v>330</v>
      </c>
      <c r="E14" s="56" t="s">
        <v>331</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80" customHeight="1" spans="1:27" s="53" customFormat="1" x14ac:dyDescent="0.25">
      <c r="A15" s="61" t="s">
        <v>46</v>
      </c>
      <c r="B15" s="62" t="s">
        <v>332</v>
      </c>
      <c r="C15" s="56">
        <f>=IF(ECSInUse="Yes","Yes","No")</f>
      </c>
      <c r="D15" s="56" t="s">
        <v>333</v>
      </c>
      <c r="E15" s="56" t="s">
        <v>334</v>
      </c>
      <c r="F15" s="56">
        <f>=IF(AND(C15="Yes",G15="-"), "Yes", "No")</f>
      </c>
      <c r="G15" s="56" t="s">
        <v>13</v>
      </c>
      <c r="H15" s="56" t="s">
        <v>5</v>
      </c>
      <c r="I15" s="56" t="s">
        <v>229</v>
      </c>
      <c r="J15" s="56" t="s">
        <v>226</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50" customHeight="1" spans="1:27" s="53" customFormat="1" x14ac:dyDescent="0.25">
      <c r="A16" s="61" t="s">
        <v>46</v>
      </c>
      <c r="B16" s="62" t="s">
        <v>335</v>
      </c>
      <c r="C16" s="56">
        <f>=IF(ECSInUse="Yes","Yes","No")</f>
      </c>
      <c r="D16" s="56" t="s">
        <v>336</v>
      </c>
      <c r="E16" s="56" t="s">
        <v>337</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61" t="s">
        <v>46</v>
      </c>
      <c r="B17" s="62" t="s">
        <v>338</v>
      </c>
      <c r="C17" s="56">
        <f>=IF(ECSInUse="Yes","Yes","No")</f>
      </c>
      <c r="D17" s="56" t="s">
        <v>339</v>
      </c>
      <c r="E17" s="56" t="s">
        <v>340</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50" customHeight="1" spans="1:27" s="53" customFormat="1" x14ac:dyDescent="0.25">
      <c r="A18" s="61" t="s">
        <v>46</v>
      </c>
      <c r="B18" s="62" t="s">
        <v>341</v>
      </c>
      <c r="C18" s="56">
        <f>=IF(ECSInUse="Yes","Yes","No")</f>
      </c>
      <c r="D18" s="56" t="s">
        <v>342</v>
      </c>
      <c r="E18" s="56" t="s">
        <v>343</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50" customHeight="1" spans="1:27" s="53" customFormat="1" x14ac:dyDescent="0.25">
      <c r="A19" s="61" t="s">
        <v>46</v>
      </c>
      <c r="B19" s="62" t="s">
        <v>344</v>
      </c>
      <c r="C19" s="56">
        <f>=IF(ECSInUse="Yes","Yes","No")</f>
      </c>
      <c r="D19" s="56" t="s">
        <v>345</v>
      </c>
      <c r="E19" s="56" t="s">
        <v>346</v>
      </c>
      <c r="F19" s="56">
        <f>=IF(AND(C19="Yes",G19="-"), "Yes", "No")</f>
      </c>
      <c r="G19" s="56" t="s">
        <v>13</v>
      </c>
      <c r="H19" s="56" t="s">
        <v>5</v>
      </c>
      <c r="I19" s="56" t="s">
        <v>229</v>
      </c>
      <c r="J19" s="56" t="s">
        <v>226</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35" customHeight="1" spans="1:27" s="53" customFormat="1" x14ac:dyDescent="0.25">
      <c r="A20" s="61" t="s">
        <v>46</v>
      </c>
      <c r="B20" s="62" t="s">
        <v>347</v>
      </c>
      <c r="C20" s="56">
        <f>=IF(ECSInUse="Yes","Yes","No")</f>
      </c>
      <c r="D20" s="56" t="s">
        <v>348</v>
      </c>
      <c r="E20" s="56" t="s">
        <v>349</v>
      </c>
      <c r="F20" s="56">
        <f>=IF(AND(C20="Yes",G20="-"), "Yes", "No")</f>
      </c>
      <c r="G20" s="56" t="s">
        <v>13</v>
      </c>
      <c r="H20" s="56" t="s">
        <v>5</v>
      </c>
      <c r="I20" s="56" t="s">
        <v>229</v>
      </c>
      <c r="J20" s="56" t="s">
        <v>226</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35" customHeight="1" spans="1:27" s="53" customFormat="1" x14ac:dyDescent="0.25">
      <c r="A21" s="61" t="s">
        <v>46</v>
      </c>
      <c r="B21" s="62" t="s">
        <v>350</v>
      </c>
      <c r="C21" s="56">
        <f>=IF(ECSInUse="Yes","Yes","No")</f>
      </c>
      <c r="D21" s="56" t="s">
        <v>351</v>
      </c>
      <c r="E21" s="56" t="s">
        <v>352</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35" customHeight="1" spans="1:27" s="53" customFormat="1" x14ac:dyDescent="0.25">
      <c r="A22" s="61" t="s">
        <v>46</v>
      </c>
      <c r="B22" s="62" t="s">
        <v>353</v>
      </c>
      <c r="C22" s="56">
        <f>=IF(ECSInUse="Yes","Yes","No")</f>
      </c>
      <c r="D22" s="56" t="s">
        <v>354</v>
      </c>
      <c r="E22" s="56" t="s">
        <v>355</v>
      </c>
      <c r="F22" s="56">
        <f>=IF(AND(C22="Yes",G22="-"), "Yes", "No")</f>
      </c>
      <c r="G22" s="56" t="s">
        <v>13</v>
      </c>
      <c r="H22" s="56" t="s">
        <v>5</v>
      </c>
      <c r="I22" s="56" t="s">
        <v>229</v>
      </c>
      <c r="J22" s="56" t="s">
        <v>226</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61" t="s">
        <v>46</v>
      </c>
      <c r="B23" s="62" t="s">
        <v>356</v>
      </c>
      <c r="C23" s="56">
        <f>=IF(ECSInUse="Yes","Yes","No")</f>
      </c>
      <c r="D23" s="56" t="s">
        <v>357</v>
      </c>
      <c r="E23" s="56" t="s">
        <v>358</v>
      </c>
      <c r="F23" s="56">
        <f>=IF(AND(C23="Yes",G23="-"), "Yes", "No")</f>
      </c>
      <c r="G23" s="56" t="s">
        <v>13</v>
      </c>
      <c r="H23" s="56" t="s">
        <v>5</v>
      </c>
      <c r="I23" s="56" t="s">
        <v>229</v>
      </c>
      <c r="J23" s="56" t="s">
        <v>226</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row r="24" ht="50" customHeight="1" spans="1:27" s="53" customFormat="1" x14ac:dyDescent="0.25">
      <c r="A24" s="61" t="s">
        <v>46</v>
      </c>
      <c r="B24" s="62" t="s">
        <v>359</v>
      </c>
      <c r="C24" s="56">
        <f>=IF(ECSInUse="Yes","Yes","No")</f>
      </c>
      <c r="D24" s="56" t="s">
        <v>360</v>
      </c>
      <c r="E24" s="56" t="s">
        <v>361</v>
      </c>
      <c r="F24" s="56">
        <f>=IF(AND(C24="Yes",G24="-"), "Yes", "No")</f>
      </c>
      <c r="G24" s="56" t="s">
        <v>13</v>
      </c>
      <c r="H24" s="56" t="s">
        <v>5</v>
      </c>
      <c r="I24" s="56" t="s">
        <v>242</v>
      </c>
      <c r="J24" s="56" t="s">
        <v>32</v>
      </c>
      <c r="K24" s="56" t="s">
        <v>230</v>
      </c>
      <c r="L24" s="56" t="s">
        <v>5</v>
      </c>
      <c r="M24" s="56" t="s">
        <v>5</v>
      </c>
      <c r="N24" s="56" t="s">
        <v>5</v>
      </c>
      <c r="O24" s="56" t="s">
        <v>5</v>
      </c>
      <c r="P24" s="56" t="s">
        <v>5</v>
      </c>
      <c r="Q24" s="56" t="s">
        <v>5</v>
      </c>
      <c r="R24" s="56" t="s">
        <v>5</v>
      </c>
      <c r="S24" s="56" t="s">
        <v>5</v>
      </c>
      <c r="T24" s="56" t="s">
        <v>5</v>
      </c>
      <c r="U24" s="56" t="s">
        <v>5</v>
      </c>
      <c r="V24" s="56">
        <f>=IF(AND(C24="Yes",G24="-"), 1, 0)</f>
      </c>
      <c r="W24" s="56">
        <f>=IF(AND(C24="Yes",G24="Yes"), 1, 0)</f>
      </c>
      <c r="X24" s="56">
        <f>=IF(AND(C24="Yes",G24="No; explanation in comments"), 1, 0)</f>
      </c>
      <c r="Y24" s="56">
        <f>=IF(AND(C24="Yes",K24="Not Assessed Yet"), 1, 0)</f>
      </c>
      <c r="Z24" s="56">
        <f>=IF(AND(C24="Yes",AND(G24&lt;&gt;"-",K24="Mitigated")), 1, 0)</f>
      </c>
      <c r="AA24" s="56">
        <f>=IF(AND(C24="Yes",AND(G24&lt;&gt;"-",K24="Not Mitigated")), 1, 0)</f>
      </c>
    </row>
    <row r="25" ht="65" customHeight="1" spans="1:27" s="53" customFormat="1" x14ac:dyDescent="0.25">
      <c r="A25" s="63" t="s">
        <v>50</v>
      </c>
      <c r="B25" s="64" t="s">
        <v>362</v>
      </c>
      <c r="C25" s="56">
        <f>=IF(EKSInUse="Yes","Yes","No")</f>
      </c>
      <c r="D25" s="56" t="s">
        <v>363</v>
      </c>
      <c r="E25" s="56" t="s">
        <v>364</v>
      </c>
      <c r="F25" s="56">
        <f>=IF(AND(C25="Yes",G25="-"), "Yes", "No")</f>
      </c>
      <c r="G25" s="56" t="s">
        <v>13</v>
      </c>
      <c r="H25" s="56" t="s">
        <v>5</v>
      </c>
      <c r="I25" s="56" t="s">
        <v>229</v>
      </c>
      <c r="J25" s="56" t="s">
        <v>226</v>
      </c>
      <c r="K25" s="56" t="s">
        <v>230</v>
      </c>
      <c r="L25" s="56" t="s">
        <v>5</v>
      </c>
      <c r="M25" s="56" t="s">
        <v>5</v>
      </c>
      <c r="N25" s="56" t="s">
        <v>5</v>
      </c>
      <c r="O25" s="56" t="s">
        <v>5</v>
      </c>
      <c r="P25" s="56" t="s">
        <v>5</v>
      </c>
      <c r="Q25" s="56" t="s">
        <v>5</v>
      </c>
      <c r="R25" s="56" t="s">
        <v>5</v>
      </c>
      <c r="S25" s="56" t="s">
        <v>5</v>
      </c>
      <c r="T25" s="56" t="s">
        <v>5</v>
      </c>
      <c r="U25" s="56" t="s">
        <v>5</v>
      </c>
      <c r="V25" s="56">
        <f>=IF(AND(C25="Yes",G25="-"), 1, 0)</f>
      </c>
      <c r="W25" s="56">
        <f>=IF(AND(C25="Yes",G25="Yes"), 1, 0)</f>
      </c>
      <c r="X25" s="56">
        <f>=IF(AND(C25="Yes",G25="No; explanation in comments"), 1, 0)</f>
      </c>
      <c r="Y25" s="56">
        <f>=IF(AND(C25="Yes",K25="Not Assessed Yet"), 1, 0)</f>
      </c>
      <c r="Z25" s="56">
        <f>=IF(AND(C25="Yes",AND(G25&lt;&gt;"-",K25="Mitigated")), 1, 0)</f>
      </c>
      <c r="AA25" s="56">
        <f>=IF(AND(C25="Yes",AND(G25&lt;&gt;"-",K25="Not Mitigated")), 1, 0)</f>
      </c>
    </row>
    <row r="26" ht="35" customHeight="1" spans="1:27" s="53" customFormat="1" x14ac:dyDescent="0.25">
      <c r="A26" s="63" t="s">
        <v>50</v>
      </c>
      <c r="B26" s="64" t="s">
        <v>365</v>
      </c>
      <c r="C26" s="56">
        <f>=IF(EKSInUse="Yes","Yes","No")</f>
      </c>
      <c r="D26" s="56" t="s">
        <v>366</v>
      </c>
      <c r="E26" s="56" t="s">
        <v>367</v>
      </c>
      <c r="F26" s="56">
        <f>=IF(AND(C26="Yes",G26="-"), "Yes", "No")</f>
      </c>
      <c r="G26" s="56" t="s">
        <v>13</v>
      </c>
      <c r="H26" s="56" t="s">
        <v>5</v>
      </c>
      <c r="I26" s="56" t="s">
        <v>229</v>
      </c>
      <c r="J26" s="56" t="s">
        <v>226</v>
      </c>
      <c r="K26" s="56" t="s">
        <v>230</v>
      </c>
      <c r="L26" s="56" t="s">
        <v>5</v>
      </c>
      <c r="M26" s="56" t="s">
        <v>5</v>
      </c>
      <c r="N26" s="56" t="s">
        <v>5</v>
      </c>
      <c r="O26" s="56" t="s">
        <v>5</v>
      </c>
      <c r="P26" s="56" t="s">
        <v>5</v>
      </c>
      <c r="Q26" s="56" t="s">
        <v>5</v>
      </c>
      <c r="R26" s="56" t="s">
        <v>5</v>
      </c>
      <c r="S26" s="56" t="s">
        <v>5</v>
      </c>
      <c r="T26" s="56" t="s">
        <v>5</v>
      </c>
      <c r="U26" s="56" t="s">
        <v>5</v>
      </c>
      <c r="V26" s="56">
        <f>=IF(AND(C26="Yes",G26="-"), 1, 0)</f>
      </c>
      <c r="W26" s="56">
        <f>=IF(AND(C26="Yes",G26="Yes"), 1, 0)</f>
      </c>
      <c r="X26" s="56">
        <f>=IF(AND(C26="Yes",G26="No; explanation in comments"), 1, 0)</f>
      </c>
      <c r="Y26" s="56">
        <f>=IF(AND(C26="Yes",K26="Not Assessed Yet"), 1, 0)</f>
      </c>
      <c r="Z26" s="56">
        <f>=IF(AND(C26="Yes",AND(G26&lt;&gt;"-",K26="Mitigated")), 1, 0)</f>
      </c>
      <c r="AA26" s="56">
        <f>=IF(AND(C26="Yes",AND(G26&lt;&gt;"-",K26="Not Mitigated")), 1, 0)</f>
      </c>
    </row>
    <row r="27" ht="50" customHeight="1" spans="1:27" s="53" customFormat="1" x14ac:dyDescent="0.25">
      <c r="A27" s="63" t="s">
        <v>50</v>
      </c>
      <c r="B27" s="64" t="s">
        <v>368</v>
      </c>
      <c r="C27" s="56">
        <f>=IF(EKSInUse="Yes","Yes","No")</f>
      </c>
      <c r="D27" s="56" t="s">
        <v>369</v>
      </c>
      <c r="E27" s="56" t="s">
        <v>370</v>
      </c>
      <c r="F27" s="56">
        <f>=IF(AND(C27="Yes",G27="-"), "Yes", "No")</f>
      </c>
      <c r="G27" s="56" t="s">
        <v>13</v>
      </c>
      <c r="H27" s="56" t="s">
        <v>5</v>
      </c>
      <c r="I27" s="56" t="s">
        <v>229</v>
      </c>
      <c r="J27" s="56" t="s">
        <v>226</v>
      </c>
      <c r="K27" s="56" t="s">
        <v>230</v>
      </c>
      <c r="L27" s="56" t="s">
        <v>5</v>
      </c>
      <c r="M27" s="56" t="s">
        <v>5</v>
      </c>
      <c r="N27" s="56" t="s">
        <v>5</v>
      </c>
      <c r="O27" s="56" t="s">
        <v>5</v>
      </c>
      <c r="P27" s="56" t="s">
        <v>5</v>
      </c>
      <c r="Q27" s="56" t="s">
        <v>5</v>
      </c>
      <c r="R27" s="56" t="s">
        <v>5</v>
      </c>
      <c r="S27" s="56" t="s">
        <v>5</v>
      </c>
      <c r="T27" s="56" t="s">
        <v>5</v>
      </c>
      <c r="U27" s="56" t="s">
        <v>5</v>
      </c>
      <c r="V27" s="56">
        <f>=IF(AND(C27="Yes",G27="-"), 1, 0)</f>
      </c>
      <c r="W27" s="56">
        <f>=IF(AND(C27="Yes",G27="Yes"), 1, 0)</f>
      </c>
      <c r="X27" s="56">
        <f>=IF(AND(C27="Yes",G27="No; explanation in comments"), 1, 0)</f>
      </c>
      <c r="Y27" s="56">
        <f>=IF(AND(C27="Yes",K27="Not Assessed Yet"), 1, 0)</f>
      </c>
      <c r="Z27" s="56">
        <f>=IF(AND(C27="Yes",AND(G27&lt;&gt;"-",K27="Mitigated")), 1, 0)</f>
      </c>
      <c r="AA27" s="56">
        <f>=IF(AND(C27="Yes",AND(G27&lt;&gt;"-",K27="Not Mitigated")), 1, 0)</f>
      </c>
    </row>
    <row r="28" ht="50" customHeight="1" spans="1:27" s="53" customFormat="1" x14ac:dyDescent="0.25">
      <c r="A28" s="63" t="s">
        <v>50</v>
      </c>
      <c r="B28" s="64" t="s">
        <v>371</v>
      </c>
      <c r="C28" s="56">
        <f>=IF(EKSInUse="Yes","Yes","No")</f>
      </c>
      <c r="D28" s="56" t="s">
        <v>372</v>
      </c>
      <c r="E28" s="56" t="s">
        <v>373</v>
      </c>
      <c r="F28" s="56">
        <f>=IF(AND(C28="Yes",G28="-"), "Yes", "No")</f>
      </c>
      <c r="G28" s="56" t="s">
        <v>13</v>
      </c>
      <c r="H28" s="56" t="s">
        <v>5</v>
      </c>
      <c r="I28" s="56" t="s">
        <v>229</v>
      </c>
      <c r="J28" s="56" t="s">
        <v>226</v>
      </c>
      <c r="K28" s="56" t="s">
        <v>230</v>
      </c>
      <c r="L28" s="56" t="s">
        <v>5</v>
      </c>
      <c r="M28" s="56" t="s">
        <v>5</v>
      </c>
      <c r="N28" s="56" t="s">
        <v>5</v>
      </c>
      <c r="O28" s="56" t="s">
        <v>5</v>
      </c>
      <c r="P28" s="56" t="s">
        <v>5</v>
      </c>
      <c r="Q28" s="56" t="s">
        <v>5</v>
      </c>
      <c r="R28" s="56" t="s">
        <v>5</v>
      </c>
      <c r="S28" s="56" t="s">
        <v>5</v>
      </c>
      <c r="T28" s="56" t="s">
        <v>5</v>
      </c>
      <c r="U28" s="56" t="s">
        <v>5</v>
      </c>
      <c r="V28" s="56">
        <f>=IF(AND(C28="Yes",G28="-"), 1, 0)</f>
      </c>
      <c r="W28" s="56">
        <f>=IF(AND(C28="Yes",G28="Yes"), 1, 0)</f>
      </c>
      <c r="X28" s="56">
        <f>=IF(AND(C28="Yes",G28="No; explanation in comments"), 1, 0)</f>
      </c>
      <c r="Y28" s="56">
        <f>=IF(AND(C28="Yes",K28="Not Assessed Yet"), 1, 0)</f>
      </c>
      <c r="Z28" s="56">
        <f>=IF(AND(C28="Yes",AND(G28&lt;&gt;"-",K28="Mitigated")), 1, 0)</f>
      </c>
      <c r="AA28" s="56">
        <f>=IF(AND(C28="Yes",AND(G28&lt;&gt;"-",K28="Not Mitigated")), 1, 0)</f>
      </c>
    </row>
    <row r="29" ht="65" customHeight="1" spans="1:27" s="53" customFormat="1" x14ac:dyDescent="0.25">
      <c r="A29" s="63" t="s">
        <v>50</v>
      </c>
      <c r="B29" s="64" t="s">
        <v>374</v>
      </c>
      <c r="C29" s="56">
        <f>=IF(EKSInUse="Yes","Yes","No")</f>
      </c>
      <c r="D29" s="56" t="s">
        <v>375</v>
      </c>
      <c r="E29" s="56" t="s">
        <v>376</v>
      </c>
      <c r="F29" s="56">
        <f>=IF(AND(C29="Yes",G29="-"), "Yes", "No")</f>
      </c>
      <c r="G29" s="56" t="s">
        <v>13</v>
      </c>
      <c r="H29" s="56" t="s">
        <v>5</v>
      </c>
      <c r="I29" s="56" t="s">
        <v>242</v>
      </c>
      <c r="J29" s="56" t="s">
        <v>32</v>
      </c>
      <c r="K29" s="56" t="s">
        <v>230</v>
      </c>
      <c r="L29" s="56" t="s">
        <v>5</v>
      </c>
      <c r="M29" s="56" t="s">
        <v>5</v>
      </c>
      <c r="N29" s="56" t="s">
        <v>5</v>
      </c>
      <c r="O29" s="56" t="s">
        <v>5</v>
      </c>
      <c r="P29" s="56" t="s">
        <v>5</v>
      </c>
      <c r="Q29" s="56" t="s">
        <v>5</v>
      </c>
      <c r="R29" s="56" t="s">
        <v>5</v>
      </c>
      <c r="S29" s="56" t="s">
        <v>5</v>
      </c>
      <c r="T29" s="56" t="s">
        <v>5</v>
      </c>
      <c r="U29" s="56" t="s">
        <v>5</v>
      </c>
      <c r="V29" s="56">
        <f>=IF(AND(C29="Yes",G29="-"), 1, 0)</f>
      </c>
      <c r="W29" s="56">
        <f>=IF(AND(C29="Yes",G29="Yes"), 1, 0)</f>
      </c>
      <c r="X29" s="56">
        <f>=IF(AND(C29="Yes",G29="No; explanation in comments"), 1, 0)</f>
      </c>
      <c r="Y29" s="56">
        <f>=IF(AND(C29="Yes",K29="Not Assessed Yet"), 1, 0)</f>
      </c>
      <c r="Z29" s="56">
        <f>=IF(AND(C29="Yes",AND(G29&lt;&gt;"-",K29="Mitigated")), 1, 0)</f>
      </c>
      <c r="AA29" s="56">
        <f>=IF(AND(C29="Yes",AND(G29&lt;&gt;"-",K29="Not Mitigated")), 1, 0)</f>
      </c>
    </row>
    <row r="30" ht="155" customHeight="1" spans="1:27" s="53" customFormat="1" x14ac:dyDescent="0.25">
      <c r="A30" s="63" t="s">
        <v>50</v>
      </c>
      <c r="B30" s="64" t="s">
        <v>377</v>
      </c>
      <c r="C30" s="56">
        <f>=IF(EKSInUse="Yes","Yes","No")</f>
      </c>
      <c r="D30" s="56" t="s">
        <v>378</v>
      </c>
      <c r="E30" s="56" t="s">
        <v>379</v>
      </c>
      <c r="F30" s="56">
        <f>=IF(AND(C30="Yes",G30="-"), "Yes", "No")</f>
      </c>
      <c r="G30" s="56" t="s">
        <v>13</v>
      </c>
      <c r="H30" s="56" t="s">
        <v>5</v>
      </c>
      <c r="I30" s="56" t="s">
        <v>229</v>
      </c>
      <c r="J30" s="56" t="s">
        <v>226</v>
      </c>
      <c r="K30" s="56" t="s">
        <v>230</v>
      </c>
      <c r="L30" s="56" t="s">
        <v>5</v>
      </c>
      <c r="M30" s="56" t="s">
        <v>5</v>
      </c>
      <c r="N30" s="56" t="s">
        <v>5</v>
      </c>
      <c r="O30" s="56" t="s">
        <v>5</v>
      </c>
      <c r="P30" s="56" t="s">
        <v>5</v>
      </c>
      <c r="Q30" s="56" t="s">
        <v>5</v>
      </c>
      <c r="R30" s="56" t="s">
        <v>5</v>
      </c>
      <c r="S30" s="56" t="s">
        <v>5</v>
      </c>
      <c r="T30" s="56" t="s">
        <v>5</v>
      </c>
      <c r="U30" s="56" t="s">
        <v>5</v>
      </c>
      <c r="V30" s="56">
        <f>=IF(AND(C30="Yes",G30="-"), 1, 0)</f>
      </c>
      <c r="W30" s="56">
        <f>=IF(AND(C30="Yes",G30="Yes"), 1, 0)</f>
      </c>
      <c r="X30" s="56">
        <f>=IF(AND(C30="Yes",G30="No; explanation in comments"), 1, 0)</f>
      </c>
      <c r="Y30" s="56">
        <f>=IF(AND(C30="Yes",K30="Not Assessed Yet"), 1, 0)</f>
      </c>
      <c r="Z30" s="56">
        <f>=IF(AND(C30="Yes",AND(G30&lt;&gt;"-",K30="Mitigated")), 1, 0)</f>
      </c>
      <c r="AA30" s="56">
        <f>=IF(AND(C30="Yes",AND(G30&lt;&gt;"-",K30="Not Mitigated")), 1, 0)</f>
      </c>
    </row>
    <row r="31" ht="125" customHeight="1" spans="1:27" s="53" customFormat="1" x14ac:dyDescent="0.25">
      <c r="A31" s="63" t="s">
        <v>50</v>
      </c>
      <c r="B31" s="64" t="s">
        <v>380</v>
      </c>
      <c r="C31" s="56">
        <f>=IF(EKSInUse="Yes","Yes","No")</f>
      </c>
      <c r="D31" s="56" t="s">
        <v>381</v>
      </c>
      <c r="E31" s="56" t="s">
        <v>382</v>
      </c>
      <c r="F31" s="56">
        <f>=IF(AND(C31="Yes",G31="-"), "Yes", "No")</f>
      </c>
      <c r="G31" s="56" t="s">
        <v>13</v>
      </c>
      <c r="H31" s="56" t="s">
        <v>5</v>
      </c>
      <c r="I31" s="56" t="s">
        <v>229</v>
      </c>
      <c r="J31" s="56" t="s">
        <v>226</v>
      </c>
      <c r="K31" s="56" t="s">
        <v>230</v>
      </c>
      <c r="L31" s="56" t="s">
        <v>5</v>
      </c>
      <c r="M31" s="56" t="s">
        <v>5</v>
      </c>
      <c r="N31" s="56" t="s">
        <v>5</v>
      </c>
      <c r="O31" s="56" t="s">
        <v>5</v>
      </c>
      <c r="P31" s="56" t="s">
        <v>5</v>
      </c>
      <c r="Q31" s="56" t="s">
        <v>5</v>
      </c>
      <c r="R31" s="56" t="s">
        <v>5</v>
      </c>
      <c r="S31" s="56" t="s">
        <v>5</v>
      </c>
      <c r="T31" s="56" t="s">
        <v>5</v>
      </c>
      <c r="U31" s="56" t="s">
        <v>5</v>
      </c>
      <c r="V31" s="56">
        <f>=IF(AND(C31="Yes",G31="-"), 1, 0)</f>
      </c>
      <c r="W31" s="56">
        <f>=IF(AND(C31="Yes",G31="Yes"), 1, 0)</f>
      </c>
      <c r="X31" s="56">
        <f>=IF(AND(C31="Yes",G31="No; explanation in comments"), 1, 0)</f>
      </c>
      <c r="Y31" s="56">
        <f>=IF(AND(C31="Yes",K31="Not Assessed Yet"), 1, 0)</f>
      </c>
      <c r="Z31" s="56">
        <f>=IF(AND(C31="Yes",AND(G31&lt;&gt;"-",K31="Mitigated")), 1, 0)</f>
      </c>
      <c r="AA31" s="56">
        <f>=IF(AND(C31="Yes",AND(G31&lt;&gt;"-",K31="Not Mitigated")), 1, 0)</f>
      </c>
    </row>
    <row r="32" ht="125" customHeight="1" spans="1:27" s="53" customFormat="1" x14ac:dyDescent="0.25">
      <c r="A32" s="63" t="s">
        <v>50</v>
      </c>
      <c r="B32" s="64" t="s">
        <v>383</v>
      </c>
      <c r="C32" s="56">
        <f>=IF(EKSInUse="Yes","Yes","No")</f>
      </c>
      <c r="D32" s="56" t="s">
        <v>384</v>
      </c>
      <c r="E32" s="56" t="s">
        <v>382</v>
      </c>
      <c r="F32" s="56">
        <f>=IF(AND(C32="Yes",G32="-"), "Yes", "No")</f>
      </c>
      <c r="G32" s="56" t="s">
        <v>13</v>
      </c>
      <c r="H32" s="56" t="s">
        <v>5</v>
      </c>
      <c r="I32" s="56" t="s">
        <v>229</v>
      </c>
      <c r="J32" s="56" t="s">
        <v>226</v>
      </c>
      <c r="K32" s="56" t="s">
        <v>230</v>
      </c>
      <c r="L32" s="56" t="s">
        <v>5</v>
      </c>
      <c r="M32" s="56" t="s">
        <v>5</v>
      </c>
      <c r="N32" s="56" t="s">
        <v>5</v>
      </c>
      <c r="O32" s="56" t="s">
        <v>5</v>
      </c>
      <c r="P32" s="56" t="s">
        <v>5</v>
      </c>
      <c r="Q32" s="56" t="s">
        <v>5</v>
      </c>
      <c r="R32" s="56" t="s">
        <v>5</v>
      </c>
      <c r="S32" s="56" t="s">
        <v>5</v>
      </c>
      <c r="T32" s="56" t="s">
        <v>5</v>
      </c>
      <c r="U32" s="56" t="s">
        <v>5</v>
      </c>
      <c r="V32" s="56">
        <f>=IF(AND(C32="Yes",G32="-"), 1, 0)</f>
      </c>
      <c r="W32" s="56">
        <f>=IF(AND(C32="Yes",G32="Yes"), 1, 0)</f>
      </c>
      <c r="X32" s="56">
        <f>=IF(AND(C32="Yes",G32="No; explanation in comments"), 1, 0)</f>
      </c>
      <c r="Y32" s="56">
        <f>=IF(AND(C32="Yes",K32="Not Assessed Yet"), 1, 0)</f>
      </c>
      <c r="Z32" s="56">
        <f>=IF(AND(C32="Yes",AND(G32&lt;&gt;"-",K32="Mitigated")), 1, 0)</f>
      </c>
      <c r="AA32" s="56">
        <f>=IF(AND(C32="Yes",AND(G32&lt;&gt;"-",K32="Not Mitigated")), 1, 0)</f>
      </c>
    </row>
    <row r="33" ht="65" customHeight="1" spans="1:27" s="53" customFormat="1" x14ac:dyDescent="0.25">
      <c r="A33" s="63" t="s">
        <v>50</v>
      </c>
      <c r="B33" s="64" t="s">
        <v>385</v>
      </c>
      <c r="C33" s="56">
        <f>=IF(EKSInUse="Yes","Yes","No")</f>
      </c>
      <c r="D33" s="56" t="s">
        <v>386</v>
      </c>
      <c r="E33" s="56" t="s">
        <v>387</v>
      </c>
      <c r="F33" s="56">
        <f>=IF(AND(C33="Yes",G33="-"), "Yes", "No")</f>
      </c>
      <c r="G33" s="56" t="s">
        <v>13</v>
      </c>
      <c r="H33" s="56" t="s">
        <v>5</v>
      </c>
      <c r="I33" s="56" t="s">
        <v>242</v>
      </c>
      <c r="J33" s="56" t="s">
        <v>32</v>
      </c>
      <c r="K33" s="56" t="s">
        <v>230</v>
      </c>
      <c r="L33" s="56" t="s">
        <v>5</v>
      </c>
      <c r="M33" s="56" t="s">
        <v>5</v>
      </c>
      <c r="N33" s="56" t="s">
        <v>5</v>
      </c>
      <c r="O33" s="56" t="s">
        <v>5</v>
      </c>
      <c r="P33" s="56" t="s">
        <v>5</v>
      </c>
      <c r="Q33" s="56" t="s">
        <v>5</v>
      </c>
      <c r="R33" s="56" t="s">
        <v>5</v>
      </c>
      <c r="S33" s="56" t="s">
        <v>5</v>
      </c>
      <c r="T33" s="56" t="s">
        <v>5</v>
      </c>
      <c r="U33" s="56" t="s">
        <v>5</v>
      </c>
      <c r="V33" s="56">
        <f>=IF(AND(C33="Yes",G33="-"), 1, 0)</f>
      </c>
      <c r="W33" s="56">
        <f>=IF(AND(C33="Yes",G33="Yes"), 1, 0)</f>
      </c>
      <c r="X33" s="56">
        <f>=IF(AND(C33="Yes",G33="No; explanation in comments"), 1, 0)</f>
      </c>
      <c r="Y33" s="56">
        <f>=IF(AND(C33="Yes",K33="Not Assessed Yet"), 1, 0)</f>
      </c>
      <c r="Z33" s="56">
        <f>=IF(AND(C33="Yes",AND(G33&lt;&gt;"-",K33="Mitigated")), 1, 0)</f>
      </c>
      <c r="AA33" s="56">
        <f>=IF(AND(C33="Yes",AND(G33&lt;&gt;"-",K33="Not Mitigated")), 1, 0)</f>
      </c>
    </row>
    <row r="34" ht="95" customHeight="1" spans="1:27" s="53" customFormat="1" x14ac:dyDescent="0.25">
      <c r="A34" s="63" t="s">
        <v>50</v>
      </c>
      <c r="B34" s="64" t="s">
        <v>388</v>
      </c>
      <c r="C34" s="56">
        <f>=IF(EKSInUse="Yes","Yes","No")</f>
      </c>
      <c r="D34" s="56" t="s">
        <v>389</v>
      </c>
      <c r="E34" s="56" t="s">
        <v>390</v>
      </c>
      <c r="F34" s="56">
        <f>=IF(AND(C34="Yes",G34="-"), "Yes", "No")</f>
      </c>
      <c r="G34" s="56" t="s">
        <v>13</v>
      </c>
      <c r="H34" s="56" t="s">
        <v>5</v>
      </c>
      <c r="I34" s="56" t="s">
        <v>242</v>
      </c>
      <c r="J34" s="56" t="s">
        <v>32</v>
      </c>
      <c r="K34" s="56" t="s">
        <v>230</v>
      </c>
      <c r="L34" s="56" t="s">
        <v>5</v>
      </c>
      <c r="M34" s="56" t="s">
        <v>5</v>
      </c>
      <c r="N34" s="56" t="s">
        <v>5</v>
      </c>
      <c r="O34" s="56" t="s">
        <v>5</v>
      </c>
      <c r="P34" s="56" t="s">
        <v>5</v>
      </c>
      <c r="Q34" s="56" t="s">
        <v>5</v>
      </c>
      <c r="R34" s="56" t="s">
        <v>5</v>
      </c>
      <c r="S34" s="56" t="s">
        <v>5</v>
      </c>
      <c r="T34" s="56" t="s">
        <v>5</v>
      </c>
      <c r="U34" s="56" t="s">
        <v>5</v>
      </c>
      <c r="V34" s="56">
        <f>=IF(AND(C34="Yes",G34="-"), 1, 0)</f>
      </c>
      <c r="W34" s="56">
        <f>=IF(AND(C34="Yes",G34="Yes"), 1, 0)</f>
      </c>
      <c r="X34" s="56">
        <f>=IF(AND(C34="Yes",G34="No; explanation in comments"), 1, 0)</f>
      </c>
      <c r="Y34" s="56">
        <f>=IF(AND(C34="Yes",K34="Not Assessed Yet"), 1, 0)</f>
      </c>
      <c r="Z34" s="56">
        <f>=IF(AND(C34="Yes",AND(G34&lt;&gt;"-",K34="Mitigated")), 1, 0)</f>
      </c>
      <c r="AA34" s="56">
        <f>=IF(AND(C34="Yes",AND(G34&lt;&gt;"-",K34="Not Mitigated")), 1, 0)</f>
      </c>
    </row>
    <row r="35" ht="140" customHeight="1" spans="1:27" s="53" customFormat="1" x14ac:dyDescent="0.25">
      <c r="A35" s="63" t="s">
        <v>50</v>
      </c>
      <c r="B35" s="64" t="s">
        <v>391</v>
      </c>
      <c r="C35" s="56">
        <f>=IF(EKSInUse="Yes","Yes","No")</f>
      </c>
      <c r="D35" s="56" t="s">
        <v>392</v>
      </c>
      <c r="E35" s="56" t="s">
        <v>393</v>
      </c>
      <c r="F35" s="56">
        <f>=IF(AND(C35="Yes",G35="-"), "Yes", "No")</f>
      </c>
      <c r="G35" s="56" t="s">
        <v>13</v>
      </c>
      <c r="H35" s="56" t="s">
        <v>5</v>
      </c>
      <c r="I35" s="56" t="s">
        <v>229</v>
      </c>
      <c r="J35" s="56" t="s">
        <v>226</v>
      </c>
      <c r="K35" s="56" t="s">
        <v>230</v>
      </c>
      <c r="L35" s="56" t="s">
        <v>5</v>
      </c>
      <c r="M35" s="56" t="s">
        <v>5</v>
      </c>
      <c r="N35" s="56" t="s">
        <v>5</v>
      </c>
      <c r="O35" s="56" t="s">
        <v>5</v>
      </c>
      <c r="P35" s="56" t="s">
        <v>5</v>
      </c>
      <c r="Q35" s="56" t="s">
        <v>5</v>
      </c>
      <c r="R35" s="56" t="s">
        <v>5</v>
      </c>
      <c r="S35" s="56" t="s">
        <v>5</v>
      </c>
      <c r="T35" s="56" t="s">
        <v>5</v>
      </c>
      <c r="U35" s="56" t="s">
        <v>5</v>
      </c>
      <c r="V35" s="56">
        <f>=IF(AND(C35="Yes",G35="-"), 1, 0)</f>
      </c>
      <c r="W35" s="56">
        <f>=IF(AND(C35="Yes",G35="Yes"), 1, 0)</f>
      </c>
      <c r="X35" s="56">
        <f>=IF(AND(C35="Yes",G35="No; explanation in comments"), 1, 0)</f>
      </c>
      <c r="Y35" s="56">
        <f>=IF(AND(C35="Yes",K35="Not Assessed Yet"), 1, 0)</f>
      </c>
      <c r="Z35" s="56">
        <f>=IF(AND(C35="Yes",AND(G35&lt;&gt;"-",K35="Mitigated")), 1, 0)</f>
      </c>
      <c r="AA35" s="56">
        <f>=IF(AND(C35="Yes",AND(G35&lt;&gt;"-",K35="Not Mitigated")), 1, 0)</f>
      </c>
    </row>
    <row r="36" ht="80" customHeight="1" spans="1:27" s="53" customFormat="1" x14ac:dyDescent="0.25">
      <c r="A36" s="63" t="s">
        <v>50</v>
      </c>
      <c r="B36" s="64" t="s">
        <v>394</v>
      </c>
      <c r="C36" s="56">
        <f>=IF(EKSInUse="Yes","Yes","No")</f>
      </c>
      <c r="D36" s="56" t="s">
        <v>395</v>
      </c>
      <c r="E36" s="56" t="s">
        <v>396</v>
      </c>
      <c r="F36" s="56">
        <f>=IF(AND(C36="Yes",G36="-"), "Yes", "No")</f>
      </c>
      <c r="G36" s="56" t="s">
        <v>13</v>
      </c>
      <c r="H36" s="56" t="s">
        <v>5</v>
      </c>
      <c r="I36" s="56" t="s">
        <v>229</v>
      </c>
      <c r="J36" s="56" t="s">
        <v>226</v>
      </c>
      <c r="K36" s="56" t="s">
        <v>230</v>
      </c>
      <c r="L36" s="56" t="s">
        <v>5</v>
      </c>
      <c r="M36" s="56" t="s">
        <v>5</v>
      </c>
      <c r="N36" s="56" t="s">
        <v>5</v>
      </c>
      <c r="O36" s="56" t="s">
        <v>5</v>
      </c>
      <c r="P36" s="56" t="s">
        <v>5</v>
      </c>
      <c r="Q36" s="56" t="s">
        <v>5</v>
      </c>
      <c r="R36" s="56" t="s">
        <v>5</v>
      </c>
      <c r="S36" s="56" t="s">
        <v>5</v>
      </c>
      <c r="T36" s="56" t="s">
        <v>5</v>
      </c>
      <c r="U36" s="56" t="s">
        <v>5</v>
      </c>
      <c r="V36" s="56">
        <f>=IF(AND(C36="Yes",G36="-"), 1, 0)</f>
      </c>
      <c r="W36" s="56">
        <f>=IF(AND(C36="Yes",G36="Yes"), 1, 0)</f>
      </c>
      <c r="X36" s="56">
        <f>=IF(AND(C36="Yes",G36="No; explanation in comments"), 1, 0)</f>
      </c>
      <c r="Y36" s="56">
        <f>=IF(AND(C36="Yes",K36="Not Assessed Yet"), 1, 0)</f>
      </c>
      <c r="Z36" s="56">
        <f>=IF(AND(C36="Yes",AND(G36&lt;&gt;"-",K36="Mitigated")), 1, 0)</f>
      </c>
      <c r="AA36" s="56">
        <f>=IF(AND(C36="Yes",AND(G36&lt;&gt;"-",K36="Not Mitigated")), 1, 0)</f>
      </c>
    </row>
    <row r="37" ht="35" customHeight="1" spans="1:27" s="53" customFormat="1" x14ac:dyDescent="0.25">
      <c r="A37" s="63" t="s">
        <v>50</v>
      </c>
      <c r="B37" s="64" t="s">
        <v>397</v>
      </c>
      <c r="C37" s="56">
        <f>=IF(EKSInUse="Yes","Yes","No")</f>
      </c>
      <c r="D37" s="56" t="s">
        <v>398</v>
      </c>
      <c r="E37" s="56" t="s">
        <v>399</v>
      </c>
      <c r="F37" s="56">
        <f>=IF(AND(C37="Yes",G37="-"), "Yes", "No")</f>
      </c>
      <c r="G37" s="56" t="s">
        <v>13</v>
      </c>
      <c r="H37" s="56" t="s">
        <v>5</v>
      </c>
      <c r="I37" s="56" t="s">
        <v>229</v>
      </c>
      <c r="J37" s="56" t="s">
        <v>226</v>
      </c>
      <c r="K37" s="56" t="s">
        <v>230</v>
      </c>
      <c r="L37" s="56" t="s">
        <v>5</v>
      </c>
      <c r="M37" s="56" t="s">
        <v>5</v>
      </c>
      <c r="N37" s="56" t="s">
        <v>5</v>
      </c>
      <c r="O37" s="56" t="s">
        <v>5</v>
      </c>
      <c r="P37" s="56" t="s">
        <v>5</v>
      </c>
      <c r="Q37" s="56" t="s">
        <v>5</v>
      </c>
      <c r="R37" s="56" t="s">
        <v>5</v>
      </c>
      <c r="S37" s="56" t="s">
        <v>5</v>
      </c>
      <c r="T37" s="56" t="s">
        <v>5</v>
      </c>
      <c r="U37" s="56" t="s">
        <v>5</v>
      </c>
      <c r="V37" s="56">
        <f>=IF(AND(C37="Yes",G37="-"), 1, 0)</f>
      </c>
      <c r="W37" s="56">
        <f>=IF(AND(C37="Yes",G37="Yes"), 1, 0)</f>
      </c>
      <c r="X37" s="56">
        <f>=IF(AND(C37="Yes",G37="No; explanation in comments"), 1, 0)</f>
      </c>
      <c r="Y37" s="56">
        <f>=IF(AND(C37="Yes",K37="Not Assessed Yet"), 1, 0)</f>
      </c>
      <c r="Z37" s="56">
        <f>=IF(AND(C37="Yes",AND(G37&lt;&gt;"-",K37="Mitigated")), 1, 0)</f>
      </c>
      <c r="AA37" s="56">
        <f>=IF(AND(C37="Yes",AND(G37&lt;&gt;"-",K37="Not Mitigated")), 1, 0)</f>
      </c>
    </row>
    <row r="38" ht="35" customHeight="1" spans="1:27" s="53" customFormat="1" x14ac:dyDescent="0.25">
      <c r="A38" s="63" t="s">
        <v>50</v>
      </c>
      <c r="B38" s="64" t="s">
        <v>400</v>
      </c>
      <c r="C38" s="56">
        <f>=IF(EKSInUse="Yes","Yes","No")</f>
      </c>
      <c r="D38" s="56" t="s">
        <v>401</v>
      </c>
      <c r="E38" s="56" t="s">
        <v>402</v>
      </c>
      <c r="F38" s="56">
        <f>=IF(AND(C38="Yes",G38="-"), "Yes", "No")</f>
      </c>
      <c r="G38" s="56" t="s">
        <v>13</v>
      </c>
      <c r="H38" s="56" t="s">
        <v>5</v>
      </c>
      <c r="I38" s="56" t="s">
        <v>229</v>
      </c>
      <c r="J38" s="56" t="s">
        <v>226</v>
      </c>
      <c r="K38" s="56" t="s">
        <v>230</v>
      </c>
      <c r="L38" s="56" t="s">
        <v>5</v>
      </c>
      <c r="M38" s="56" t="s">
        <v>5</v>
      </c>
      <c r="N38" s="56" t="s">
        <v>5</v>
      </c>
      <c r="O38" s="56" t="s">
        <v>5</v>
      </c>
      <c r="P38" s="56" t="s">
        <v>5</v>
      </c>
      <c r="Q38" s="56" t="s">
        <v>5</v>
      </c>
      <c r="R38" s="56" t="s">
        <v>5</v>
      </c>
      <c r="S38" s="56" t="s">
        <v>5</v>
      </c>
      <c r="T38" s="56" t="s">
        <v>5</v>
      </c>
      <c r="U38" s="56" t="s">
        <v>5</v>
      </c>
      <c r="V38" s="56">
        <f>=IF(AND(C38="Yes",G38="-"), 1, 0)</f>
      </c>
      <c r="W38" s="56">
        <f>=IF(AND(C38="Yes",G38="Yes"), 1, 0)</f>
      </c>
      <c r="X38" s="56">
        <f>=IF(AND(C38="Yes",G38="No; explanation in comments"), 1, 0)</f>
      </c>
      <c r="Y38" s="56">
        <f>=IF(AND(C38="Yes",K38="Not Assessed Yet"), 1, 0)</f>
      </c>
      <c r="Z38" s="56">
        <f>=IF(AND(C38="Yes",AND(G38&lt;&gt;"-",K38="Mitigated")), 1, 0)</f>
      </c>
      <c r="AA38" s="56">
        <f>=IF(AND(C38="Yes",AND(G38&lt;&gt;"-",K38="Not Mitigated")), 1, 0)</f>
      </c>
    </row>
    <row r="39" ht="110" customHeight="1" spans="1:27" s="53" customFormat="1" x14ac:dyDescent="0.25">
      <c r="A39" s="63" t="s">
        <v>50</v>
      </c>
      <c r="B39" s="64" t="s">
        <v>403</v>
      </c>
      <c r="C39" s="56">
        <f>=IF(EKSInUse="Yes","Yes","No")</f>
      </c>
      <c r="D39" s="56" t="s">
        <v>404</v>
      </c>
      <c r="E39" s="56" t="s">
        <v>405</v>
      </c>
      <c r="F39" s="56">
        <f>=IF(AND(C39="Yes",G39="-"), "Yes", "No")</f>
      </c>
      <c r="G39" s="56" t="s">
        <v>13</v>
      </c>
      <c r="H39" s="56" t="s">
        <v>5</v>
      </c>
      <c r="I39" s="56" t="s">
        <v>242</v>
      </c>
      <c r="J39" s="56" t="s">
        <v>32</v>
      </c>
      <c r="K39" s="56" t="s">
        <v>230</v>
      </c>
      <c r="L39" s="56" t="s">
        <v>5</v>
      </c>
      <c r="M39" s="56" t="s">
        <v>5</v>
      </c>
      <c r="N39" s="56" t="s">
        <v>5</v>
      </c>
      <c r="O39" s="56" t="s">
        <v>5</v>
      </c>
      <c r="P39" s="56" t="s">
        <v>5</v>
      </c>
      <c r="Q39" s="56" t="s">
        <v>5</v>
      </c>
      <c r="R39" s="56" t="s">
        <v>5</v>
      </c>
      <c r="S39" s="56" t="s">
        <v>5</v>
      </c>
      <c r="T39" s="56" t="s">
        <v>5</v>
      </c>
      <c r="U39" s="56" t="s">
        <v>5</v>
      </c>
      <c r="V39" s="56">
        <f>=IF(AND(C39="Yes",G39="-"), 1, 0)</f>
      </c>
      <c r="W39" s="56">
        <f>=IF(AND(C39="Yes",G39="Yes"), 1, 0)</f>
      </c>
      <c r="X39" s="56">
        <f>=IF(AND(C39="Yes",G39="No; explanation in comments"), 1, 0)</f>
      </c>
      <c r="Y39" s="56">
        <f>=IF(AND(C39="Yes",K39="Not Assessed Yet"), 1, 0)</f>
      </c>
      <c r="Z39" s="56">
        <f>=IF(AND(C39="Yes",AND(G39&lt;&gt;"-",K39="Mitigated")), 1, 0)</f>
      </c>
      <c r="AA39" s="56">
        <f>=IF(AND(C39="Yes",AND(G39&lt;&gt;"-",K39="Not Mitigated")), 1, 0)</f>
      </c>
    </row>
    <row r="40" ht="170" customHeight="1" spans="1:27" s="53" customFormat="1" x14ac:dyDescent="0.25">
      <c r="A40" s="63" t="s">
        <v>50</v>
      </c>
      <c r="B40" s="64" t="s">
        <v>406</v>
      </c>
      <c r="C40" s="56">
        <f>=IF(EKSInUse="Yes","Yes","No")</f>
      </c>
      <c r="D40" s="56" t="s">
        <v>407</v>
      </c>
      <c r="E40" s="56" t="s">
        <v>408</v>
      </c>
      <c r="F40" s="56">
        <f>=IF(AND(C40="Yes",G40="-"), "Yes", "No")</f>
      </c>
      <c r="G40" s="56" t="s">
        <v>13</v>
      </c>
      <c r="H40" s="56" t="s">
        <v>5</v>
      </c>
      <c r="I40" s="56" t="s">
        <v>242</v>
      </c>
      <c r="J40" s="56" t="s">
        <v>32</v>
      </c>
      <c r="K40" s="56" t="s">
        <v>230</v>
      </c>
      <c r="L40" s="56" t="s">
        <v>5</v>
      </c>
      <c r="M40" s="56" t="s">
        <v>5</v>
      </c>
      <c r="N40" s="56" t="s">
        <v>5</v>
      </c>
      <c r="O40" s="56" t="s">
        <v>5</v>
      </c>
      <c r="P40" s="56" t="s">
        <v>5</v>
      </c>
      <c r="Q40" s="56" t="s">
        <v>5</v>
      </c>
      <c r="R40" s="56" t="s">
        <v>5</v>
      </c>
      <c r="S40" s="56" t="s">
        <v>5</v>
      </c>
      <c r="T40" s="56" t="s">
        <v>5</v>
      </c>
      <c r="U40" s="56" t="s">
        <v>5</v>
      </c>
      <c r="V40" s="56">
        <f>=IF(AND(C40="Yes",G40="-"), 1, 0)</f>
      </c>
      <c r="W40" s="56">
        <f>=IF(AND(C40="Yes",G40="Yes"), 1, 0)</f>
      </c>
      <c r="X40" s="56">
        <f>=IF(AND(C40="Yes",G40="No; explanation in comments"), 1, 0)</f>
      </c>
      <c r="Y40" s="56">
        <f>=IF(AND(C40="Yes",K40="Not Assessed Yet"), 1, 0)</f>
      </c>
      <c r="Z40" s="56">
        <f>=IF(AND(C40="Yes",AND(G40&lt;&gt;"-",K40="Mitigated")), 1, 0)</f>
      </c>
      <c r="AA40" s="56">
        <f>=IF(AND(C40="Yes",AND(G40&lt;&gt;"-",K40="Not Mitigated")), 1, 0)</f>
      </c>
    </row>
    <row r="41" ht="110" customHeight="1" spans="1:27" s="53" customFormat="1" x14ac:dyDescent="0.25">
      <c r="A41" s="63" t="s">
        <v>50</v>
      </c>
      <c r="B41" s="64" t="s">
        <v>409</v>
      </c>
      <c r="C41" s="56">
        <f>=IF(EKSInUse="Yes","Yes","No")</f>
      </c>
      <c r="D41" s="56" t="s">
        <v>410</v>
      </c>
      <c r="E41" s="56" t="s">
        <v>411</v>
      </c>
      <c r="F41" s="56">
        <f>=IF(AND(C41="Yes",G41="-"), "Yes", "No")</f>
      </c>
      <c r="G41" s="56" t="s">
        <v>13</v>
      </c>
      <c r="H41" s="56" t="s">
        <v>5</v>
      </c>
      <c r="I41" s="56" t="s">
        <v>229</v>
      </c>
      <c r="J41" s="56" t="s">
        <v>226</v>
      </c>
      <c r="K41" s="56" t="s">
        <v>230</v>
      </c>
      <c r="L41" s="56" t="s">
        <v>5</v>
      </c>
      <c r="M41" s="56" t="s">
        <v>5</v>
      </c>
      <c r="N41" s="56" t="s">
        <v>5</v>
      </c>
      <c r="O41" s="56" t="s">
        <v>5</v>
      </c>
      <c r="P41" s="56" t="s">
        <v>5</v>
      </c>
      <c r="Q41" s="56" t="s">
        <v>5</v>
      </c>
      <c r="R41" s="56" t="s">
        <v>5</v>
      </c>
      <c r="S41" s="56" t="s">
        <v>5</v>
      </c>
      <c r="T41" s="56" t="s">
        <v>5</v>
      </c>
      <c r="U41" s="56" t="s">
        <v>5</v>
      </c>
      <c r="V41" s="56">
        <f>=IF(AND(C41="Yes",G41="-"), 1, 0)</f>
      </c>
      <c r="W41" s="56">
        <f>=IF(AND(C41="Yes",G41="Yes"), 1, 0)</f>
      </c>
      <c r="X41" s="56">
        <f>=IF(AND(C41="Yes",G41="No; explanation in comments"), 1, 0)</f>
      </c>
      <c r="Y41" s="56">
        <f>=IF(AND(C41="Yes",K41="Not Assessed Yet"), 1, 0)</f>
      </c>
      <c r="Z41" s="56">
        <f>=IF(AND(C41="Yes",AND(G41&lt;&gt;"-",K41="Mitigated")), 1, 0)</f>
      </c>
      <c r="AA41" s="56">
        <f>=IF(AND(C41="Yes",AND(G41&lt;&gt;"-",K41="Not Mitigated")), 1, 0)</f>
      </c>
    </row>
    <row r="42" ht="185" customHeight="1" spans="1:27" s="53" customFormat="1" x14ac:dyDescent="0.25">
      <c r="A42" s="63" t="s">
        <v>50</v>
      </c>
      <c r="B42" s="64" t="s">
        <v>412</v>
      </c>
      <c r="C42" s="56">
        <f>=IF(EKSInUse="Yes","Yes","No")</f>
      </c>
      <c r="D42" s="56" t="s">
        <v>413</v>
      </c>
      <c r="E42" s="56" t="s">
        <v>414</v>
      </c>
      <c r="F42" s="56">
        <f>=IF(AND(C42="Yes",G42="-"), "Yes", "No")</f>
      </c>
      <c r="G42" s="56" t="s">
        <v>13</v>
      </c>
      <c r="H42" s="56" t="s">
        <v>5</v>
      </c>
      <c r="I42" s="56" t="s">
        <v>242</v>
      </c>
      <c r="J42" s="56" t="s">
        <v>32</v>
      </c>
      <c r="K42" s="56" t="s">
        <v>230</v>
      </c>
      <c r="L42" s="56" t="s">
        <v>5</v>
      </c>
      <c r="M42" s="56" t="s">
        <v>5</v>
      </c>
      <c r="N42" s="56" t="s">
        <v>5</v>
      </c>
      <c r="O42" s="56" t="s">
        <v>5</v>
      </c>
      <c r="P42" s="56" t="s">
        <v>5</v>
      </c>
      <c r="Q42" s="56" t="s">
        <v>5</v>
      </c>
      <c r="R42" s="56" t="s">
        <v>5</v>
      </c>
      <c r="S42" s="56" t="s">
        <v>5</v>
      </c>
      <c r="T42" s="56" t="s">
        <v>5</v>
      </c>
      <c r="U42" s="56" t="s">
        <v>5</v>
      </c>
      <c r="V42" s="56">
        <f>=IF(AND(C42="Yes",G42="-"), 1, 0)</f>
      </c>
      <c r="W42" s="56">
        <f>=IF(AND(C42="Yes",G42="Yes"), 1, 0)</f>
      </c>
      <c r="X42" s="56">
        <f>=IF(AND(C42="Yes",G42="No; explanation in comments"), 1, 0)</f>
      </c>
      <c r="Y42" s="56">
        <f>=IF(AND(C42="Yes",K42="Not Assessed Yet"), 1, 0)</f>
      </c>
      <c r="Z42" s="56">
        <f>=IF(AND(C42="Yes",AND(G42&lt;&gt;"-",K42="Mitigated")), 1, 0)</f>
      </c>
      <c r="AA42" s="56">
        <f>=IF(AND(C42="Yes",AND(G42&lt;&gt;"-",K42="Not Mitigated")), 1, 0)</f>
      </c>
    </row>
    <row r="43" ht="65" customHeight="1" spans="1:27" s="53" customFormat="1" x14ac:dyDescent="0.25">
      <c r="A43" s="63" t="s">
        <v>50</v>
      </c>
      <c r="B43" s="64" t="s">
        <v>415</v>
      </c>
      <c r="C43" s="56">
        <f>=IF(EKSInUse="Yes","Yes","No")</f>
      </c>
      <c r="D43" s="56" t="s">
        <v>416</v>
      </c>
      <c r="E43" s="56" t="s">
        <v>417</v>
      </c>
      <c r="F43" s="56">
        <f>=IF(AND(C43="Yes",G43="-"), "Yes", "No")</f>
      </c>
      <c r="G43" s="56" t="s">
        <v>13</v>
      </c>
      <c r="H43" s="56" t="s">
        <v>5</v>
      </c>
      <c r="I43" s="56" t="s">
        <v>242</v>
      </c>
      <c r="J43" s="56" t="s">
        <v>32</v>
      </c>
      <c r="K43" s="56" t="s">
        <v>230</v>
      </c>
      <c r="L43" s="56" t="s">
        <v>5</v>
      </c>
      <c r="M43" s="56" t="s">
        <v>5</v>
      </c>
      <c r="N43" s="56" t="s">
        <v>5</v>
      </c>
      <c r="O43" s="56" t="s">
        <v>5</v>
      </c>
      <c r="P43" s="56" t="s">
        <v>5</v>
      </c>
      <c r="Q43" s="56" t="s">
        <v>5</v>
      </c>
      <c r="R43" s="56" t="s">
        <v>5</v>
      </c>
      <c r="S43" s="56" t="s">
        <v>5</v>
      </c>
      <c r="T43" s="56" t="s">
        <v>5</v>
      </c>
      <c r="U43" s="56" t="s">
        <v>5</v>
      </c>
      <c r="V43" s="56">
        <f>=IF(AND(C43="Yes",G43="-"), 1, 0)</f>
      </c>
      <c r="W43" s="56">
        <f>=IF(AND(C43="Yes",G43="Yes"), 1, 0)</f>
      </c>
      <c r="X43" s="56">
        <f>=IF(AND(C43="Yes",G43="No; explanation in comments"), 1, 0)</f>
      </c>
      <c r="Y43" s="56">
        <f>=IF(AND(C43="Yes",K43="Not Assessed Yet"), 1, 0)</f>
      </c>
      <c r="Z43" s="56">
        <f>=IF(AND(C43="Yes",AND(G43&lt;&gt;"-",K43="Mitigated")), 1, 0)</f>
      </c>
      <c r="AA43" s="56">
        <f>=IF(AND(C43="Yes",AND(G43&lt;&gt;"-",K43="Not Mitigated")), 1, 0)</f>
      </c>
    </row>
    <row r="44" ht="140" customHeight="1" spans="1:27" s="53" customFormat="1" x14ac:dyDescent="0.25">
      <c r="A44" s="63" t="s">
        <v>50</v>
      </c>
      <c r="B44" s="64" t="s">
        <v>418</v>
      </c>
      <c r="C44" s="56">
        <f>=IF(EKSInUse="Yes","Yes","No")</f>
      </c>
      <c r="D44" s="56" t="s">
        <v>419</v>
      </c>
      <c r="E44" s="56" t="s">
        <v>420</v>
      </c>
      <c r="F44" s="56">
        <f>=IF(AND(C44="Yes",G44="-"), "Yes", "No")</f>
      </c>
      <c r="G44" s="56" t="s">
        <v>13</v>
      </c>
      <c r="H44" s="56" t="s">
        <v>5</v>
      </c>
      <c r="I44" s="56" t="s">
        <v>242</v>
      </c>
      <c r="J44" s="56" t="s">
        <v>32</v>
      </c>
      <c r="K44" s="56" t="s">
        <v>230</v>
      </c>
      <c r="L44" s="56" t="s">
        <v>5</v>
      </c>
      <c r="M44" s="56" t="s">
        <v>5</v>
      </c>
      <c r="N44" s="56" t="s">
        <v>5</v>
      </c>
      <c r="O44" s="56" t="s">
        <v>5</v>
      </c>
      <c r="P44" s="56" t="s">
        <v>5</v>
      </c>
      <c r="Q44" s="56" t="s">
        <v>5</v>
      </c>
      <c r="R44" s="56" t="s">
        <v>5</v>
      </c>
      <c r="S44" s="56" t="s">
        <v>5</v>
      </c>
      <c r="T44" s="56" t="s">
        <v>5</v>
      </c>
      <c r="U44" s="56" t="s">
        <v>5</v>
      </c>
      <c r="V44" s="56">
        <f>=IF(AND(C44="Yes",G44="-"), 1, 0)</f>
      </c>
      <c r="W44" s="56">
        <f>=IF(AND(C44="Yes",G44="Yes"), 1, 0)</f>
      </c>
      <c r="X44" s="56">
        <f>=IF(AND(C44="Yes",G44="No; explanation in comments"), 1, 0)</f>
      </c>
      <c r="Y44" s="56">
        <f>=IF(AND(C44="Yes",K44="Not Assessed Yet"), 1, 0)</f>
      </c>
      <c r="Z44" s="56">
        <f>=IF(AND(C44="Yes",AND(G44&lt;&gt;"-",K44="Mitigated")), 1, 0)</f>
      </c>
      <c r="AA44" s="56">
        <f>=IF(AND(C44="Yes",AND(G44&lt;&gt;"-",K44="Not Mitigated")), 1, 0)</f>
      </c>
    </row>
    <row r="45" ht="110" customHeight="1" spans="1:27" s="53" customFormat="1" x14ac:dyDescent="0.25">
      <c r="A45" s="63" t="s">
        <v>50</v>
      </c>
      <c r="B45" s="64" t="s">
        <v>421</v>
      </c>
      <c r="C45" s="56">
        <f>=IF(EKSInUse="Yes","Yes","No")</f>
      </c>
      <c r="D45" s="56" t="s">
        <v>422</v>
      </c>
      <c r="E45" s="56" t="s">
        <v>423</v>
      </c>
      <c r="F45" s="56">
        <f>=IF(AND(C45="Yes",G45="-"), "Yes", "No")</f>
      </c>
      <c r="G45" s="56" t="s">
        <v>13</v>
      </c>
      <c r="H45" s="56" t="s">
        <v>5</v>
      </c>
      <c r="I45" s="56" t="s">
        <v>229</v>
      </c>
      <c r="J45" s="56" t="s">
        <v>226</v>
      </c>
      <c r="K45" s="56" t="s">
        <v>230</v>
      </c>
      <c r="L45" s="56" t="s">
        <v>5</v>
      </c>
      <c r="M45" s="56" t="s">
        <v>5</v>
      </c>
      <c r="N45" s="56" t="s">
        <v>5</v>
      </c>
      <c r="O45" s="56" t="s">
        <v>5</v>
      </c>
      <c r="P45" s="56" t="s">
        <v>5</v>
      </c>
      <c r="Q45" s="56" t="s">
        <v>5</v>
      </c>
      <c r="R45" s="56" t="s">
        <v>5</v>
      </c>
      <c r="S45" s="56" t="s">
        <v>5</v>
      </c>
      <c r="T45" s="56" t="s">
        <v>5</v>
      </c>
      <c r="U45" s="56" t="s">
        <v>5</v>
      </c>
      <c r="V45" s="56">
        <f>=IF(AND(C45="Yes",G45="-"), 1, 0)</f>
      </c>
      <c r="W45" s="56">
        <f>=IF(AND(C45="Yes",G45="Yes"), 1, 0)</f>
      </c>
      <c r="X45" s="56">
        <f>=IF(AND(C45="Yes",G45="No; explanation in comments"), 1, 0)</f>
      </c>
      <c r="Y45" s="56">
        <f>=IF(AND(C45="Yes",K45="Not Assessed Yet"), 1, 0)</f>
      </c>
      <c r="Z45" s="56">
        <f>=IF(AND(C45="Yes",AND(G45&lt;&gt;"-",K45="Mitigated")), 1, 0)</f>
      </c>
      <c r="AA45" s="56">
        <f>=IF(AND(C45="Yes",AND(G45&lt;&gt;"-",K45="Not Mitigated")), 1, 0)</f>
      </c>
    </row>
    <row r="46" ht="50" customHeight="1" spans="1:27" s="53" customFormat="1" x14ac:dyDescent="0.25">
      <c r="A46" s="63" t="s">
        <v>50</v>
      </c>
      <c r="B46" s="64" t="s">
        <v>424</v>
      </c>
      <c r="C46" s="56">
        <f>=IF(EKSInUse="Yes","Yes","No")</f>
      </c>
      <c r="D46" s="56" t="s">
        <v>425</v>
      </c>
      <c r="E46" s="56" t="s">
        <v>426</v>
      </c>
      <c r="F46" s="56">
        <f>=IF(AND(C46="Yes",G46="-"), "Yes", "No")</f>
      </c>
      <c r="G46" s="56" t="s">
        <v>13</v>
      </c>
      <c r="H46" s="56" t="s">
        <v>5</v>
      </c>
      <c r="I46" s="56" t="s">
        <v>242</v>
      </c>
      <c r="J46" s="56" t="s">
        <v>32</v>
      </c>
      <c r="K46" s="56" t="s">
        <v>230</v>
      </c>
      <c r="L46" s="56" t="s">
        <v>5</v>
      </c>
      <c r="M46" s="56" t="s">
        <v>5</v>
      </c>
      <c r="N46" s="56" t="s">
        <v>5</v>
      </c>
      <c r="O46" s="56" t="s">
        <v>5</v>
      </c>
      <c r="P46" s="56" t="s">
        <v>5</v>
      </c>
      <c r="Q46" s="56" t="s">
        <v>5</v>
      </c>
      <c r="R46" s="56" t="s">
        <v>5</v>
      </c>
      <c r="S46" s="56" t="s">
        <v>5</v>
      </c>
      <c r="T46" s="56" t="s">
        <v>5</v>
      </c>
      <c r="U46" s="56" t="s">
        <v>5</v>
      </c>
      <c r="V46" s="56">
        <f>=IF(AND(C46="Yes",G46="-"), 1, 0)</f>
      </c>
      <c r="W46" s="56">
        <f>=IF(AND(C46="Yes",G46="Yes"), 1, 0)</f>
      </c>
      <c r="X46" s="56">
        <f>=IF(AND(C46="Yes",G46="No; explanation in comments"), 1, 0)</f>
      </c>
      <c r="Y46" s="56">
        <f>=IF(AND(C46="Yes",K46="Not Assessed Yet"), 1, 0)</f>
      </c>
      <c r="Z46" s="56">
        <f>=IF(AND(C46="Yes",AND(G46&lt;&gt;"-",K46="Mitigated")), 1, 0)</f>
      </c>
      <c r="AA46" s="56">
        <f>=IF(AND(C46="Yes",AND(G46&lt;&gt;"-",K46="Not Mitigated")), 1, 0)</f>
      </c>
    </row>
    <row r="47" ht="140" customHeight="1" spans="1:27" s="53" customFormat="1" x14ac:dyDescent="0.25">
      <c r="A47" s="63" t="s">
        <v>50</v>
      </c>
      <c r="B47" s="64" t="s">
        <v>427</v>
      </c>
      <c r="C47" s="56">
        <f>=IF(EKSInUse="Yes","Yes","No")</f>
      </c>
      <c r="D47" s="56" t="s">
        <v>428</v>
      </c>
      <c r="E47" s="56" t="s">
        <v>429</v>
      </c>
      <c r="F47" s="56">
        <f>=IF(AND(C47="Yes",G47="-"), "Yes", "No")</f>
      </c>
      <c r="G47" s="56" t="s">
        <v>13</v>
      </c>
      <c r="H47" s="56" t="s">
        <v>5</v>
      </c>
      <c r="I47" s="56" t="s">
        <v>229</v>
      </c>
      <c r="J47" s="56" t="s">
        <v>226</v>
      </c>
      <c r="K47" s="56" t="s">
        <v>230</v>
      </c>
      <c r="L47" s="56" t="s">
        <v>5</v>
      </c>
      <c r="M47" s="56" t="s">
        <v>5</v>
      </c>
      <c r="N47" s="56" t="s">
        <v>5</v>
      </c>
      <c r="O47" s="56" t="s">
        <v>5</v>
      </c>
      <c r="P47" s="56" t="s">
        <v>5</v>
      </c>
      <c r="Q47" s="56" t="s">
        <v>5</v>
      </c>
      <c r="R47" s="56" t="s">
        <v>5</v>
      </c>
      <c r="S47" s="56" t="s">
        <v>5</v>
      </c>
      <c r="T47" s="56" t="s">
        <v>5</v>
      </c>
      <c r="U47" s="56" t="s">
        <v>5</v>
      </c>
      <c r="V47" s="56">
        <f>=IF(AND(C47="Yes",G47="-"), 1, 0)</f>
      </c>
      <c r="W47" s="56">
        <f>=IF(AND(C47="Yes",G47="Yes"), 1, 0)</f>
      </c>
      <c r="X47" s="56">
        <f>=IF(AND(C47="Yes",G47="No; explanation in comments"), 1, 0)</f>
      </c>
      <c r="Y47" s="56">
        <f>=IF(AND(C47="Yes",K47="Not Assessed Yet"), 1, 0)</f>
      </c>
      <c r="Z47" s="56">
        <f>=IF(AND(C47="Yes",AND(G47&lt;&gt;"-",K47="Mitigated")), 1, 0)</f>
      </c>
      <c r="AA47" s="56">
        <f>=IF(AND(C47="Yes",AND(G47&lt;&gt;"-",K47="Not Mitigated")), 1, 0)</f>
      </c>
    </row>
    <row r="48" ht="65" customHeight="1" spans="1:27" s="53" customFormat="1" x14ac:dyDescent="0.25">
      <c r="A48" s="63" t="s">
        <v>50</v>
      </c>
      <c r="B48" s="64" t="s">
        <v>430</v>
      </c>
      <c r="C48" s="56">
        <f>=IF(EKSInUse="Yes","Yes","No")</f>
      </c>
      <c r="D48" s="56" t="s">
        <v>431</v>
      </c>
      <c r="E48" s="56" t="s">
        <v>432</v>
      </c>
      <c r="F48" s="56">
        <f>=IF(AND(C48="Yes",G48="-"), "Yes", "No")</f>
      </c>
      <c r="G48" s="56" t="s">
        <v>13</v>
      </c>
      <c r="H48" s="56" t="s">
        <v>5</v>
      </c>
      <c r="I48" s="56" t="s">
        <v>229</v>
      </c>
      <c r="J48" s="56" t="s">
        <v>226</v>
      </c>
      <c r="K48" s="56" t="s">
        <v>230</v>
      </c>
      <c r="L48" s="56" t="s">
        <v>5</v>
      </c>
      <c r="M48" s="56" t="s">
        <v>5</v>
      </c>
      <c r="N48" s="56" t="s">
        <v>5</v>
      </c>
      <c r="O48" s="56" t="s">
        <v>5</v>
      </c>
      <c r="P48" s="56" t="s">
        <v>5</v>
      </c>
      <c r="Q48" s="56" t="s">
        <v>5</v>
      </c>
      <c r="R48" s="56" t="s">
        <v>5</v>
      </c>
      <c r="S48" s="56" t="s">
        <v>5</v>
      </c>
      <c r="T48" s="56" t="s">
        <v>5</v>
      </c>
      <c r="U48" s="56" t="s">
        <v>5</v>
      </c>
      <c r="V48" s="56">
        <f>=IF(AND(C48="Yes",G48="-"), 1, 0)</f>
      </c>
      <c r="W48" s="56">
        <f>=IF(AND(C48="Yes",G48="Yes"), 1, 0)</f>
      </c>
      <c r="X48" s="56">
        <f>=IF(AND(C48="Yes",G48="No; explanation in comments"), 1, 0)</f>
      </c>
      <c r="Y48" s="56">
        <f>=IF(AND(C48="Yes",K48="Not Assessed Yet"), 1, 0)</f>
      </c>
      <c r="Z48" s="56">
        <f>=IF(AND(C48="Yes",AND(G48&lt;&gt;"-",K48="Mitigated")), 1, 0)</f>
      </c>
      <c r="AA48" s="56">
        <f>=IF(AND(C48="Yes",AND(G48&lt;&gt;"-",K48="Not Mitigated")), 1, 0)</f>
      </c>
    </row>
    <row r="49" ht="35" customHeight="1" spans="1:27" s="53" customFormat="1" x14ac:dyDescent="0.25">
      <c r="A49" s="63" t="s">
        <v>50</v>
      </c>
      <c r="B49" s="64" t="s">
        <v>433</v>
      </c>
      <c r="C49" s="56">
        <f>=IF(EKSInUse="Yes","Yes","No")</f>
      </c>
      <c r="D49" s="56" t="s">
        <v>434</v>
      </c>
      <c r="E49" s="56" t="s">
        <v>435</v>
      </c>
      <c r="F49" s="56">
        <f>=IF(AND(C49="Yes",G49="-"), "Yes", "No")</f>
      </c>
      <c r="G49" s="56" t="s">
        <v>13</v>
      </c>
      <c r="H49" s="56" t="s">
        <v>5</v>
      </c>
      <c r="I49" s="56" t="s">
        <v>229</v>
      </c>
      <c r="J49" s="56" t="s">
        <v>226</v>
      </c>
      <c r="K49" s="56" t="s">
        <v>230</v>
      </c>
      <c r="L49" s="56" t="s">
        <v>5</v>
      </c>
      <c r="M49" s="56" t="s">
        <v>5</v>
      </c>
      <c r="N49" s="56" t="s">
        <v>5</v>
      </c>
      <c r="O49" s="56" t="s">
        <v>5</v>
      </c>
      <c r="P49" s="56" t="s">
        <v>5</v>
      </c>
      <c r="Q49" s="56" t="s">
        <v>5</v>
      </c>
      <c r="R49" s="56" t="s">
        <v>5</v>
      </c>
      <c r="S49" s="56" t="s">
        <v>5</v>
      </c>
      <c r="T49" s="56" t="s">
        <v>5</v>
      </c>
      <c r="U49" s="56" t="s">
        <v>5</v>
      </c>
      <c r="V49" s="56">
        <f>=IF(AND(C49="Yes",G49="-"), 1, 0)</f>
      </c>
      <c r="W49" s="56">
        <f>=IF(AND(C49="Yes",G49="Yes"), 1, 0)</f>
      </c>
      <c r="X49" s="56">
        <f>=IF(AND(C49="Yes",G49="No; explanation in comments"), 1, 0)</f>
      </c>
      <c r="Y49" s="56">
        <f>=IF(AND(C49="Yes",K49="Not Assessed Yet"), 1, 0)</f>
      </c>
      <c r="Z49" s="56">
        <f>=IF(AND(C49="Yes",AND(G49&lt;&gt;"-",K49="Mitigated")), 1, 0)</f>
      </c>
      <c r="AA49" s="56">
        <f>=IF(AND(C49="Yes",AND(G49&lt;&gt;"-",K49="Not Mitigated")), 1, 0)</f>
      </c>
    </row>
    <row r="50" ht="155" customHeight="1" spans="1:27" s="53" customFormat="1" x14ac:dyDescent="0.25">
      <c r="A50" s="63" t="s">
        <v>50</v>
      </c>
      <c r="B50" s="64" t="s">
        <v>436</v>
      </c>
      <c r="C50" s="56">
        <f>=IF(EKSInUse="Yes","Yes","No")</f>
      </c>
      <c r="D50" s="56" t="s">
        <v>437</v>
      </c>
      <c r="E50" s="56" t="s">
        <v>438</v>
      </c>
      <c r="F50" s="56">
        <f>=IF(AND(C50="Yes",G50="-"), "Yes", "No")</f>
      </c>
      <c r="G50" s="56" t="s">
        <v>13</v>
      </c>
      <c r="H50" s="56" t="s">
        <v>5</v>
      </c>
      <c r="I50" s="56" t="s">
        <v>229</v>
      </c>
      <c r="J50" s="56" t="s">
        <v>226</v>
      </c>
      <c r="K50" s="56" t="s">
        <v>230</v>
      </c>
      <c r="L50" s="56" t="s">
        <v>5</v>
      </c>
      <c r="M50" s="56" t="s">
        <v>5</v>
      </c>
      <c r="N50" s="56" t="s">
        <v>5</v>
      </c>
      <c r="O50" s="56" t="s">
        <v>5</v>
      </c>
      <c r="P50" s="56" t="s">
        <v>5</v>
      </c>
      <c r="Q50" s="56" t="s">
        <v>5</v>
      </c>
      <c r="R50" s="56" t="s">
        <v>5</v>
      </c>
      <c r="S50" s="56" t="s">
        <v>5</v>
      </c>
      <c r="T50" s="56" t="s">
        <v>5</v>
      </c>
      <c r="U50" s="56" t="s">
        <v>5</v>
      </c>
      <c r="V50" s="56">
        <f>=IF(AND(C50="Yes",G50="-"), 1, 0)</f>
      </c>
      <c r="W50" s="56">
        <f>=IF(AND(C50="Yes",G50="Yes"), 1, 0)</f>
      </c>
      <c r="X50" s="56">
        <f>=IF(AND(C50="Yes",G50="No; explanation in comments"), 1, 0)</f>
      </c>
      <c r="Y50" s="56">
        <f>=IF(AND(C50="Yes",K50="Not Assessed Yet"), 1, 0)</f>
      </c>
      <c r="Z50" s="56">
        <f>=IF(AND(C50="Yes",AND(G50&lt;&gt;"-",K50="Mitigated")), 1, 0)</f>
      </c>
      <c r="AA50" s="56">
        <f>=IF(AND(C50="Yes",AND(G50&lt;&gt;"-",K50="Not Mitigated")), 1, 0)</f>
      </c>
    </row>
    <row r="51" ht="80" customHeight="1" spans="1:27" s="53" customFormat="1" x14ac:dyDescent="0.25">
      <c r="A51" s="63" t="s">
        <v>50</v>
      </c>
      <c r="B51" s="64" t="s">
        <v>439</v>
      </c>
      <c r="C51" s="56">
        <f>=IF(EKSInUse="Yes","Yes","No")</f>
      </c>
      <c r="D51" s="56" t="s">
        <v>440</v>
      </c>
      <c r="E51" s="56" t="s">
        <v>441</v>
      </c>
      <c r="F51" s="56">
        <f>=IF(AND(C51="Yes",G51="-"), "Yes", "No")</f>
      </c>
      <c r="G51" s="56" t="s">
        <v>13</v>
      </c>
      <c r="H51" s="56" t="s">
        <v>5</v>
      </c>
      <c r="I51" s="56" t="s">
        <v>229</v>
      </c>
      <c r="J51" s="56" t="s">
        <v>226</v>
      </c>
      <c r="K51" s="56" t="s">
        <v>230</v>
      </c>
      <c r="L51" s="56" t="s">
        <v>5</v>
      </c>
      <c r="M51" s="56" t="s">
        <v>5</v>
      </c>
      <c r="N51" s="56" t="s">
        <v>5</v>
      </c>
      <c r="O51" s="56" t="s">
        <v>5</v>
      </c>
      <c r="P51" s="56" t="s">
        <v>5</v>
      </c>
      <c r="Q51" s="56" t="s">
        <v>5</v>
      </c>
      <c r="R51" s="56" t="s">
        <v>5</v>
      </c>
      <c r="S51" s="56" t="s">
        <v>5</v>
      </c>
      <c r="T51" s="56" t="s">
        <v>5</v>
      </c>
      <c r="U51" s="56" t="s">
        <v>5</v>
      </c>
      <c r="V51" s="56">
        <f>=IF(AND(C51="Yes",G51="-"), 1, 0)</f>
      </c>
      <c r="W51" s="56">
        <f>=IF(AND(C51="Yes",G51="Yes"), 1, 0)</f>
      </c>
      <c r="X51" s="56">
        <f>=IF(AND(C51="Yes",G51="No; explanation in comments"), 1, 0)</f>
      </c>
      <c r="Y51" s="56">
        <f>=IF(AND(C51="Yes",K51="Not Assessed Yet"), 1, 0)</f>
      </c>
      <c r="Z51" s="56">
        <f>=IF(AND(C51="Yes",AND(G51&lt;&gt;"-",K51="Mitigated")), 1, 0)</f>
      </c>
      <c r="AA51" s="56">
        <f>=IF(AND(C51="Yes",AND(G51&lt;&gt;"-",K51="Not Mitigated")), 1, 0)</f>
      </c>
    </row>
    <row r="52" ht="50" customHeight="1" spans="1:27" s="53" customFormat="1" x14ac:dyDescent="0.25">
      <c r="A52" s="63" t="s">
        <v>50</v>
      </c>
      <c r="B52" s="64" t="s">
        <v>442</v>
      </c>
      <c r="C52" s="56">
        <f>=IF(EKSInUse="Yes","Yes","No")</f>
      </c>
      <c r="D52" s="56" t="s">
        <v>443</v>
      </c>
      <c r="E52" s="56" t="s">
        <v>444</v>
      </c>
      <c r="F52" s="56">
        <f>=IF(AND(C52="Yes",G52="-"), "Yes", "No")</f>
      </c>
      <c r="G52" s="56" t="s">
        <v>13</v>
      </c>
      <c r="H52" s="56" t="s">
        <v>5</v>
      </c>
      <c r="I52" s="56" t="s">
        <v>229</v>
      </c>
      <c r="J52" s="56" t="s">
        <v>226</v>
      </c>
      <c r="K52" s="56" t="s">
        <v>230</v>
      </c>
      <c r="L52" s="56" t="s">
        <v>5</v>
      </c>
      <c r="M52" s="56" t="s">
        <v>5</v>
      </c>
      <c r="N52" s="56" t="s">
        <v>5</v>
      </c>
      <c r="O52" s="56" t="s">
        <v>5</v>
      </c>
      <c r="P52" s="56" t="s">
        <v>5</v>
      </c>
      <c r="Q52" s="56" t="s">
        <v>5</v>
      </c>
      <c r="R52" s="56" t="s">
        <v>5</v>
      </c>
      <c r="S52" s="56" t="s">
        <v>5</v>
      </c>
      <c r="T52" s="56" t="s">
        <v>5</v>
      </c>
      <c r="U52" s="56" t="s">
        <v>5</v>
      </c>
      <c r="V52" s="56">
        <f>=IF(AND(C52="Yes",G52="-"), 1, 0)</f>
      </c>
      <c r="W52" s="56">
        <f>=IF(AND(C52="Yes",G52="Yes"), 1, 0)</f>
      </c>
      <c r="X52" s="56">
        <f>=IF(AND(C52="Yes",G52="No; explanation in comments"), 1, 0)</f>
      </c>
      <c r="Y52" s="56">
        <f>=IF(AND(C52="Yes",K52="Not Assessed Yet"), 1, 0)</f>
      </c>
      <c r="Z52" s="56">
        <f>=IF(AND(C52="Yes",AND(G52&lt;&gt;"-",K52="Mitigated")), 1, 0)</f>
      </c>
      <c r="AA52" s="56">
        <f>=IF(AND(C52="Yes",AND(G52&lt;&gt;"-",K52="Not Mitigated")), 1, 0)</f>
      </c>
    </row>
    <row r="53" ht="35" customHeight="1" spans="1:27" s="53" customFormat="1" x14ac:dyDescent="0.25">
      <c r="A53" s="61" t="s">
        <v>53</v>
      </c>
      <c r="B53" s="62" t="s">
        <v>445</v>
      </c>
      <c r="C53" s="56">
        <f>=IF(BATCHInUse="Yes","Yes","No")</f>
      </c>
      <c r="D53" s="56" t="s">
        <v>446</v>
      </c>
      <c r="E53" s="56" t="s">
        <v>447</v>
      </c>
      <c r="F53" s="56">
        <f>=IF(AND(C53="Yes",G53="-"), "Yes", "No")</f>
      </c>
      <c r="G53" s="56" t="s">
        <v>13</v>
      </c>
      <c r="H53" s="56" t="s">
        <v>5</v>
      </c>
      <c r="I53" s="56" t="s">
        <v>229</v>
      </c>
      <c r="J53" s="56" t="s">
        <v>226</v>
      </c>
      <c r="K53" s="56" t="s">
        <v>230</v>
      </c>
      <c r="L53" s="56" t="s">
        <v>5</v>
      </c>
      <c r="M53" s="56" t="s">
        <v>5</v>
      </c>
      <c r="N53" s="56" t="s">
        <v>5</v>
      </c>
      <c r="O53" s="56" t="s">
        <v>5</v>
      </c>
      <c r="P53" s="56" t="s">
        <v>5</v>
      </c>
      <c r="Q53" s="56" t="s">
        <v>5</v>
      </c>
      <c r="R53" s="56" t="s">
        <v>5</v>
      </c>
      <c r="S53" s="56" t="s">
        <v>5</v>
      </c>
      <c r="T53" s="56" t="s">
        <v>5</v>
      </c>
      <c r="U53" s="56" t="s">
        <v>5</v>
      </c>
      <c r="V53" s="56">
        <f>=IF(AND(C53="Yes",G53="-"), 1, 0)</f>
      </c>
      <c r="W53" s="56">
        <f>=IF(AND(C53="Yes",G53="Yes"), 1, 0)</f>
      </c>
      <c r="X53" s="56">
        <f>=IF(AND(C53="Yes",G53="No; explanation in comments"), 1, 0)</f>
      </c>
      <c r="Y53" s="56">
        <f>=IF(AND(C53="Yes",K53="Not Assessed Yet"), 1, 0)</f>
      </c>
      <c r="Z53" s="56">
        <f>=IF(AND(C53="Yes",AND(G53&lt;&gt;"-",K53="Mitigated")), 1, 0)</f>
      </c>
      <c r="AA53" s="56">
        <f>=IF(AND(C53="Yes",AND(G53&lt;&gt;"-",K53="Not Mitigated")), 1, 0)</f>
      </c>
    </row>
    <row r="54" ht="50" customHeight="1" spans="1:27" s="53" customFormat="1" x14ac:dyDescent="0.25">
      <c r="A54" s="61" t="s">
        <v>53</v>
      </c>
      <c r="B54" s="62" t="s">
        <v>448</v>
      </c>
      <c r="C54" s="56">
        <f>=IF(BATCHInUse="Yes","Yes","No")</f>
      </c>
      <c r="D54" s="56" t="s">
        <v>449</v>
      </c>
      <c r="E54" s="56" t="s">
        <v>450</v>
      </c>
      <c r="F54" s="56">
        <f>=IF(AND(C54="Yes",G54="-"), "Yes", "No")</f>
      </c>
      <c r="G54" s="56" t="s">
        <v>13</v>
      </c>
      <c r="H54" s="56" t="s">
        <v>5</v>
      </c>
      <c r="I54" s="56" t="s">
        <v>229</v>
      </c>
      <c r="J54" s="56" t="s">
        <v>226</v>
      </c>
      <c r="K54" s="56" t="s">
        <v>230</v>
      </c>
      <c r="L54" s="56" t="s">
        <v>5</v>
      </c>
      <c r="M54" s="56" t="s">
        <v>5</v>
      </c>
      <c r="N54" s="56" t="s">
        <v>5</v>
      </c>
      <c r="O54" s="56" t="s">
        <v>5</v>
      </c>
      <c r="P54" s="56" t="s">
        <v>5</v>
      </c>
      <c r="Q54" s="56" t="s">
        <v>5</v>
      </c>
      <c r="R54" s="56" t="s">
        <v>5</v>
      </c>
      <c r="S54" s="56" t="s">
        <v>5</v>
      </c>
      <c r="T54" s="56" t="s">
        <v>5</v>
      </c>
      <c r="U54" s="56" t="s">
        <v>5</v>
      </c>
      <c r="V54" s="56">
        <f>=IF(AND(C54="Yes",G54="-"), 1, 0)</f>
      </c>
      <c r="W54" s="56">
        <f>=IF(AND(C54="Yes",G54="Yes"), 1, 0)</f>
      </c>
      <c r="X54" s="56">
        <f>=IF(AND(C54="Yes",G54="No; explanation in comments"), 1, 0)</f>
      </c>
      <c r="Y54" s="56">
        <f>=IF(AND(C54="Yes",K54="Not Assessed Yet"), 1, 0)</f>
      </c>
      <c r="Z54" s="56">
        <f>=IF(AND(C54="Yes",AND(G54&lt;&gt;"-",K54="Mitigated")), 1, 0)</f>
      </c>
      <c r="AA54" s="56">
        <f>=IF(AND(C54="Yes",AND(G54&lt;&gt;"-",K54="Not Mitigated")), 1, 0)</f>
      </c>
    </row>
    <row r="55" ht="20" customHeight="1" spans="1:27" s="53" customFormat="1" x14ac:dyDescent="0.25">
      <c r="A55" s="63" t="s">
        <v>56</v>
      </c>
      <c r="B55" s="64" t="s">
        <v>451</v>
      </c>
      <c r="C55" s="56">
        <f>=IF(ELASTIC_BEANSTALKInUse="Yes","Yes","No")</f>
      </c>
      <c r="D55" s="56" t="s">
        <v>452</v>
      </c>
      <c r="E55" s="56" t="s">
        <v>453</v>
      </c>
      <c r="F55" s="56">
        <f>=IF(AND(C55="Yes",G55="-"), "Yes", "No")</f>
      </c>
      <c r="G55" s="56" t="s">
        <v>13</v>
      </c>
      <c r="H55" s="56" t="s">
        <v>5</v>
      </c>
      <c r="I55" s="56" t="s">
        <v>229</v>
      </c>
      <c r="J55" s="56" t="s">
        <v>226</v>
      </c>
      <c r="K55" s="56" t="s">
        <v>230</v>
      </c>
      <c r="L55" s="56" t="s">
        <v>5</v>
      </c>
      <c r="M55" s="56" t="s">
        <v>5</v>
      </c>
      <c r="N55" s="56" t="s">
        <v>5</v>
      </c>
      <c r="O55" s="56" t="s">
        <v>5</v>
      </c>
      <c r="P55" s="56" t="s">
        <v>5</v>
      </c>
      <c r="Q55" s="56" t="s">
        <v>5</v>
      </c>
      <c r="R55" s="56" t="s">
        <v>5</v>
      </c>
      <c r="S55" s="56" t="s">
        <v>5</v>
      </c>
      <c r="T55" s="56" t="s">
        <v>5</v>
      </c>
      <c r="U55" s="56" t="s">
        <v>5</v>
      </c>
      <c r="V55" s="56">
        <f>=IF(AND(C55="Yes",G55="-"), 1, 0)</f>
      </c>
      <c r="W55" s="56">
        <f>=IF(AND(C55="Yes",G55="Yes"), 1, 0)</f>
      </c>
      <c r="X55" s="56">
        <f>=IF(AND(C55="Yes",G55="No; explanation in comments"), 1, 0)</f>
      </c>
      <c r="Y55" s="56">
        <f>=IF(AND(C55="Yes",K55="Not Assessed Yet"), 1, 0)</f>
      </c>
      <c r="Z55" s="56">
        <f>=IF(AND(C55="Yes",AND(G55&lt;&gt;"-",K55="Mitigated")), 1, 0)</f>
      </c>
      <c r="AA55" s="56">
        <f>=IF(AND(C55="Yes",AND(G55&lt;&gt;"-",K55="Not Mitigated")), 1, 0)</f>
      </c>
    </row>
    <row r="56" ht="65" customHeight="1" spans="1:27" s="53" customFormat="1" x14ac:dyDescent="0.25">
      <c r="A56" s="63" t="s">
        <v>56</v>
      </c>
      <c r="B56" s="64" t="s">
        <v>454</v>
      </c>
      <c r="C56" s="56">
        <f>=IF(ELASTIC_BEANSTALKInUse="Yes","Yes","No")</f>
      </c>
      <c r="D56" s="56" t="s">
        <v>455</v>
      </c>
      <c r="E56" s="56" t="s">
        <v>456</v>
      </c>
      <c r="F56" s="56">
        <f>=IF(AND(C56="Yes",G56="-"), "Yes", "No")</f>
      </c>
      <c r="G56" s="56" t="s">
        <v>13</v>
      </c>
      <c r="H56" s="56" t="s">
        <v>5</v>
      </c>
      <c r="I56" s="56" t="s">
        <v>229</v>
      </c>
      <c r="J56" s="56" t="s">
        <v>226</v>
      </c>
      <c r="K56" s="56" t="s">
        <v>230</v>
      </c>
      <c r="L56" s="56" t="s">
        <v>5</v>
      </c>
      <c r="M56" s="56" t="s">
        <v>5</v>
      </c>
      <c r="N56" s="56" t="s">
        <v>5</v>
      </c>
      <c r="O56" s="56" t="s">
        <v>5</v>
      </c>
      <c r="P56" s="56" t="s">
        <v>5</v>
      </c>
      <c r="Q56" s="56" t="s">
        <v>5</v>
      </c>
      <c r="R56" s="56" t="s">
        <v>5</v>
      </c>
      <c r="S56" s="56" t="s">
        <v>5</v>
      </c>
      <c r="T56" s="56" t="s">
        <v>5</v>
      </c>
      <c r="U56" s="56" t="s">
        <v>5</v>
      </c>
      <c r="V56" s="56">
        <f>=IF(AND(C56="Yes",G56="-"), 1, 0)</f>
      </c>
      <c r="W56" s="56">
        <f>=IF(AND(C56="Yes",G56="Yes"), 1, 0)</f>
      </c>
      <c r="X56" s="56">
        <f>=IF(AND(C56="Yes",G56="No; explanation in comments"), 1, 0)</f>
      </c>
      <c r="Y56" s="56">
        <f>=IF(AND(C56="Yes",K56="Not Assessed Yet"), 1, 0)</f>
      </c>
      <c r="Z56" s="56">
        <f>=IF(AND(C56="Yes",AND(G56&lt;&gt;"-",K56="Mitigated")), 1, 0)</f>
      </c>
      <c r="AA56" s="56">
        <f>=IF(AND(C56="Yes",AND(G56&lt;&gt;"-",K56="Not Mitigated")), 1, 0)</f>
      </c>
    </row>
    <row r="57" ht="50" customHeight="1" spans="1:27" s="53" customFormat="1" x14ac:dyDescent="0.25">
      <c r="A57" s="63" t="s">
        <v>56</v>
      </c>
      <c r="B57" s="64" t="s">
        <v>457</v>
      </c>
      <c r="C57" s="56">
        <f>=IF(ELASTIC_BEANSTALKInUse="Yes","Yes","No")</f>
      </c>
      <c r="D57" s="56" t="s">
        <v>458</v>
      </c>
      <c r="E57" s="56" t="s">
        <v>459</v>
      </c>
      <c r="F57" s="56">
        <f>=IF(AND(C57="Yes",G57="-"), "Yes", "No")</f>
      </c>
      <c r="G57" s="56" t="s">
        <v>13</v>
      </c>
      <c r="H57" s="56" t="s">
        <v>5</v>
      </c>
      <c r="I57" s="56" t="s">
        <v>229</v>
      </c>
      <c r="J57" s="56" t="s">
        <v>226</v>
      </c>
      <c r="K57" s="56" t="s">
        <v>230</v>
      </c>
      <c r="L57" s="56" t="s">
        <v>5</v>
      </c>
      <c r="M57" s="56" t="s">
        <v>5</v>
      </c>
      <c r="N57" s="56" t="s">
        <v>5</v>
      </c>
      <c r="O57" s="56" t="s">
        <v>5</v>
      </c>
      <c r="P57" s="56" t="s">
        <v>5</v>
      </c>
      <c r="Q57" s="56" t="s">
        <v>5</v>
      </c>
      <c r="R57" s="56" t="s">
        <v>5</v>
      </c>
      <c r="S57" s="56" t="s">
        <v>5</v>
      </c>
      <c r="T57" s="56" t="s">
        <v>5</v>
      </c>
      <c r="U57" s="56" t="s">
        <v>5</v>
      </c>
      <c r="V57" s="56">
        <f>=IF(AND(C57="Yes",G57="-"), 1, 0)</f>
      </c>
      <c r="W57" s="56">
        <f>=IF(AND(C57="Yes",G57="Yes"), 1, 0)</f>
      </c>
      <c r="X57" s="56">
        <f>=IF(AND(C57="Yes",G57="No; explanation in comments"), 1, 0)</f>
      </c>
      <c r="Y57" s="56">
        <f>=IF(AND(C57="Yes",K57="Not Assessed Yet"), 1, 0)</f>
      </c>
      <c r="Z57" s="56">
        <f>=IF(AND(C57="Yes",AND(G57&lt;&gt;"-",K57="Mitigated")), 1, 0)</f>
      </c>
      <c r="AA57" s="56">
        <f>=IF(AND(C57="Yes",AND(G57&lt;&gt;"-",K57="Not Mitigated")), 1, 0)</f>
      </c>
    </row>
    <row r="58" ht="50" customHeight="1" spans="1:27" s="53" customFormat="1" x14ac:dyDescent="0.25">
      <c r="A58" s="63" t="s">
        <v>56</v>
      </c>
      <c r="B58" s="64" t="s">
        <v>460</v>
      </c>
      <c r="C58" s="56">
        <f>=IF(ELASTIC_BEANSTALKInUse="Yes","Yes","No")</f>
      </c>
      <c r="D58" s="56" t="s">
        <v>461</v>
      </c>
      <c r="E58" s="56" t="s">
        <v>462</v>
      </c>
      <c r="F58" s="56">
        <f>=IF(AND(C58="Yes",G58="-"), "Yes", "No")</f>
      </c>
      <c r="G58" s="56" t="s">
        <v>13</v>
      </c>
      <c r="H58" s="56" t="s">
        <v>5</v>
      </c>
      <c r="I58" s="56" t="s">
        <v>242</v>
      </c>
      <c r="J58" s="56" t="s">
        <v>32</v>
      </c>
      <c r="K58" s="56" t="s">
        <v>230</v>
      </c>
      <c r="L58" s="56" t="s">
        <v>5</v>
      </c>
      <c r="M58" s="56" t="s">
        <v>5</v>
      </c>
      <c r="N58" s="56" t="s">
        <v>5</v>
      </c>
      <c r="O58" s="56" t="s">
        <v>5</v>
      </c>
      <c r="P58" s="56" t="s">
        <v>5</v>
      </c>
      <c r="Q58" s="56" t="s">
        <v>5</v>
      </c>
      <c r="R58" s="56" t="s">
        <v>5</v>
      </c>
      <c r="S58" s="56" t="s">
        <v>5</v>
      </c>
      <c r="T58" s="56" t="s">
        <v>5</v>
      </c>
      <c r="U58" s="56" t="s">
        <v>5</v>
      </c>
      <c r="V58" s="56">
        <f>=IF(AND(C58="Yes",G58="-"), 1, 0)</f>
      </c>
      <c r="W58" s="56">
        <f>=IF(AND(C58="Yes",G58="Yes"), 1, 0)</f>
      </c>
      <c r="X58" s="56">
        <f>=IF(AND(C58="Yes",G58="No; explanation in comments"), 1, 0)</f>
      </c>
      <c r="Y58" s="56">
        <f>=IF(AND(C58="Yes",K58="Not Assessed Yet"), 1, 0)</f>
      </c>
      <c r="Z58" s="56">
        <f>=IF(AND(C58="Yes",AND(G58&lt;&gt;"-",K58="Mitigated")), 1, 0)</f>
      </c>
      <c r="AA58" s="56">
        <f>=IF(AND(C58="Yes",AND(G58&lt;&gt;"-",K58="Not Mitigated")), 1, 0)</f>
      </c>
    </row>
    <row r="59" ht="50" customHeight="1" spans="1:27" s="53" customFormat="1" x14ac:dyDescent="0.25">
      <c r="A59" s="61" t="s">
        <v>59</v>
      </c>
      <c r="B59" s="62" t="s">
        <v>463</v>
      </c>
      <c r="C59" s="56">
        <f>=IF(ELASTIC_LOAD_BALANCINGInUse="Yes","Yes","No")</f>
      </c>
      <c r="D59" s="56" t="s">
        <v>464</v>
      </c>
      <c r="E59" s="56" t="s">
        <v>465</v>
      </c>
      <c r="F59" s="56">
        <f>=IF(AND(C59="Yes",G59="-"), "Yes", "No")</f>
      </c>
      <c r="G59" s="56" t="s">
        <v>13</v>
      </c>
      <c r="H59" s="56" t="s">
        <v>5</v>
      </c>
      <c r="I59" s="56" t="s">
        <v>242</v>
      </c>
      <c r="J59" s="56" t="s">
        <v>32</v>
      </c>
      <c r="K59" s="56" t="s">
        <v>230</v>
      </c>
      <c r="L59" s="56" t="s">
        <v>5</v>
      </c>
      <c r="M59" s="56" t="s">
        <v>5</v>
      </c>
      <c r="N59" s="56" t="s">
        <v>5</v>
      </c>
      <c r="O59" s="56" t="s">
        <v>5</v>
      </c>
      <c r="P59" s="56" t="s">
        <v>5</v>
      </c>
      <c r="Q59" s="56" t="s">
        <v>5</v>
      </c>
      <c r="R59" s="56" t="s">
        <v>5</v>
      </c>
      <c r="S59" s="56" t="s">
        <v>5</v>
      </c>
      <c r="T59" s="56" t="s">
        <v>5</v>
      </c>
      <c r="U59" s="56" t="s">
        <v>5</v>
      </c>
      <c r="V59" s="56">
        <f>=IF(AND(C59="Yes",G59="-"), 1, 0)</f>
      </c>
      <c r="W59" s="56">
        <f>=IF(AND(C59="Yes",G59="Yes"), 1, 0)</f>
      </c>
      <c r="X59" s="56">
        <f>=IF(AND(C59="Yes",G59="No; explanation in comments"), 1, 0)</f>
      </c>
      <c r="Y59" s="56">
        <f>=IF(AND(C59="Yes",K59="Not Assessed Yet"), 1, 0)</f>
      </c>
      <c r="Z59" s="56">
        <f>=IF(AND(C59="Yes",AND(G59&lt;&gt;"-",K59="Mitigated")), 1, 0)</f>
      </c>
      <c r="AA59" s="56">
        <f>=IF(AND(C59="Yes",AND(G59&lt;&gt;"-",K59="Not Mitigated")), 1, 0)</f>
      </c>
    </row>
    <row r="60" ht="35" customHeight="1" spans="1:27" s="53" customFormat="1" x14ac:dyDescent="0.25">
      <c r="A60" s="61" t="s">
        <v>59</v>
      </c>
      <c r="B60" s="62" t="s">
        <v>466</v>
      </c>
      <c r="C60" s="56">
        <f>=IF(ELASTIC_LOAD_BALANCINGInUse="Yes","Yes","No")</f>
      </c>
      <c r="D60" s="56" t="s">
        <v>467</v>
      </c>
      <c r="E60" s="56" t="s">
        <v>468</v>
      </c>
      <c r="F60" s="56">
        <f>=IF(AND(C60="Yes",G60="-"), "Yes", "No")</f>
      </c>
      <c r="G60" s="56" t="s">
        <v>13</v>
      </c>
      <c r="H60" s="56" t="s">
        <v>5</v>
      </c>
      <c r="I60" s="56" t="s">
        <v>229</v>
      </c>
      <c r="J60" s="56" t="s">
        <v>226</v>
      </c>
      <c r="K60" s="56" t="s">
        <v>230</v>
      </c>
      <c r="L60" s="56" t="s">
        <v>5</v>
      </c>
      <c r="M60" s="56" t="s">
        <v>5</v>
      </c>
      <c r="N60" s="56" t="s">
        <v>5</v>
      </c>
      <c r="O60" s="56" t="s">
        <v>5</v>
      </c>
      <c r="P60" s="56" t="s">
        <v>5</v>
      </c>
      <c r="Q60" s="56" t="s">
        <v>5</v>
      </c>
      <c r="R60" s="56" t="s">
        <v>5</v>
      </c>
      <c r="S60" s="56" t="s">
        <v>5</v>
      </c>
      <c r="T60" s="56" t="s">
        <v>5</v>
      </c>
      <c r="U60" s="56" t="s">
        <v>5</v>
      </c>
      <c r="V60" s="56">
        <f>=IF(AND(C60="Yes",G60="-"), 1, 0)</f>
      </c>
      <c r="W60" s="56">
        <f>=IF(AND(C60="Yes",G60="Yes"), 1, 0)</f>
      </c>
      <c r="X60" s="56">
        <f>=IF(AND(C60="Yes",G60="No; explanation in comments"), 1, 0)</f>
      </c>
      <c r="Y60" s="56">
        <f>=IF(AND(C60="Yes",K60="Not Assessed Yet"), 1, 0)</f>
      </c>
      <c r="Z60" s="56">
        <f>=IF(AND(C60="Yes",AND(G60&lt;&gt;"-",K60="Mitigated")), 1, 0)</f>
      </c>
      <c r="AA60" s="56">
        <f>=IF(AND(C60="Yes",AND(G60&lt;&gt;"-",K60="Not Mitigated")), 1, 0)</f>
      </c>
    </row>
    <row r="61" ht="65" customHeight="1" spans="1:27" s="53" customFormat="1" x14ac:dyDescent="0.25">
      <c r="A61" s="61" t="s">
        <v>59</v>
      </c>
      <c r="B61" s="62" t="s">
        <v>469</v>
      </c>
      <c r="C61" s="56">
        <f>=IF(ELASTIC_LOAD_BALANCINGInUse="Yes","Yes","No")</f>
      </c>
      <c r="D61" s="56" t="s">
        <v>470</v>
      </c>
      <c r="E61" s="56" t="s">
        <v>471</v>
      </c>
      <c r="F61" s="56">
        <f>=IF(AND(C61="Yes",G61="-"), "Yes", "No")</f>
      </c>
      <c r="G61" s="56" t="s">
        <v>13</v>
      </c>
      <c r="H61" s="56" t="s">
        <v>5</v>
      </c>
      <c r="I61" s="56" t="s">
        <v>242</v>
      </c>
      <c r="J61" s="56" t="s">
        <v>32</v>
      </c>
      <c r="K61" s="56" t="s">
        <v>230</v>
      </c>
      <c r="L61" s="56" t="s">
        <v>5</v>
      </c>
      <c r="M61" s="56" t="s">
        <v>5</v>
      </c>
      <c r="N61" s="56" t="s">
        <v>5</v>
      </c>
      <c r="O61" s="56" t="s">
        <v>5</v>
      </c>
      <c r="P61" s="56" t="s">
        <v>5</v>
      </c>
      <c r="Q61" s="56" t="s">
        <v>5</v>
      </c>
      <c r="R61" s="56" t="s">
        <v>5</v>
      </c>
      <c r="S61" s="56" t="s">
        <v>5</v>
      </c>
      <c r="T61" s="56" t="s">
        <v>5</v>
      </c>
      <c r="U61" s="56" t="s">
        <v>5</v>
      </c>
      <c r="V61" s="56">
        <f>=IF(AND(C61="Yes",G61="-"), 1, 0)</f>
      </c>
      <c r="W61" s="56">
        <f>=IF(AND(C61="Yes",G61="Yes"), 1, 0)</f>
      </c>
      <c r="X61" s="56">
        <f>=IF(AND(C61="Yes",G61="No; explanation in comments"), 1, 0)</f>
      </c>
      <c r="Y61" s="56">
        <f>=IF(AND(C61="Yes",K61="Not Assessed Yet"), 1, 0)</f>
      </c>
      <c r="Z61" s="56">
        <f>=IF(AND(C61="Yes",AND(G61&lt;&gt;"-",K61="Mitigated")), 1, 0)</f>
      </c>
      <c r="AA61" s="56">
        <f>=IF(AND(C61="Yes",AND(G61&lt;&gt;"-",K61="Not Mitigated")), 1, 0)</f>
      </c>
    </row>
    <row r="62" ht="65" customHeight="1" spans="1:27" s="53" customFormat="1" x14ac:dyDescent="0.25">
      <c r="A62" s="61" t="s">
        <v>59</v>
      </c>
      <c r="B62" s="62" t="s">
        <v>472</v>
      </c>
      <c r="C62" s="56">
        <f>=IF(ELASTIC_LOAD_BALANCINGInUse="Yes","Yes","No")</f>
      </c>
      <c r="D62" s="56" t="s">
        <v>473</v>
      </c>
      <c r="E62" s="56" t="s">
        <v>474</v>
      </c>
      <c r="F62" s="56">
        <f>=IF(AND(C62="Yes",G62="-"), "Yes", "No")</f>
      </c>
      <c r="G62" s="56" t="s">
        <v>13</v>
      </c>
      <c r="H62" s="56" t="s">
        <v>5</v>
      </c>
      <c r="I62" s="56" t="s">
        <v>242</v>
      </c>
      <c r="J62" s="56" t="s">
        <v>32</v>
      </c>
      <c r="K62" s="56" t="s">
        <v>230</v>
      </c>
      <c r="L62" s="56" t="s">
        <v>5</v>
      </c>
      <c r="M62" s="56" t="s">
        <v>5</v>
      </c>
      <c r="N62" s="56" t="s">
        <v>5</v>
      </c>
      <c r="O62" s="56" t="s">
        <v>5</v>
      </c>
      <c r="P62" s="56" t="s">
        <v>5</v>
      </c>
      <c r="Q62" s="56" t="s">
        <v>5</v>
      </c>
      <c r="R62" s="56" t="s">
        <v>5</v>
      </c>
      <c r="S62" s="56" t="s">
        <v>5</v>
      </c>
      <c r="T62" s="56" t="s">
        <v>5</v>
      </c>
      <c r="U62" s="56" t="s">
        <v>5</v>
      </c>
      <c r="V62" s="56">
        <f>=IF(AND(C62="Yes",G62="-"), 1, 0)</f>
      </c>
      <c r="W62" s="56">
        <f>=IF(AND(C62="Yes",G62="Yes"), 1, 0)</f>
      </c>
      <c r="X62" s="56">
        <f>=IF(AND(C62="Yes",G62="No; explanation in comments"), 1, 0)</f>
      </c>
      <c r="Y62" s="56">
        <f>=IF(AND(C62="Yes",K62="Not Assessed Yet"), 1, 0)</f>
      </c>
      <c r="Z62" s="56">
        <f>=IF(AND(C62="Yes",AND(G62&lt;&gt;"-",K62="Mitigated")), 1, 0)</f>
      </c>
      <c r="AA62" s="56">
        <f>=IF(AND(C62="Yes",AND(G62&lt;&gt;"-",K62="Not Mitigated")), 1, 0)</f>
      </c>
    </row>
    <row r="63" ht="80" customHeight="1" spans="1:27" s="53" customFormat="1" x14ac:dyDescent="0.25">
      <c r="A63" s="61" t="s">
        <v>59</v>
      </c>
      <c r="B63" s="62" t="s">
        <v>475</v>
      </c>
      <c r="C63" s="56">
        <f>=IF(ELASTIC_LOAD_BALANCINGInUse="Yes","Yes","No")</f>
      </c>
      <c r="D63" s="56" t="s">
        <v>476</v>
      </c>
      <c r="E63" s="56" t="s">
        <v>477</v>
      </c>
      <c r="F63" s="56">
        <f>=IF(AND(C63="Yes",G63="-"), "Yes", "No")</f>
      </c>
      <c r="G63" s="56" t="s">
        <v>13</v>
      </c>
      <c r="H63" s="56" t="s">
        <v>5</v>
      </c>
      <c r="I63" s="56" t="s">
        <v>229</v>
      </c>
      <c r="J63" s="56" t="s">
        <v>226</v>
      </c>
      <c r="K63" s="56" t="s">
        <v>230</v>
      </c>
      <c r="L63" s="56" t="s">
        <v>5</v>
      </c>
      <c r="M63" s="56" t="s">
        <v>5</v>
      </c>
      <c r="N63" s="56" t="s">
        <v>5</v>
      </c>
      <c r="O63" s="56" t="s">
        <v>5</v>
      </c>
      <c r="P63" s="56" t="s">
        <v>5</v>
      </c>
      <c r="Q63" s="56" t="s">
        <v>5</v>
      </c>
      <c r="R63" s="56" t="s">
        <v>5</v>
      </c>
      <c r="S63" s="56" t="s">
        <v>5</v>
      </c>
      <c r="T63" s="56" t="s">
        <v>5</v>
      </c>
      <c r="U63" s="56" t="s">
        <v>5</v>
      </c>
      <c r="V63" s="56">
        <f>=IF(AND(C63="Yes",G63="-"), 1, 0)</f>
      </c>
      <c r="W63" s="56">
        <f>=IF(AND(C63="Yes",G63="Yes"), 1, 0)</f>
      </c>
      <c r="X63" s="56">
        <f>=IF(AND(C63="Yes",G63="No; explanation in comments"), 1, 0)</f>
      </c>
      <c r="Y63" s="56">
        <f>=IF(AND(C63="Yes",K63="Not Assessed Yet"), 1, 0)</f>
      </c>
      <c r="Z63" s="56">
        <f>=IF(AND(C63="Yes",AND(G63&lt;&gt;"-",K63="Mitigated")), 1, 0)</f>
      </c>
      <c r="AA63" s="56">
        <f>=IF(AND(C63="Yes",AND(G63&lt;&gt;"-",K63="Not Mitigated")), 1, 0)</f>
      </c>
    </row>
    <row r="64" ht="35" customHeight="1" spans="1:27" s="53" customFormat="1" x14ac:dyDescent="0.25">
      <c r="A64" s="61" t="s">
        <v>59</v>
      </c>
      <c r="B64" s="62" t="s">
        <v>478</v>
      </c>
      <c r="C64" s="56">
        <f>=IF(ELASTIC_LOAD_BALANCINGInUse="Yes","Yes","No")</f>
      </c>
      <c r="D64" s="56" t="s">
        <v>479</v>
      </c>
      <c r="E64" s="56" t="s">
        <v>480</v>
      </c>
      <c r="F64" s="56">
        <f>=IF(AND(C64="Yes",G64="-"), "Yes", "No")</f>
      </c>
      <c r="G64" s="56" t="s">
        <v>13</v>
      </c>
      <c r="H64" s="56" t="s">
        <v>5</v>
      </c>
      <c r="I64" s="56" t="s">
        <v>229</v>
      </c>
      <c r="J64" s="56" t="s">
        <v>226</v>
      </c>
      <c r="K64" s="56" t="s">
        <v>230</v>
      </c>
      <c r="L64" s="56" t="s">
        <v>5</v>
      </c>
      <c r="M64" s="56" t="s">
        <v>5</v>
      </c>
      <c r="N64" s="56" t="s">
        <v>5</v>
      </c>
      <c r="O64" s="56" t="s">
        <v>5</v>
      </c>
      <c r="P64" s="56" t="s">
        <v>5</v>
      </c>
      <c r="Q64" s="56" t="s">
        <v>5</v>
      </c>
      <c r="R64" s="56" t="s">
        <v>5</v>
      </c>
      <c r="S64" s="56" t="s">
        <v>5</v>
      </c>
      <c r="T64" s="56" t="s">
        <v>5</v>
      </c>
      <c r="U64" s="56" t="s">
        <v>5</v>
      </c>
      <c r="V64" s="56">
        <f>=IF(AND(C64="Yes",G64="-"), 1, 0)</f>
      </c>
      <c r="W64" s="56">
        <f>=IF(AND(C64="Yes",G64="Yes"), 1, 0)</f>
      </c>
      <c r="X64" s="56">
        <f>=IF(AND(C64="Yes",G64="No; explanation in comments"), 1, 0)</f>
      </c>
      <c r="Y64" s="56">
        <f>=IF(AND(C64="Yes",K64="Not Assessed Yet"), 1, 0)</f>
      </c>
      <c r="Z64" s="56">
        <f>=IF(AND(C64="Yes",AND(G64&lt;&gt;"-",K64="Mitigated")), 1, 0)</f>
      </c>
      <c r="AA64" s="56">
        <f>=IF(AND(C64="Yes",AND(G64&lt;&gt;"-",K64="Not Mitigated")), 1, 0)</f>
      </c>
    </row>
    <row r="65" ht="35" customHeight="1" spans="1:27" s="53" customFormat="1" x14ac:dyDescent="0.25">
      <c r="A65" s="63" t="s">
        <v>61</v>
      </c>
      <c r="B65" s="64" t="s">
        <v>481</v>
      </c>
      <c r="C65" s="56">
        <f>=IF(APP_STREAM_2_0InUse="Yes","Yes","No")</f>
      </c>
      <c r="D65" s="56" t="s">
        <v>482</v>
      </c>
      <c r="E65" s="56" t="s">
        <v>483</v>
      </c>
      <c r="F65" s="56">
        <f>=IF(AND(C65="Yes",G65="-"), "Yes", "No")</f>
      </c>
      <c r="G65" s="56" t="s">
        <v>13</v>
      </c>
      <c r="H65" s="56" t="s">
        <v>5</v>
      </c>
      <c r="I65" s="56" t="s">
        <v>229</v>
      </c>
      <c r="J65" s="56" t="s">
        <v>226</v>
      </c>
      <c r="K65" s="56" t="s">
        <v>230</v>
      </c>
      <c r="L65" s="56" t="s">
        <v>5</v>
      </c>
      <c r="M65" s="56" t="s">
        <v>5</v>
      </c>
      <c r="N65" s="56" t="s">
        <v>5</v>
      </c>
      <c r="O65" s="56" t="s">
        <v>5</v>
      </c>
      <c r="P65" s="56" t="s">
        <v>5</v>
      </c>
      <c r="Q65" s="56" t="s">
        <v>5</v>
      </c>
      <c r="R65" s="56" t="s">
        <v>5</v>
      </c>
      <c r="S65" s="56" t="s">
        <v>5</v>
      </c>
      <c r="T65" s="56" t="s">
        <v>5</v>
      </c>
      <c r="U65" s="56" t="s">
        <v>5</v>
      </c>
      <c r="V65" s="56">
        <f>=IF(AND(C65="Yes",G65="-"), 1, 0)</f>
      </c>
      <c r="W65" s="56">
        <f>=IF(AND(C65="Yes",G65="Yes"), 1, 0)</f>
      </c>
      <c r="X65" s="56">
        <f>=IF(AND(C65="Yes",G65="No; explanation in comments"), 1, 0)</f>
      </c>
      <c r="Y65" s="56">
        <f>=IF(AND(C65="Yes",K65="Not Assessed Yet"), 1, 0)</f>
      </c>
      <c r="Z65" s="56">
        <f>=IF(AND(C65="Yes",AND(G65&lt;&gt;"-",K65="Mitigated")), 1, 0)</f>
      </c>
      <c r="AA65" s="56">
        <f>=IF(AND(C65="Yes",AND(G65&lt;&gt;"-",K65="Not Mitigated")), 1, 0)</f>
      </c>
    </row>
    <row r="66" ht="35" customHeight="1" spans="1:27" s="53" customFormat="1" x14ac:dyDescent="0.25">
      <c r="A66" s="63" t="s">
        <v>61</v>
      </c>
      <c r="B66" s="64" t="s">
        <v>484</v>
      </c>
      <c r="C66" s="56">
        <f>=IF(APP_STREAM_2_0InUse="Yes","Yes","No")</f>
      </c>
      <c r="D66" s="56" t="s">
        <v>485</v>
      </c>
      <c r="E66" s="56" t="s">
        <v>486</v>
      </c>
      <c r="F66" s="56">
        <f>=IF(AND(C66="Yes",G66="-"), "Yes", "No")</f>
      </c>
      <c r="G66" s="56" t="s">
        <v>13</v>
      </c>
      <c r="H66" s="56" t="s">
        <v>5</v>
      </c>
      <c r="I66" s="56" t="s">
        <v>229</v>
      </c>
      <c r="J66" s="56" t="s">
        <v>226</v>
      </c>
      <c r="K66" s="56" t="s">
        <v>230</v>
      </c>
      <c r="L66" s="56" t="s">
        <v>5</v>
      </c>
      <c r="M66" s="56" t="s">
        <v>5</v>
      </c>
      <c r="N66" s="56" t="s">
        <v>5</v>
      </c>
      <c r="O66" s="56" t="s">
        <v>5</v>
      </c>
      <c r="P66" s="56" t="s">
        <v>5</v>
      </c>
      <c r="Q66" s="56" t="s">
        <v>5</v>
      </c>
      <c r="R66" s="56" t="s">
        <v>5</v>
      </c>
      <c r="S66" s="56" t="s">
        <v>5</v>
      </c>
      <c r="T66" s="56" t="s">
        <v>5</v>
      </c>
      <c r="U66" s="56" t="s">
        <v>5</v>
      </c>
      <c r="V66" s="56">
        <f>=IF(AND(C66="Yes",G66="-"), 1, 0)</f>
      </c>
      <c r="W66" s="56">
        <f>=IF(AND(C66="Yes",G66="Yes"), 1, 0)</f>
      </c>
      <c r="X66" s="56">
        <f>=IF(AND(C66="Yes",G66="No; explanation in comments"), 1, 0)</f>
      </c>
      <c r="Y66" s="56">
        <f>=IF(AND(C66="Yes",K66="Not Assessed Yet"), 1, 0)</f>
      </c>
      <c r="Z66" s="56">
        <f>=IF(AND(C66="Yes",AND(G66&lt;&gt;"-",K66="Mitigated")), 1, 0)</f>
      </c>
      <c r="AA66" s="56">
        <f>=IF(AND(C66="Yes",AND(G66&lt;&gt;"-",K66="Not Mitigated")), 1, 0)</f>
      </c>
    </row>
    <row r="67" ht="35" customHeight="1" spans="1:27" s="53" customFormat="1" x14ac:dyDescent="0.25">
      <c r="A67" s="63" t="s">
        <v>61</v>
      </c>
      <c r="B67" s="64" t="s">
        <v>487</v>
      </c>
      <c r="C67" s="56">
        <f>=IF(APP_STREAM_2_0InUse="Yes","Yes","No")</f>
      </c>
      <c r="D67" s="56" t="s">
        <v>488</v>
      </c>
      <c r="E67" s="56" t="s">
        <v>489</v>
      </c>
      <c r="F67" s="56">
        <f>=IF(AND(C67="Yes",G67="-"), "Yes", "No")</f>
      </c>
      <c r="G67" s="56" t="s">
        <v>13</v>
      </c>
      <c r="H67" s="56" t="s">
        <v>5</v>
      </c>
      <c r="I67" s="56" t="s">
        <v>229</v>
      </c>
      <c r="J67" s="56" t="s">
        <v>226</v>
      </c>
      <c r="K67" s="56" t="s">
        <v>230</v>
      </c>
      <c r="L67" s="56" t="s">
        <v>5</v>
      </c>
      <c r="M67" s="56" t="s">
        <v>5</v>
      </c>
      <c r="N67" s="56" t="s">
        <v>5</v>
      </c>
      <c r="O67" s="56" t="s">
        <v>5</v>
      </c>
      <c r="P67" s="56" t="s">
        <v>5</v>
      </c>
      <c r="Q67" s="56" t="s">
        <v>5</v>
      </c>
      <c r="R67" s="56" t="s">
        <v>5</v>
      </c>
      <c r="S67" s="56" t="s">
        <v>5</v>
      </c>
      <c r="T67" s="56" t="s">
        <v>5</v>
      </c>
      <c r="U67" s="56" t="s">
        <v>5</v>
      </c>
      <c r="V67" s="56">
        <f>=IF(AND(C67="Yes",G67="-"), 1, 0)</f>
      </c>
      <c r="W67" s="56">
        <f>=IF(AND(C67="Yes",G67="Yes"), 1, 0)</f>
      </c>
      <c r="X67" s="56">
        <f>=IF(AND(C67="Yes",G67="No; explanation in comments"), 1, 0)</f>
      </c>
      <c r="Y67" s="56">
        <f>=IF(AND(C67="Yes",K67="Not Assessed Yet"), 1, 0)</f>
      </c>
      <c r="Z67" s="56">
        <f>=IF(AND(C67="Yes",AND(G67&lt;&gt;"-",K67="Mitigated")), 1, 0)</f>
      </c>
      <c r="AA67" s="56">
        <f>=IF(AND(C67="Yes",AND(G67&lt;&gt;"-",K67="Not Mitigated")), 1, 0)</f>
      </c>
    </row>
    <row r="68" ht="50" customHeight="1" spans="1:27" s="53" customFormat="1" x14ac:dyDescent="0.25">
      <c r="A68" s="63" t="s">
        <v>61</v>
      </c>
      <c r="B68" s="64" t="s">
        <v>490</v>
      </c>
      <c r="C68" s="56">
        <f>=IF(APP_STREAM_2_0InUse="Yes","Yes","No")</f>
      </c>
      <c r="D68" s="56" t="s">
        <v>491</v>
      </c>
      <c r="E68" s="56" t="s">
        <v>492</v>
      </c>
      <c r="F68" s="56">
        <f>=IF(AND(C68="Yes",G68="-"), "Yes", "No")</f>
      </c>
      <c r="G68" s="56" t="s">
        <v>13</v>
      </c>
      <c r="H68" s="56" t="s">
        <v>5</v>
      </c>
      <c r="I68" s="56" t="s">
        <v>242</v>
      </c>
      <c r="J68" s="56" t="s">
        <v>32</v>
      </c>
      <c r="K68" s="56" t="s">
        <v>230</v>
      </c>
      <c r="L68" s="56" t="s">
        <v>5</v>
      </c>
      <c r="M68" s="56" t="s">
        <v>5</v>
      </c>
      <c r="N68" s="56" t="s">
        <v>5</v>
      </c>
      <c r="O68" s="56" t="s">
        <v>5</v>
      </c>
      <c r="P68" s="56" t="s">
        <v>5</v>
      </c>
      <c r="Q68" s="56" t="s">
        <v>5</v>
      </c>
      <c r="R68" s="56" t="s">
        <v>5</v>
      </c>
      <c r="S68" s="56" t="s">
        <v>5</v>
      </c>
      <c r="T68" s="56" t="s">
        <v>5</v>
      </c>
      <c r="U68" s="56" t="s">
        <v>5</v>
      </c>
      <c r="V68" s="56">
        <f>=IF(AND(C68="Yes",G68="-"), 1, 0)</f>
      </c>
      <c r="W68" s="56">
        <f>=IF(AND(C68="Yes",G68="Yes"), 1, 0)</f>
      </c>
      <c r="X68" s="56">
        <f>=IF(AND(C68="Yes",G68="No; explanation in comments"), 1, 0)</f>
      </c>
      <c r="Y68" s="56">
        <f>=IF(AND(C68="Yes",K68="Not Assessed Yet"), 1, 0)</f>
      </c>
      <c r="Z68" s="56">
        <f>=IF(AND(C68="Yes",AND(G68&lt;&gt;"-",K68="Mitigated")), 1, 0)</f>
      </c>
      <c r="AA68" s="56">
        <f>=IF(AND(C68="Yes",AND(G68&lt;&gt;"-",K68="Not Mitigated")), 1, 0)</f>
      </c>
    </row>
    <row r="69" ht="35" customHeight="1" spans="1:27" s="53" customFormat="1" x14ac:dyDescent="0.25">
      <c r="A69" s="63" t="s">
        <v>61</v>
      </c>
      <c r="B69" s="64" t="s">
        <v>493</v>
      </c>
      <c r="C69" s="56">
        <f>=IF(APP_STREAM_2_0InUse="Yes","Yes","No")</f>
      </c>
      <c r="D69" s="56" t="s">
        <v>494</v>
      </c>
      <c r="E69" s="56" t="s">
        <v>495</v>
      </c>
      <c r="F69" s="56">
        <f>=IF(AND(C69="Yes",G69="-"), "Yes", "No")</f>
      </c>
      <c r="G69" s="56" t="s">
        <v>13</v>
      </c>
      <c r="H69" s="56" t="s">
        <v>5</v>
      </c>
      <c r="I69" s="56" t="s">
        <v>229</v>
      </c>
      <c r="J69" s="56" t="s">
        <v>226</v>
      </c>
      <c r="K69" s="56" t="s">
        <v>230</v>
      </c>
      <c r="L69" s="56" t="s">
        <v>5</v>
      </c>
      <c r="M69" s="56" t="s">
        <v>5</v>
      </c>
      <c r="N69" s="56" t="s">
        <v>5</v>
      </c>
      <c r="O69" s="56" t="s">
        <v>5</v>
      </c>
      <c r="P69" s="56" t="s">
        <v>5</v>
      </c>
      <c r="Q69" s="56" t="s">
        <v>5</v>
      </c>
      <c r="R69" s="56" t="s">
        <v>5</v>
      </c>
      <c r="S69" s="56" t="s">
        <v>5</v>
      </c>
      <c r="T69" s="56" t="s">
        <v>5</v>
      </c>
      <c r="U69" s="56" t="s">
        <v>5</v>
      </c>
      <c r="V69" s="56">
        <f>=IF(AND(C69="Yes",G69="-"), 1, 0)</f>
      </c>
      <c r="W69" s="56">
        <f>=IF(AND(C69="Yes",G69="Yes"), 1, 0)</f>
      </c>
      <c r="X69" s="56">
        <f>=IF(AND(C69="Yes",G69="No; explanation in comments"), 1, 0)</f>
      </c>
      <c r="Y69" s="56">
        <f>=IF(AND(C69="Yes",K69="Not Assessed Yet"), 1, 0)</f>
      </c>
      <c r="Z69" s="56">
        <f>=IF(AND(C69="Yes",AND(G69&lt;&gt;"-",K69="Mitigated")), 1, 0)</f>
      </c>
      <c r="AA69" s="56">
        <f>=IF(AND(C69="Yes",AND(G69&lt;&gt;"-",K69="Not Mitigated")), 1, 0)</f>
      </c>
    </row>
    <row r="70" ht="35" customHeight="1" spans="1:27" s="53" customFormat="1" x14ac:dyDescent="0.25">
      <c r="A70" s="63" t="s">
        <v>61</v>
      </c>
      <c r="B70" s="64" t="s">
        <v>496</v>
      </c>
      <c r="C70" s="56">
        <f>=IF(APP_STREAM_2_0InUse="Yes","Yes","No")</f>
      </c>
      <c r="D70" s="56" t="s">
        <v>497</v>
      </c>
      <c r="E70" s="56" t="s">
        <v>498</v>
      </c>
      <c r="F70" s="56">
        <f>=IF(AND(C70="Yes",G70="-"), "Yes", "No")</f>
      </c>
      <c r="G70" s="56" t="s">
        <v>13</v>
      </c>
      <c r="H70" s="56" t="s">
        <v>5</v>
      </c>
      <c r="I70" s="56" t="s">
        <v>229</v>
      </c>
      <c r="J70" s="56" t="s">
        <v>226</v>
      </c>
      <c r="K70" s="56" t="s">
        <v>230</v>
      </c>
      <c r="L70" s="56" t="s">
        <v>5</v>
      </c>
      <c r="M70" s="56" t="s">
        <v>5</v>
      </c>
      <c r="N70" s="56" t="s">
        <v>5</v>
      </c>
      <c r="O70" s="56" t="s">
        <v>5</v>
      </c>
      <c r="P70" s="56" t="s">
        <v>5</v>
      </c>
      <c r="Q70" s="56" t="s">
        <v>5</v>
      </c>
      <c r="R70" s="56" t="s">
        <v>5</v>
      </c>
      <c r="S70" s="56" t="s">
        <v>5</v>
      </c>
      <c r="T70" s="56" t="s">
        <v>5</v>
      </c>
      <c r="U70" s="56" t="s">
        <v>5</v>
      </c>
      <c r="V70" s="56">
        <f>=IF(AND(C70="Yes",G70="-"), 1, 0)</f>
      </c>
      <c r="W70" s="56">
        <f>=IF(AND(C70="Yes",G70="Yes"), 1, 0)</f>
      </c>
      <c r="X70" s="56">
        <f>=IF(AND(C70="Yes",G70="No; explanation in comments"), 1, 0)</f>
      </c>
      <c r="Y70" s="56">
        <f>=IF(AND(C70="Yes",K70="Not Assessed Yet"), 1, 0)</f>
      </c>
      <c r="Z70" s="56">
        <f>=IF(AND(C70="Yes",AND(G70&lt;&gt;"-",K70="Mitigated")), 1, 0)</f>
      </c>
      <c r="AA70" s="56">
        <f>=IF(AND(C70="Yes",AND(G70&lt;&gt;"-",K70="Not Mitigated")), 1, 0)</f>
      </c>
    </row>
    <row r="71" ht="35" customHeight="1" spans="1:27" s="53" customFormat="1" x14ac:dyDescent="0.25">
      <c r="A71" s="63" t="s">
        <v>61</v>
      </c>
      <c r="B71" s="64" t="s">
        <v>499</v>
      </c>
      <c r="C71" s="56">
        <f>=IF(APP_STREAM_2_0InUse="Yes","Yes","No")</f>
      </c>
      <c r="D71" s="56" t="s">
        <v>500</v>
      </c>
      <c r="E71" s="56" t="s">
        <v>501</v>
      </c>
      <c r="F71" s="56">
        <f>=IF(AND(C71="Yes",G71="-"), "Yes", "No")</f>
      </c>
      <c r="G71" s="56" t="s">
        <v>13</v>
      </c>
      <c r="H71" s="56" t="s">
        <v>5</v>
      </c>
      <c r="I71" s="56" t="s">
        <v>242</v>
      </c>
      <c r="J71" s="56" t="s">
        <v>32</v>
      </c>
      <c r="K71" s="56" t="s">
        <v>230</v>
      </c>
      <c r="L71" s="56" t="s">
        <v>5</v>
      </c>
      <c r="M71" s="56" t="s">
        <v>5</v>
      </c>
      <c r="N71" s="56" t="s">
        <v>5</v>
      </c>
      <c r="O71" s="56" t="s">
        <v>5</v>
      </c>
      <c r="P71" s="56" t="s">
        <v>5</v>
      </c>
      <c r="Q71" s="56" t="s">
        <v>5</v>
      </c>
      <c r="R71" s="56" t="s">
        <v>5</v>
      </c>
      <c r="S71" s="56" t="s">
        <v>5</v>
      </c>
      <c r="T71" s="56" t="s">
        <v>5</v>
      </c>
      <c r="U71" s="56" t="s">
        <v>5</v>
      </c>
      <c r="V71" s="56">
        <f>=IF(AND(C71="Yes",G71="-"), 1, 0)</f>
      </c>
      <c r="W71" s="56">
        <f>=IF(AND(C71="Yes",G71="Yes"), 1, 0)</f>
      </c>
      <c r="X71" s="56">
        <f>=IF(AND(C71="Yes",G71="No; explanation in comments"), 1, 0)</f>
      </c>
      <c r="Y71" s="56">
        <f>=IF(AND(C71="Yes",K71="Not Assessed Yet"), 1, 0)</f>
      </c>
      <c r="Z71" s="56">
        <f>=IF(AND(C71="Yes",AND(G71&lt;&gt;"-",K71="Mitigated")), 1, 0)</f>
      </c>
      <c r="AA71" s="56">
        <f>=IF(AND(C71="Yes",AND(G71&lt;&gt;"-",K71="Not Mitigated")), 1, 0)</f>
      </c>
    </row>
    <row r="72" ht="35" customHeight="1" spans="1:27" s="53" customFormat="1" x14ac:dyDescent="0.25">
      <c r="A72" s="63" t="s">
        <v>61</v>
      </c>
      <c r="B72" s="64" t="s">
        <v>502</v>
      </c>
      <c r="C72" s="56">
        <f>=IF(APP_STREAM_2_0InUse="Yes","Yes","No")</f>
      </c>
      <c r="D72" s="56" t="s">
        <v>503</v>
      </c>
      <c r="E72" s="56" t="s">
        <v>504</v>
      </c>
      <c r="F72" s="56">
        <f>=IF(AND(C72="Yes",G72="-"), "Yes", "No")</f>
      </c>
      <c r="G72" s="56" t="s">
        <v>13</v>
      </c>
      <c r="H72" s="56" t="s">
        <v>5</v>
      </c>
      <c r="I72" s="56" t="s">
        <v>229</v>
      </c>
      <c r="J72" s="56" t="s">
        <v>226</v>
      </c>
      <c r="K72" s="56" t="s">
        <v>230</v>
      </c>
      <c r="L72" s="56" t="s">
        <v>5</v>
      </c>
      <c r="M72" s="56" t="s">
        <v>5</v>
      </c>
      <c r="N72" s="56" t="s">
        <v>5</v>
      </c>
      <c r="O72" s="56" t="s">
        <v>5</v>
      </c>
      <c r="P72" s="56" t="s">
        <v>5</v>
      </c>
      <c r="Q72" s="56" t="s">
        <v>5</v>
      </c>
      <c r="R72" s="56" t="s">
        <v>5</v>
      </c>
      <c r="S72" s="56" t="s">
        <v>5</v>
      </c>
      <c r="T72" s="56" t="s">
        <v>5</v>
      </c>
      <c r="U72" s="56" t="s">
        <v>5</v>
      </c>
      <c r="V72" s="56">
        <f>=IF(AND(C72="Yes",G72="-"), 1, 0)</f>
      </c>
      <c r="W72" s="56">
        <f>=IF(AND(C72="Yes",G72="Yes"), 1, 0)</f>
      </c>
      <c r="X72" s="56">
        <f>=IF(AND(C72="Yes",G72="No; explanation in comments"), 1, 0)</f>
      </c>
      <c r="Y72" s="56">
        <f>=IF(AND(C72="Yes",K72="Not Assessed Yet"), 1, 0)</f>
      </c>
      <c r="Z72" s="56">
        <f>=IF(AND(C72="Yes",AND(G72&lt;&gt;"-",K72="Mitigated")), 1, 0)</f>
      </c>
      <c r="AA72" s="56">
        <f>=IF(AND(C72="Yes",AND(G72&lt;&gt;"-",K72="Not Mitigated")), 1, 0)</f>
      </c>
    </row>
    <row r="73" ht="35" customHeight="1" spans="1:27" s="53" customFormat="1" x14ac:dyDescent="0.25">
      <c r="A73" s="63" t="s">
        <v>61</v>
      </c>
      <c r="B73" s="64" t="s">
        <v>505</v>
      </c>
      <c r="C73" s="56">
        <f>=IF(APP_STREAM_2_0InUse="Yes","Yes","No")</f>
      </c>
      <c r="D73" s="56" t="s">
        <v>506</v>
      </c>
      <c r="E73" s="56" t="s">
        <v>507</v>
      </c>
      <c r="F73" s="56">
        <f>=IF(AND(C73="Yes",G73="-"), "Yes", "No")</f>
      </c>
      <c r="G73" s="56" t="s">
        <v>13</v>
      </c>
      <c r="H73" s="56" t="s">
        <v>5</v>
      </c>
      <c r="I73" s="56" t="s">
        <v>229</v>
      </c>
      <c r="J73" s="56" t="s">
        <v>226</v>
      </c>
      <c r="K73" s="56" t="s">
        <v>230</v>
      </c>
      <c r="L73" s="56" t="s">
        <v>5</v>
      </c>
      <c r="M73" s="56" t="s">
        <v>5</v>
      </c>
      <c r="N73" s="56" t="s">
        <v>5</v>
      </c>
      <c r="O73" s="56" t="s">
        <v>5</v>
      </c>
      <c r="P73" s="56" t="s">
        <v>5</v>
      </c>
      <c r="Q73" s="56" t="s">
        <v>5</v>
      </c>
      <c r="R73" s="56" t="s">
        <v>5</v>
      </c>
      <c r="S73" s="56" t="s">
        <v>5</v>
      </c>
      <c r="T73" s="56" t="s">
        <v>5</v>
      </c>
      <c r="U73" s="56" t="s">
        <v>5</v>
      </c>
      <c r="V73" s="56">
        <f>=IF(AND(C73="Yes",G73="-"), 1, 0)</f>
      </c>
      <c r="W73" s="56">
        <f>=IF(AND(C73="Yes",G73="Yes"), 1, 0)</f>
      </c>
      <c r="X73" s="56">
        <f>=IF(AND(C73="Yes",G73="No; explanation in comments"), 1, 0)</f>
      </c>
      <c r="Y73" s="56">
        <f>=IF(AND(C73="Yes",K73="Not Assessed Yet"), 1, 0)</f>
      </c>
      <c r="Z73" s="56">
        <f>=IF(AND(C73="Yes",AND(G73&lt;&gt;"-",K73="Mitigated")), 1, 0)</f>
      </c>
      <c r="AA73" s="56">
        <f>=IF(AND(C73="Yes",AND(G73&lt;&gt;"-",K73="Not Mitigated")), 1, 0)</f>
      </c>
    </row>
    <row r="74" ht="35" customHeight="1" spans="1:27" s="53" customFormat="1" x14ac:dyDescent="0.25">
      <c r="A74" s="63" t="s">
        <v>61</v>
      </c>
      <c r="B74" s="64" t="s">
        <v>508</v>
      </c>
      <c r="C74" s="56">
        <f>=IF(APP_STREAM_2_0InUse="Yes","Yes","No")</f>
      </c>
      <c r="D74" s="56" t="s">
        <v>509</v>
      </c>
      <c r="E74" s="56" t="s">
        <v>510</v>
      </c>
      <c r="F74" s="56">
        <f>=IF(AND(C74="Yes",G74="-"), "Yes", "No")</f>
      </c>
      <c r="G74" s="56" t="s">
        <v>13</v>
      </c>
      <c r="H74" s="56" t="s">
        <v>5</v>
      </c>
      <c r="I74" s="56" t="s">
        <v>229</v>
      </c>
      <c r="J74" s="56" t="s">
        <v>226</v>
      </c>
      <c r="K74" s="56" t="s">
        <v>230</v>
      </c>
      <c r="L74" s="56" t="s">
        <v>5</v>
      </c>
      <c r="M74" s="56" t="s">
        <v>5</v>
      </c>
      <c r="N74" s="56" t="s">
        <v>5</v>
      </c>
      <c r="O74" s="56" t="s">
        <v>5</v>
      </c>
      <c r="P74" s="56" t="s">
        <v>5</v>
      </c>
      <c r="Q74" s="56" t="s">
        <v>5</v>
      </c>
      <c r="R74" s="56" t="s">
        <v>5</v>
      </c>
      <c r="S74" s="56" t="s">
        <v>5</v>
      </c>
      <c r="T74" s="56" t="s">
        <v>5</v>
      </c>
      <c r="U74" s="56" t="s">
        <v>5</v>
      </c>
      <c r="V74" s="56">
        <f>=IF(AND(C74="Yes",G74="-"), 1, 0)</f>
      </c>
      <c r="W74" s="56">
        <f>=IF(AND(C74="Yes",G74="Yes"), 1, 0)</f>
      </c>
      <c r="X74" s="56">
        <f>=IF(AND(C74="Yes",G74="No; explanation in comments"), 1, 0)</f>
      </c>
      <c r="Y74" s="56">
        <f>=IF(AND(C74="Yes",K74="Not Assessed Yet"), 1, 0)</f>
      </c>
      <c r="Z74" s="56">
        <f>=IF(AND(C74="Yes",AND(G74&lt;&gt;"-",K74="Mitigated")), 1, 0)</f>
      </c>
      <c r="AA74" s="56">
        <f>=IF(AND(C74="Yes",AND(G74&lt;&gt;"-",K74="Not Mitigated")), 1, 0)</f>
      </c>
    </row>
    <row r="75" ht="35" customHeight="1" spans="1:27" s="53" customFormat="1" x14ac:dyDescent="0.25">
      <c r="A75" s="63" t="s">
        <v>61</v>
      </c>
      <c r="B75" s="64" t="s">
        <v>511</v>
      </c>
      <c r="C75" s="56">
        <f>=IF(APP_STREAM_2_0InUse="Yes","Yes","No")</f>
      </c>
      <c r="D75" s="56" t="s">
        <v>512</v>
      </c>
      <c r="E75" s="56" t="s">
        <v>513</v>
      </c>
      <c r="F75" s="56">
        <f>=IF(AND(C75="Yes",G75="-"), "Yes", "No")</f>
      </c>
      <c r="G75" s="56" t="s">
        <v>13</v>
      </c>
      <c r="H75" s="56" t="s">
        <v>5</v>
      </c>
      <c r="I75" s="56" t="s">
        <v>242</v>
      </c>
      <c r="J75" s="56" t="s">
        <v>32</v>
      </c>
      <c r="K75" s="56" t="s">
        <v>230</v>
      </c>
      <c r="L75" s="56" t="s">
        <v>5</v>
      </c>
      <c r="M75" s="56" t="s">
        <v>5</v>
      </c>
      <c r="N75" s="56" t="s">
        <v>5</v>
      </c>
      <c r="O75" s="56" t="s">
        <v>5</v>
      </c>
      <c r="P75" s="56" t="s">
        <v>5</v>
      </c>
      <c r="Q75" s="56" t="s">
        <v>5</v>
      </c>
      <c r="R75" s="56" t="s">
        <v>5</v>
      </c>
      <c r="S75" s="56" t="s">
        <v>5</v>
      </c>
      <c r="T75" s="56" t="s">
        <v>5</v>
      </c>
      <c r="U75" s="56" t="s">
        <v>5</v>
      </c>
      <c r="V75" s="56">
        <f>=IF(AND(C75="Yes",G75="-"), 1, 0)</f>
      </c>
      <c r="W75" s="56">
        <f>=IF(AND(C75="Yes",G75="Yes"), 1, 0)</f>
      </c>
      <c r="X75" s="56">
        <f>=IF(AND(C75="Yes",G75="No; explanation in comments"), 1, 0)</f>
      </c>
      <c r="Y75" s="56">
        <f>=IF(AND(C75="Yes",K75="Not Assessed Yet"), 1, 0)</f>
      </c>
      <c r="Z75" s="56">
        <f>=IF(AND(C75="Yes",AND(G75&lt;&gt;"-",K75="Mitigated")), 1, 0)</f>
      </c>
      <c r="AA75" s="56">
        <f>=IF(AND(C75="Yes",AND(G75&lt;&gt;"-",K75="Not Mitigated")), 1, 0)</f>
      </c>
    </row>
    <row r="76" ht="35" customHeight="1" spans="1:27" s="53" customFormat="1" x14ac:dyDescent="0.25">
      <c r="A76" s="63" t="s">
        <v>61</v>
      </c>
      <c r="B76" s="64" t="s">
        <v>514</v>
      </c>
      <c r="C76" s="56">
        <f>=IF(APP_STREAM_2_0InUse="Yes","Yes","No")</f>
      </c>
      <c r="D76" s="56" t="s">
        <v>515</v>
      </c>
      <c r="E76" s="56" t="s">
        <v>516</v>
      </c>
      <c r="F76" s="56">
        <f>=IF(AND(C76="Yes",G76="-"), "Yes", "No")</f>
      </c>
      <c r="G76" s="56" t="s">
        <v>13</v>
      </c>
      <c r="H76" s="56" t="s">
        <v>5</v>
      </c>
      <c r="I76" s="56" t="s">
        <v>229</v>
      </c>
      <c r="J76" s="56" t="s">
        <v>226</v>
      </c>
      <c r="K76" s="56" t="s">
        <v>230</v>
      </c>
      <c r="L76" s="56" t="s">
        <v>5</v>
      </c>
      <c r="M76" s="56" t="s">
        <v>5</v>
      </c>
      <c r="N76" s="56" t="s">
        <v>5</v>
      </c>
      <c r="O76" s="56" t="s">
        <v>5</v>
      </c>
      <c r="P76" s="56" t="s">
        <v>5</v>
      </c>
      <c r="Q76" s="56" t="s">
        <v>5</v>
      </c>
      <c r="R76" s="56" t="s">
        <v>5</v>
      </c>
      <c r="S76" s="56" t="s">
        <v>5</v>
      </c>
      <c r="T76" s="56" t="s">
        <v>5</v>
      </c>
      <c r="U76" s="56" t="s">
        <v>5</v>
      </c>
      <c r="V76" s="56">
        <f>=IF(AND(C76="Yes",G76="-"), 1, 0)</f>
      </c>
      <c r="W76" s="56">
        <f>=IF(AND(C76="Yes",G76="Yes"), 1, 0)</f>
      </c>
      <c r="X76" s="56">
        <f>=IF(AND(C76="Yes",G76="No; explanation in comments"), 1, 0)</f>
      </c>
      <c r="Y76" s="56">
        <f>=IF(AND(C76="Yes",K76="Not Assessed Yet"), 1, 0)</f>
      </c>
      <c r="Z76" s="56">
        <f>=IF(AND(C76="Yes",AND(G76&lt;&gt;"-",K76="Mitigated")), 1, 0)</f>
      </c>
      <c r="AA76" s="56">
        <f>=IF(AND(C76="Yes",AND(G76&lt;&gt;"-",K76="Not Mitigated")), 1, 0)</f>
      </c>
    </row>
    <row r="77" ht="35" customHeight="1" spans="1:27" s="53" customFormat="1" x14ac:dyDescent="0.25">
      <c r="A77" s="63" t="s">
        <v>61</v>
      </c>
      <c r="B77" s="64" t="s">
        <v>517</v>
      </c>
      <c r="C77" s="56">
        <f>=IF(APP_STREAM_2_0InUse="Yes","Yes","No")</f>
      </c>
      <c r="D77" s="56" t="s">
        <v>518</v>
      </c>
      <c r="E77" s="56" t="s">
        <v>519</v>
      </c>
      <c r="F77" s="56">
        <f>=IF(AND(C77="Yes",G77="-"), "Yes", "No")</f>
      </c>
      <c r="G77" s="56" t="s">
        <v>13</v>
      </c>
      <c r="H77" s="56" t="s">
        <v>5</v>
      </c>
      <c r="I77" s="56" t="s">
        <v>229</v>
      </c>
      <c r="J77" s="56" t="s">
        <v>226</v>
      </c>
      <c r="K77" s="56" t="s">
        <v>230</v>
      </c>
      <c r="L77" s="56" t="s">
        <v>5</v>
      </c>
      <c r="M77" s="56" t="s">
        <v>5</v>
      </c>
      <c r="N77" s="56" t="s">
        <v>5</v>
      </c>
      <c r="O77" s="56" t="s">
        <v>5</v>
      </c>
      <c r="P77" s="56" t="s">
        <v>5</v>
      </c>
      <c r="Q77" s="56" t="s">
        <v>5</v>
      </c>
      <c r="R77" s="56" t="s">
        <v>5</v>
      </c>
      <c r="S77" s="56" t="s">
        <v>5</v>
      </c>
      <c r="T77" s="56" t="s">
        <v>5</v>
      </c>
      <c r="U77" s="56" t="s">
        <v>5</v>
      </c>
      <c r="V77" s="56">
        <f>=IF(AND(C77="Yes",G77="-"), 1, 0)</f>
      </c>
      <c r="W77" s="56">
        <f>=IF(AND(C77="Yes",G77="Yes"), 1, 0)</f>
      </c>
      <c r="X77" s="56">
        <f>=IF(AND(C77="Yes",G77="No; explanation in comments"), 1, 0)</f>
      </c>
      <c r="Y77" s="56">
        <f>=IF(AND(C77="Yes",K77="Not Assessed Yet"), 1, 0)</f>
      </c>
      <c r="Z77" s="56">
        <f>=IF(AND(C77="Yes",AND(G77&lt;&gt;"-",K77="Mitigated")), 1, 0)</f>
      </c>
      <c r="AA77" s="56">
        <f>=IF(AND(C77="Yes",AND(G77&lt;&gt;"-",K77="Not Mitigated")), 1, 0)</f>
      </c>
    </row>
    <row r="78" ht="35" customHeight="1" spans="1:27" s="53" customFormat="1" x14ac:dyDescent="0.25">
      <c r="A78" s="63" t="s">
        <v>61</v>
      </c>
      <c r="B78" s="64" t="s">
        <v>520</v>
      </c>
      <c r="C78" s="56">
        <f>=IF(APP_STREAM_2_0InUse="Yes","Yes","No")</f>
      </c>
      <c r="D78" s="56" t="s">
        <v>521</v>
      </c>
      <c r="E78" s="56" t="s">
        <v>522</v>
      </c>
      <c r="F78" s="56">
        <f>=IF(AND(C78="Yes",G78="-"), "Yes", "No")</f>
      </c>
      <c r="G78" s="56" t="s">
        <v>13</v>
      </c>
      <c r="H78" s="56" t="s">
        <v>5</v>
      </c>
      <c r="I78" s="56" t="s">
        <v>229</v>
      </c>
      <c r="J78" s="56" t="s">
        <v>226</v>
      </c>
      <c r="K78" s="56" t="s">
        <v>230</v>
      </c>
      <c r="L78" s="56" t="s">
        <v>5</v>
      </c>
      <c r="M78" s="56" t="s">
        <v>5</v>
      </c>
      <c r="N78" s="56" t="s">
        <v>5</v>
      </c>
      <c r="O78" s="56" t="s">
        <v>5</v>
      </c>
      <c r="P78" s="56" t="s">
        <v>5</v>
      </c>
      <c r="Q78" s="56" t="s">
        <v>5</v>
      </c>
      <c r="R78" s="56" t="s">
        <v>5</v>
      </c>
      <c r="S78" s="56" t="s">
        <v>5</v>
      </c>
      <c r="T78" s="56" t="s">
        <v>5</v>
      </c>
      <c r="U78" s="56" t="s">
        <v>5</v>
      </c>
      <c r="V78" s="56">
        <f>=IF(AND(C78="Yes",G78="-"), 1, 0)</f>
      </c>
      <c r="W78" s="56">
        <f>=IF(AND(C78="Yes",G78="Yes"), 1, 0)</f>
      </c>
      <c r="X78" s="56">
        <f>=IF(AND(C78="Yes",G78="No; explanation in comments"), 1, 0)</f>
      </c>
      <c r="Y78" s="56">
        <f>=IF(AND(C78="Yes",K78="Not Assessed Yet"), 1, 0)</f>
      </c>
      <c r="Z78" s="56">
        <f>=IF(AND(C78="Yes",AND(G78&lt;&gt;"-",K78="Mitigated")), 1, 0)</f>
      </c>
      <c r="AA78" s="56">
        <f>=IF(AND(C78="Yes",AND(G78&lt;&gt;"-",K78="Not Mitigated")), 1, 0)</f>
      </c>
    </row>
    <row r="79" ht="35" customHeight="1" spans="1:27" s="53" customFormat="1" x14ac:dyDescent="0.25">
      <c r="A79" s="63" t="s">
        <v>61</v>
      </c>
      <c r="B79" s="64" t="s">
        <v>523</v>
      </c>
      <c r="C79" s="56">
        <f>=IF(APP_STREAM_2_0InUse="Yes","Yes","No")</f>
      </c>
      <c r="D79" s="56" t="s">
        <v>524</v>
      </c>
      <c r="E79" s="56" t="s">
        <v>525</v>
      </c>
      <c r="F79" s="56">
        <f>=IF(AND(C79="Yes",G79="-"), "Yes", "No")</f>
      </c>
      <c r="G79" s="56" t="s">
        <v>13</v>
      </c>
      <c r="H79" s="56" t="s">
        <v>5</v>
      </c>
      <c r="I79" s="56" t="s">
        <v>229</v>
      </c>
      <c r="J79" s="56" t="s">
        <v>226</v>
      </c>
      <c r="K79" s="56" t="s">
        <v>230</v>
      </c>
      <c r="L79" s="56" t="s">
        <v>5</v>
      </c>
      <c r="M79" s="56" t="s">
        <v>5</v>
      </c>
      <c r="N79" s="56" t="s">
        <v>5</v>
      </c>
      <c r="O79" s="56" t="s">
        <v>5</v>
      </c>
      <c r="P79" s="56" t="s">
        <v>5</v>
      </c>
      <c r="Q79" s="56" t="s">
        <v>5</v>
      </c>
      <c r="R79" s="56" t="s">
        <v>5</v>
      </c>
      <c r="S79" s="56" t="s">
        <v>5</v>
      </c>
      <c r="T79" s="56" t="s">
        <v>5</v>
      </c>
      <c r="U79" s="56" t="s">
        <v>5</v>
      </c>
      <c r="V79" s="56">
        <f>=IF(AND(C79="Yes",G79="-"), 1, 0)</f>
      </c>
      <c r="W79" s="56">
        <f>=IF(AND(C79="Yes",G79="Yes"), 1, 0)</f>
      </c>
      <c r="X79" s="56">
        <f>=IF(AND(C79="Yes",G79="No; explanation in comments"), 1, 0)</f>
      </c>
      <c r="Y79" s="56">
        <f>=IF(AND(C79="Yes",K79="Not Assessed Yet"), 1, 0)</f>
      </c>
      <c r="Z79" s="56">
        <f>=IF(AND(C79="Yes",AND(G79&lt;&gt;"-",K79="Mitigated")), 1, 0)</f>
      </c>
      <c r="AA79" s="56">
        <f>=IF(AND(C79="Yes",AND(G79&lt;&gt;"-",K79="Not Mitigated")), 1, 0)</f>
      </c>
    </row>
  </sheetData>
  <autoFilter ref="A1:L1"/>
  <conditionalFormatting sqref="$F$2">
    <cfRule type="containsText" dxfId="286" priority="1">
      <formula>NOT(ISERROR(SEARCH("Yes",F2)))</formula>
    </cfRule>
  </conditionalFormatting>
  <conditionalFormatting sqref="$G$2">
    <cfRule type="containsText" dxfId="287" priority="1">
      <formula>NOT(ISERROR(SEARCH("Yes",G2)))</formula>
    </cfRule>
    <cfRule type="containsText" dxfId="288" priority="2">
      <formula>NOT(ISERROR(SEARCH("No; explanation in comments",G2)))</formula>
    </cfRule>
  </conditionalFormatting>
  <conditionalFormatting sqref="$J$2">
    <cfRule type="containsText" dxfId="289" priority="1">
      <formula>NOT(ISERROR(SEARCH("Yes",J2)))</formula>
    </cfRule>
  </conditionalFormatting>
  <conditionalFormatting sqref="$K$2">
    <cfRule type="containsText" dxfId="290" priority="1">
      <formula>NOT(ISERROR(SEARCH("Mitigated",K2)))</formula>
    </cfRule>
    <cfRule type="containsText" dxfId="291" priority="2">
      <formula>NOT(ISERROR(SEARCH("Not Mitigated",K2)))</formula>
    </cfRule>
  </conditionalFormatting>
  <conditionalFormatting sqref="$F$3">
    <cfRule type="containsText" dxfId="292" priority="1">
      <formula>NOT(ISERROR(SEARCH("Yes",F3)))</formula>
    </cfRule>
  </conditionalFormatting>
  <conditionalFormatting sqref="$G$3">
    <cfRule type="containsText" dxfId="293" priority="1">
      <formula>NOT(ISERROR(SEARCH("Yes",G3)))</formula>
    </cfRule>
    <cfRule type="containsText" dxfId="294" priority="2">
      <formula>NOT(ISERROR(SEARCH("No; explanation in comments",G3)))</formula>
    </cfRule>
  </conditionalFormatting>
  <conditionalFormatting sqref="$J$3">
    <cfRule type="containsText" dxfId="295" priority="1">
      <formula>NOT(ISERROR(SEARCH("Yes",J3)))</formula>
    </cfRule>
  </conditionalFormatting>
  <conditionalFormatting sqref="$K$3">
    <cfRule type="containsText" dxfId="296" priority="1">
      <formula>NOT(ISERROR(SEARCH("Mitigated",K3)))</formula>
    </cfRule>
    <cfRule type="containsText" dxfId="297" priority="2">
      <formula>NOT(ISERROR(SEARCH("Not Mitigated",K3)))</formula>
    </cfRule>
  </conditionalFormatting>
  <conditionalFormatting sqref="$F$4">
    <cfRule type="containsText" dxfId="298" priority="1">
      <formula>NOT(ISERROR(SEARCH("Yes",F4)))</formula>
    </cfRule>
  </conditionalFormatting>
  <conditionalFormatting sqref="$G$4">
    <cfRule type="containsText" dxfId="299" priority="1">
      <formula>NOT(ISERROR(SEARCH("Yes",G4)))</formula>
    </cfRule>
    <cfRule type="containsText" dxfId="300" priority="2">
      <formula>NOT(ISERROR(SEARCH("No; explanation in comments",G4)))</formula>
    </cfRule>
  </conditionalFormatting>
  <conditionalFormatting sqref="$J$4">
    <cfRule type="containsText" dxfId="301" priority="1">
      <formula>NOT(ISERROR(SEARCH("Yes",J4)))</formula>
    </cfRule>
  </conditionalFormatting>
  <conditionalFormatting sqref="$K$4">
    <cfRule type="containsText" dxfId="302" priority="1">
      <formula>NOT(ISERROR(SEARCH("Mitigated",K4)))</formula>
    </cfRule>
    <cfRule type="containsText" dxfId="303" priority="2">
      <formula>NOT(ISERROR(SEARCH("Not Mitigated",K4)))</formula>
    </cfRule>
  </conditionalFormatting>
  <conditionalFormatting sqref="$F$5">
    <cfRule type="containsText" dxfId="304" priority="1">
      <formula>NOT(ISERROR(SEARCH("Yes",F5)))</formula>
    </cfRule>
  </conditionalFormatting>
  <conditionalFormatting sqref="$G$5">
    <cfRule type="containsText" dxfId="305" priority="1">
      <formula>NOT(ISERROR(SEARCH("Yes",G5)))</formula>
    </cfRule>
    <cfRule type="containsText" dxfId="306" priority="2">
      <formula>NOT(ISERROR(SEARCH("No; explanation in comments",G5)))</formula>
    </cfRule>
  </conditionalFormatting>
  <conditionalFormatting sqref="$J$5">
    <cfRule type="containsText" dxfId="307" priority="1">
      <formula>NOT(ISERROR(SEARCH("Yes",J5)))</formula>
    </cfRule>
  </conditionalFormatting>
  <conditionalFormatting sqref="$K$5">
    <cfRule type="containsText" dxfId="308" priority="1">
      <formula>NOT(ISERROR(SEARCH("Mitigated",K5)))</formula>
    </cfRule>
    <cfRule type="containsText" dxfId="309" priority="2">
      <formula>NOT(ISERROR(SEARCH("Not Mitigated",K5)))</formula>
    </cfRule>
  </conditionalFormatting>
  <conditionalFormatting sqref="$F$6">
    <cfRule type="containsText" dxfId="310" priority="1">
      <formula>NOT(ISERROR(SEARCH("Yes",F6)))</formula>
    </cfRule>
  </conditionalFormatting>
  <conditionalFormatting sqref="$G$6">
    <cfRule type="containsText" dxfId="311" priority="1">
      <formula>NOT(ISERROR(SEARCH("Yes",G6)))</formula>
    </cfRule>
    <cfRule type="containsText" dxfId="312" priority="2">
      <formula>NOT(ISERROR(SEARCH("No; explanation in comments",G6)))</formula>
    </cfRule>
  </conditionalFormatting>
  <conditionalFormatting sqref="$J$6">
    <cfRule type="containsText" dxfId="313" priority="1">
      <formula>NOT(ISERROR(SEARCH("Yes",J6)))</formula>
    </cfRule>
  </conditionalFormatting>
  <conditionalFormatting sqref="$K$6">
    <cfRule type="containsText" dxfId="314" priority="1">
      <formula>NOT(ISERROR(SEARCH("Mitigated",K6)))</formula>
    </cfRule>
    <cfRule type="containsText" dxfId="315" priority="2">
      <formula>NOT(ISERROR(SEARCH("Not Mitigated",K6)))</formula>
    </cfRule>
  </conditionalFormatting>
  <conditionalFormatting sqref="$F$7">
    <cfRule type="containsText" dxfId="316" priority="1">
      <formula>NOT(ISERROR(SEARCH("Yes",F7)))</formula>
    </cfRule>
  </conditionalFormatting>
  <conditionalFormatting sqref="$G$7">
    <cfRule type="containsText" dxfId="317" priority="1">
      <formula>NOT(ISERROR(SEARCH("Yes",G7)))</formula>
    </cfRule>
    <cfRule type="containsText" dxfId="318" priority="2">
      <formula>NOT(ISERROR(SEARCH("No; explanation in comments",G7)))</formula>
    </cfRule>
  </conditionalFormatting>
  <conditionalFormatting sqref="$J$7">
    <cfRule type="containsText" dxfId="319" priority="1">
      <formula>NOT(ISERROR(SEARCH("Yes",J7)))</formula>
    </cfRule>
  </conditionalFormatting>
  <conditionalFormatting sqref="$K$7">
    <cfRule type="containsText" dxfId="320" priority="1">
      <formula>NOT(ISERROR(SEARCH("Mitigated",K7)))</formula>
    </cfRule>
    <cfRule type="containsText" dxfId="321" priority="2">
      <formula>NOT(ISERROR(SEARCH("Not Mitigated",K7)))</formula>
    </cfRule>
  </conditionalFormatting>
  <conditionalFormatting sqref="$F$8">
    <cfRule type="containsText" dxfId="322" priority="1">
      <formula>NOT(ISERROR(SEARCH("Yes",F8)))</formula>
    </cfRule>
  </conditionalFormatting>
  <conditionalFormatting sqref="$G$8">
    <cfRule type="containsText" dxfId="323" priority="1">
      <formula>NOT(ISERROR(SEARCH("Yes",G8)))</formula>
    </cfRule>
    <cfRule type="containsText" dxfId="324" priority="2">
      <formula>NOT(ISERROR(SEARCH("No; explanation in comments",G8)))</formula>
    </cfRule>
  </conditionalFormatting>
  <conditionalFormatting sqref="$J$8">
    <cfRule type="containsText" dxfId="325" priority="1">
      <formula>NOT(ISERROR(SEARCH("Yes",J8)))</formula>
    </cfRule>
  </conditionalFormatting>
  <conditionalFormatting sqref="$K$8">
    <cfRule type="containsText" dxfId="326" priority="1">
      <formula>NOT(ISERROR(SEARCH("Mitigated",K8)))</formula>
    </cfRule>
    <cfRule type="containsText" dxfId="327" priority="2">
      <formula>NOT(ISERROR(SEARCH("Not Mitigated",K8)))</formula>
    </cfRule>
  </conditionalFormatting>
  <conditionalFormatting sqref="$F$9">
    <cfRule type="containsText" dxfId="328" priority="1">
      <formula>NOT(ISERROR(SEARCH("Yes",F9)))</formula>
    </cfRule>
  </conditionalFormatting>
  <conditionalFormatting sqref="$G$9">
    <cfRule type="containsText" dxfId="329" priority="1">
      <formula>NOT(ISERROR(SEARCH("Yes",G9)))</formula>
    </cfRule>
    <cfRule type="containsText" dxfId="330" priority="2">
      <formula>NOT(ISERROR(SEARCH("No; explanation in comments",G9)))</formula>
    </cfRule>
  </conditionalFormatting>
  <conditionalFormatting sqref="$J$9">
    <cfRule type="containsText" dxfId="331" priority="1">
      <formula>NOT(ISERROR(SEARCH("Yes",J9)))</formula>
    </cfRule>
  </conditionalFormatting>
  <conditionalFormatting sqref="$K$9">
    <cfRule type="containsText" dxfId="332" priority="1">
      <formula>NOT(ISERROR(SEARCH("Mitigated",K9)))</formula>
    </cfRule>
    <cfRule type="containsText" dxfId="333" priority="2">
      <formula>NOT(ISERROR(SEARCH("Not Mitigated",K9)))</formula>
    </cfRule>
  </conditionalFormatting>
  <conditionalFormatting sqref="$F$10">
    <cfRule type="containsText" dxfId="334" priority="1">
      <formula>NOT(ISERROR(SEARCH("Yes",F10)))</formula>
    </cfRule>
  </conditionalFormatting>
  <conditionalFormatting sqref="$G$10">
    <cfRule type="containsText" dxfId="335" priority="1">
      <formula>NOT(ISERROR(SEARCH("Yes",G10)))</formula>
    </cfRule>
    <cfRule type="containsText" dxfId="336" priority="2">
      <formula>NOT(ISERROR(SEARCH("No; explanation in comments",G10)))</formula>
    </cfRule>
  </conditionalFormatting>
  <conditionalFormatting sqref="$J$10">
    <cfRule type="containsText" dxfId="337" priority="1">
      <formula>NOT(ISERROR(SEARCH("Yes",J10)))</formula>
    </cfRule>
  </conditionalFormatting>
  <conditionalFormatting sqref="$K$10">
    <cfRule type="containsText" dxfId="338" priority="1">
      <formula>NOT(ISERROR(SEARCH("Mitigated",K10)))</formula>
    </cfRule>
    <cfRule type="containsText" dxfId="339" priority="2">
      <formula>NOT(ISERROR(SEARCH("Not Mitigated",K10)))</formula>
    </cfRule>
  </conditionalFormatting>
  <conditionalFormatting sqref="$F$11">
    <cfRule type="containsText" dxfId="340" priority="1">
      <formula>NOT(ISERROR(SEARCH("Yes",F11)))</formula>
    </cfRule>
  </conditionalFormatting>
  <conditionalFormatting sqref="$G$11">
    <cfRule type="containsText" dxfId="341" priority="1">
      <formula>NOT(ISERROR(SEARCH("Yes",G11)))</formula>
    </cfRule>
    <cfRule type="containsText" dxfId="342" priority="2">
      <formula>NOT(ISERROR(SEARCH("No; explanation in comments",G11)))</formula>
    </cfRule>
  </conditionalFormatting>
  <conditionalFormatting sqref="$J$11">
    <cfRule type="containsText" dxfId="343" priority="1">
      <formula>NOT(ISERROR(SEARCH("Yes",J11)))</formula>
    </cfRule>
  </conditionalFormatting>
  <conditionalFormatting sqref="$K$11">
    <cfRule type="containsText" dxfId="344" priority="1">
      <formula>NOT(ISERROR(SEARCH("Mitigated",K11)))</formula>
    </cfRule>
    <cfRule type="containsText" dxfId="345" priority="2">
      <formula>NOT(ISERROR(SEARCH("Not Mitigated",K11)))</formula>
    </cfRule>
  </conditionalFormatting>
  <conditionalFormatting sqref="$F$12">
    <cfRule type="containsText" dxfId="346" priority="1">
      <formula>NOT(ISERROR(SEARCH("Yes",F12)))</formula>
    </cfRule>
  </conditionalFormatting>
  <conditionalFormatting sqref="$G$12">
    <cfRule type="containsText" dxfId="347" priority="1">
      <formula>NOT(ISERROR(SEARCH("Yes",G12)))</formula>
    </cfRule>
    <cfRule type="containsText" dxfId="348" priority="2">
      <formula>NOT(ISERROR(SEARCH("No; explanation in comments",G12)))</formula>
    </cfRule>
  </conditionalFormatting>
  <conditionalFormatting sqref="$J$12">
    <cfRule type="containsText" dxfId="349" priority="1">
      <formula>NOT(ISERROR(SEARCH("Yes",J12)))</formula>
    </cfRule>
  </conditionalFormatting>
  <conditionalFormatting sqref="$K$12">
    <cfRule type="containsText" dxfId="350" priority="1">
      <formula>NOT(ISERROR(SEARCH("Mitigated",K12)))</formula>
    </cfRule>
    <cfRule type="containsText" dxfId="351" priority="2">
      <formula>NOT(ISERROR(SEARCH("Not Mitigated",K12)))</formula>
    </cfRule>
  </conditionalFormatting>
  <conditionalFormatting sqref="$F$13">
    <cfRule type="containsText" dxfId="352" priority="1">
      <formula>NOT(ISERROR(SEARCH("Yes",F13)))</formula>
    </cfRule>
  </conditionalFormatting>
  <conditionalFormatting sqref="$G$13">
    <cfRule type="containsText" dxfId="353" priority="1">
      <formula>NOT(ISERROR(SEARCH("Yes",G13)))</formula>
    </cfRule>
    <cfRule type="containsText" dxfId="354" priority="2">
      <formula>NOT(ISERROR(SEARCH("No; explanation in comments",G13)))</formula>
    </cfRule>
  </conditionalFormatting>
  <conditionalFormatting sqref="$J$13">
    <cfRule type="containsText" dxfId="355" priority="1">
      <formula>NOT(ISERROR(SEARCH("Yes",J13)))</formula>
    </cfRule>
  </conditionalFormatting>
  <conditionalFormatting sqref="$K$13">
    <cfRule type="containsText" dxfId="356" priority="1">
      <formula>NOT(ISERROR(SEARCH("Mitigated",K13)))</formula>
    </cfRule>
    <cfRule type="containsText" dxfId="357" priority="2">
      <formula>NOT(ISERROR(SEARCH("Not Mitigated",K13)))</formula>
    </cfRule>
  </conditionalFormatting>
  <conditionalFormatting sqref="$F$14">
    <cfRule type="containsText" dxfId="358" priority="1">
      <formula>NOT(ISERROR(SEARCH("Yes",F14)))</formula>
    </cfRule>
  </conditionalFormatting>
  <conditionalFormatting sqref="$G$14">
    <cfRule type="containsText" dxfId="359" priority="1">
      <formula>NOT(ISERROR(SEARCH("Yes",G14)))</formula>
    </cfRule>
    <cfRule type="containsText" dxfId="360" priority="2">
      <formula>NOT(ISERROR(SEARCH("No; explanation in comments",G14)))</formula>
    </cfRule>
  </conditionalFormatting>
  <conditionalFormatting sqref="$J$14">
    <cfRule type="containsText" dxfId="361" priority="1">
      <formula>NOT(ISERROR(SEARCH("Yes",J14)))</formula>
    </cfRule>
  </conditionalFormatting>
  <conditionalFormatting sqref="$K$14">
    <cfRule type="containsText" dxfId="362" priority="1">
      <formula>NOT(ISERROR(SEARCH("Mitigated",K14)))</formula>
    </cfRule>
    <cfRule type="containsText" dxfId="363" priority="2">
      <formula>NOT(ISERROR(SEARCH("Not Mitigated",K14)))</formula>
    </cfRule>
  </conditionalFormatting>
  <conditionalFormatting sqref="$F$15">
    <cfRule type="containsText" dxfId="364" priority="1">
      <formula>NOT(ISERROR(SEARCH("Yes",F15)))</formula>
    </cfRule>
  </conditionalFormatting>
  <conditionalFormatting sqref="$G$15">
    <cfRule type="containsText" dxfId="365" priority="1">
      <formula>NOT(ISERROR(SEARCH("Yes",G15)))</formula>
    </cfRule>
    <cfRule type="containsText" dxfId="366" priority="2">
      <formula>NOT(ISERROR(SEARCH("No; explanation in comments",G15)))</formula>
    </cfRule>
  </conditionalFormatting>
  <conditionalFormatting sqref="$J$15">
    <cfRule type="containsText" dxfId="367" priority="1">
      <formula>NOT(ISERROR(SEARCH("Yes",J15)))</formula>
    </cfRule>
  </conditionalFormatting>
  <conditionalFormatting sqref="$K$15">
    <cfRule type="containsText" dxfId="368" priority="1">
      <formula>NOT(ISERROR(SEARCH("Mitigated",K15)))</formula>
    </cfRule>
    <cfRule type="containsText" dxfId="369" priority="2">
      <formula>NOT(ISERROR(SEARCH("Not Mitigated",K15)))</formula>
    </cfRule>
  </conditionalFormatting>
  <conditionalFormatting sqref="$F$16">
    <cfRule type="containsText" dxfId="370" priority="1">
      <formula>NOT(ISERROR(SEARCH("Yes",F16)))</formula>
    </cfRule>
  </conditionalFormatting>
  <conditionalFormatting sqref="$G$16">
    <cfRule type="containsText" dxfId="371" priority="1">
      <formula>NOT(ISERROR(SEARCH("Yes",G16)))</formula>
    </cfRule>
    <cfRule type="containsText" dxfId="372" priority="2">
      <formula>NOT(ISERROR(SEARCH("No; explanation in comments",G16)))</formula>
    </cfRule>
  </conditionalFormatting>
  <conditionalFormatting sqref="$J$16">
    <cfRule type="containsText" dxfId="373" priority="1">
      <formula>NOT(ISERROR(SEARCH("Yes",J16)))</formula>
    </cfRule>
  </conditionalFormatting>
  <conditionalFormatting sqref="$K$16">
    <cfRule type="containsText" dxfId="374" priority="1">
      <formula>NOT(ISERROR(SEARCH("Mitigated",K16)))</formula>
    </cfRule>
    <cfRule type="containsText" dxfId="375" priority="2">
      <formula>NOT(ISERROR(SEARCH("Not Mitigated",K16)))</formula>
    </cfRule>
  </conditionalFormatting>
  <conditionalFormatting sqref="$F$17">
    <cfRule type="containsText" dxfId="376" priority="1">
      <formula>NOT(ISERROR(SEARCH("Yes",F17)))</formula>
    </cfRule>
  </conditionalFormatting>
  <conditionalFormatting sqref="$G$17">
    <cfRule type="containsText" dxfId="377" priority="1">
      <formula>NOT(ISERROR(SEARCH("Yes",G17)))</formula>
    </cfRule>
    <cfRule type="containsText" dxfId="378" priority="2">
      <formula>NOT(ISERROR(SEARCH("No; explanation in comments",G17)))</formula>
    </cfRule>
  </conditionalFormatting>
  <conditionalFormatting sqref="$J$17">
    <cfRule type="containsText" dxfId="379" priority="1">
      <formula>NOT(ISERROR(SEARCH("Yes",J17)))</formula>
    </cfRule>
  </conditionalFormatting>
  <conditionalFormatting sqref="$K$17">
    <cfRule type="containsText" dxfId="380" priority="1">
      <formula>NOT(ISERROR(SEARCH("Mitigated",K17)))</formula>
    </cfRule>
    <cfRule type="containsText" dxfId="381" priority="2">
      <formula>NOT(ISERROR(SEARCH("Not Mitigated",K17)))</formula>
    </cfRule>
  </conditionalFormatting>
  <conditionalFormatting sqref="$F$18">
    <cfRule type="containsText" dxfId="382" priority="1">
      <formula>NOT(ISERROR(SEARCH("Yes",F18)))</formula>
    </cfRule>
  </conditionalFormatting>
  <conditionalFormatting sqref="$G$18">
    <cfRule type="containsText" dxfId="383" priority="1">
      <formula>NOT(ISERROR(SEARCH("Yes",G18)))</formula>
    </cfRule>
    <cfRule type="containsText" dxfId="384" priority="2">
      <formula>NOT(ISERROR(SEARCH("No; explanation in comments",G18)))</formula>
    </cfRule>
  </conditionalFormatting>
  <conditionalFormatting sqref="$J$18">
    <cfRule type="containsText" dxfId="385" priority="1">
      <formula>NOT(ISERROR(SEARCH("Yes",J18)))</formula>
    </cfRule>
  </conditionalFormatting>
  <conditionalFormatting sqref="$K$18">
    <cfRule type="containsText" dxfId="386" priority="1">
      <formula>NOT(ISERROR(SEARCH("Mitigated",K18)))</formula>
    </cfRule>
    <cfRule type="containsText" dxfId="387" priority="2">
      <formula>NOT(ISERROR(SEARCH("Not Mitigated",K18)))</formula>
    </cfRule>
  </conditionalFormatting>
  <conditionalFormatting sqref="$F$19">
    <cfRule type="containsText" dxfId="388" priority="1">
      <formula>NOT(ISERROR(SEARCH("Yes",F19)))</formula>
    </cfRule>
  </conditionalFormatting>
  <conditionalFormatting sqref="$G$19">
    <cfRule type="containsText" dxfId="389" priority="1">
      <formula>NOT(ISERROR(SEARCH("Yes",G19)))</formula>
    </cfRule>
    <cfRule type="containsText" dxfId="390" priority="2">
      <formula>NOT(ISERROR(SEARCH("No; explanation in comments",G19)))</formula>
    </cfRule>
  </conditionalFormatting>
  <conditionalFormatting sqref="$J$19">
    <cfRule type="containsText" dxfId="391" priority="1">
      <formula>NOT(ISERROR(SEARCH("Yes",J19)))</formula>
    </cfRule>
  </conditionalFormatting>
  <conditionalFormatting sqref="$K$19">
    <cfRule type="containsText" dxfId="392" priority="1">
      <formula>NOT(ISERROR(SEARCH("Mitigated",K19)))</formula>
    </cfRule>
    <cfRule type="containsText" dxfId="393" priority="2">
      <formula>NOT(ISERROR(SEARCH("Not Mitigated",K19)))</formula>
    </cfRule>
  </conditionalFormatting>
  <conditionalFormatting sqref="$F$20">
    <cfRule type="containsText" dxfId="394" priority="1">
      <formula>NOT(ISERROR(SEARCH("Yes",F20)))</formula>
    </cfRule>
  </conditionalFormatting>
  <conditionalFormatting sqref="$G$20">
    <cfRule type="containsText" dxfId="395" priority="1">
      <formula>NOT(ISERROR(SEARCH("Yes",G20)))</formula>
    </cfRule>
    <cfRule type="containsText" dxfId="396" priority="2">
      <formula>NOT(ISERROR(SEARCH("No; explanation in comments",G20)))</formula>
    </cfRule>
  </conditionalFormatting>
  <conditionalFormatting sqref="$J$20">
    <cfRule type="containsText" dxfId="397" priority="1">
      <formula>NOT(ISERROR(SEARCH("Yes",J20)))</formula>
    </cfRule>
  </conditionalFormatting>
  <conditionalFormatting sqref="$K$20">
    <cfRule type="containsText" dxfId="398" priority="1">
      <formula>NOT(ISERROR(SEARCH("Mitigated",K20)))</formula>
    </cfRule>
    <cfRule type="containsText" dxfId="399" priority="2">
      <formula>NOT(ISERROR(SEARCH("Not Mitigated",K20)))</formula>
    </cfRule>
  </conditionalFormatting>
  <conditionalFormatting sqref="$F$21">
    <cfRule type="containsText" dxfId="400" priority="1">
      <formula>NOT(ISERROR(SEARCH("Yes",F21)))</formula>
    </cfRule>
  </conditionalFormatting>
  <conditionalFormatting sqref="$G$21">
    <cfRule type="containsText" dxfId="401" priority="1">
      <formula>NOT(ISERROR(SEARCH("Yes",G21)))</formula>
    </cfRule>
    <cfRule type="containsText" dxfId="402" priority="2">
      <formula>NOT(ISERROR(SEARCH("No; explanation in comments",G21)))</formula>
    </cfRule>
  </conditionalFormatting>
  <conditionalFormatting sqref="$J$21">
    <cfRule type="containsText" dxfId="403" priority="1">
      <formula>NOT(ISERROR(SEARCH("Yes",J21)))</formula>
    </cfRule>
  </conditionalFormatting>
  <conditionalFormatting sqref="$K$21">
    <cfRule type="containsText" dxfId="404" priority="1">
      <formula>NOT(ISERROR(SEARCH("Mitigated",K21)))</formula>
    </cfRule>
    <cfRule type="containsText" dxfId="405" priority="2">
      <formula>NOT(ISERROR(SEARCH("Not Mitigated",K21)))</formula>
    </cfRule>
  </conditionalFormatting>
  <conditionalFormatting sqref="$F$22">
    <cfRule type="containsText" dxfId="406" priority="1">
      <formula>NOT(ISERROR(SEARCH("Yes",F22)))</formula>
    </cfRule>
  </conditionalFormatting>
  <conditionalFormatting sqref="$G$22">
    <cfRule type="containsText" dxfId="407" priority="1">
      <formula>NOT(ISERROR(SEARCH("Yes",G22)))</formula>
    </cfRule>
    <cfRule type="containsText" dxfId="408" priority="2">
      <formula>NOT(ISERROR(SEARCH("No; explanation in comments",G22)))</formula>
    </cfRule>
  </conditionalFormatting>
  <conditionalFormatting sqref="$J$22">
    <cfRule type="containsText" dxfId="409" priority="1">
      <formula>NOT(ISERROR(SEARCH("Yes",J22)))</formula>
    </cfRule>
  </conditionalFormatting>
  <conditionalFormatting sqref="$K$22">
    <cfRule type="containsText" dxfId="410" priority="1">
      <formula>NOT(ISERROR(SEARCH("Mitigated",K22)))</formula>
    </cfRule>
    <cfRule type="containsText" dxfId="411" priority="2">
      <formula>NOT(ISERROR(SEARCH("Not Mitigated",K22)))</formula>
    </cfRule>
  </conditionalFormatting>
  <conditionalFormatting sqref="$F$23">
    <cfRule type="containsText" dxfId="412" priority="1">
      <formula>NOT(ISERROR(SEARCH("Yes",F23)))</formula>
    </cfRule>
  </conditionalFormatting>
  <conditionalFormatting sqref="$G$23">
    <cfRule type="containsText" dxfId="413" priority="1">
      <formula>NOT(ISERROR(SEARCH("Yes",G23)))</formula>
    </cfRule>
    <cfRule type="containsText" dxfId="414" priority="2">
      <formula>NOT(ISERROR(SEARCH("No; explanation in comments",G23)))</formula>
    </cfRule>
  </conditionalFormatting>
  <conditionalFormatting sqref="$J$23">
    <cfRule type="containsText" dxfId="415" priority="1">
      <formula>NOT(ISERROR(SEARCH("Yes",J23)))</formula>
    </cfRule>
  </conditionalFormatting>
  <conditionalFormatting sqref="$K$23">
    <cfRule type="containsText" dxfId="416" priority="1">
      <formula>NOT(ISERROR(SEARCH("Mitigated",K23)))</formula>
    </cfRule>
    <cfRule type="containsText" dxfId="417" priority="2">
      <formula>NOT(ISERROR(SEARCH("Not Mitigated",K23)))</formula>
    </cfRule>
  </conditionalFormatting>
  <conditionalFormatting sqref="$F$24">
    <cfRule type="containsText" dxfId="418" priority="1">
      <formula>NOT(ISERROR(SEARCH("Yes",F24)))</formula>
    </cfRule>
  </conditionalFormatting>
  <conditionalFormatting sqref="$G$24">
    <cfRule type="containsText" dxfId="419" priority="1">
      <formula>NOT(ISERROR(SEARCH("Yes",G24)))</formula>
    </cfRule>
    <cfRule type="containsText" dxfId="420" priority="2">
      <formula>NOT(ISERROR(SEARCH("No; explanation in comments",G24)))</formula>
    </cfRule>
  </conditionalFormatting>
  <conditionalFormatting sqref="$J$24">
    <cfRule type="containsText" dxfId="421" priority="1">
      <formula>NOT(ISERROR(SEARCH("Yes",J24)))</formula>
    </cfRule>
  </conditionalFormatting>
  <conditionalFormatting sqref="$K$24">
    <cfRule type="containsText" dxfId="422" priority="1">
      <formula>NOT(ISERROR(SEARCH("Mitigated",K24)))</formula>
    </cfRule>
    <cfRule type="containsText" dxfId="423" priority="2">
      <formula>NOT(ISERROR(SEARCH("Not Mitigated",K24)))</formula>
    </cfRule>
  </conditionalFormatting>
  <conditionalFormatting sqref="$F$25">
    <cfRule type="containsText" dxfId="424" priority="1">
      <formula>NOT(ISERROR(SEARCH("Yes",F25)))</formula>
    </cfRule>
  </conditionalFormatting>
  <conditionalFormatting sqref="$G$25">
    <cfRule type="containsText" dxfId="425" priority="1">
      <formula>NOT(ISERROR(SEARCH("Yes",G25)))</formula>
    </cfRule>
    <cfRule type="containsText" dxfId="426" priority="2">
      <formula>NOT(ISERROR(SEARCH("No; explanation in comments",G25)))</formula>
    </cfRule>
  </conditionalFormatting>
  <conditionalFormatting sqref="$J$25">
    <cfRule type="containsText" dxfId="427" priority="1">
      <formula>NOT(ISERROR(SEARCH("Yes",J25)))</formula>
    </cfRule>
  </conditionalFormatting>
  <conditionalFormatting sqref="$K$25">
    <cfRule type="containsText" dxfId="428" priority="1">
      <formula>NOT(ISERROR(SEARCH("Mitigated",K25)))</formula>
    </cfRule>
    <cfRule type="containsText" dxfId="429" priority="2">
      <formula>NOT(ISERROR(SEARCH("Not Mitigated",K25)))</formula>
    </cfRule>
  </conditionalFormatting>
  <conditionalFormatting sqref="$F$26">
    <cfRule type="containsText" dxfId="430" priority="1">
      <formula>NOT(ISERROR(SEARCH("Yes",F26)))</formula>
    </cfRule>
  </conditionalFormatting>
  <conditionalFormatting sqref="$G$26">
    <cfRule type="containsText" dxfId="431" priority="1">
      <formula>NOT(ISERROR(SEARCH("Yes",G26)))</formula>
    </cfRule>
    <cfRule type="containsText" dxfId="432" priority="2">
      <formula>NOT(ISERROR(SEARCH("No; explanation in comments",G26)))</formula>
    </cfRule>
  </conditionalFormatting>
  <conditionalFormatting sqref="$J$26">
    <cfRule type="containsText" dxfId="433" priority="1">
      <formula>NOT(ISERROR(SEARCH("Yes",J26)))</formula>
    </cfRule>
  </conditionalFormatting>
  <conditionalFormatting sqref="$K$26">
    <cfRule type="containsText" dxfId="434" priority="1">
      <formula>NOT(ISERROR(SEARCH("Mitigated",K26)))</formula>
    </cfRule>
    <cfRule type="containsText" dxfId="435" priority="2">
      <formula>NOT(ISERROR(SEARCH("Not Mitigated",K26)))</formula>
    </cfRule>
  </conditionalFormatting>
  <conditionalFormatting sqref="$F$27">
    <cfRule type="containsText" dxfId="436" priority="1">
      <formula>NOT(ISERROR(SEARCH("Yes",F27)))</formula>
    </cfRule>
  </conditionalFormatting>
  <conditionalFormatting sqref="$G$27">
    <cfRule type="containsText" dxfId="437" priority="1">
      <formula>NOT(ISERROR(SEARCH("Yes",G27)))</formula>
    </cfRule>
    <cfRule type="containsText" dxfId="438" priority="2">
      <formula>NOT(ISERROR(SEARCH("No; explanation in comments",G27)))</formula>
    </cfRule>
  </conditionalFormatting>
  <conditionalFormatting sqref="$J$27">
    <cfRule type="containsText" dxfId="439" priority="1">
      <formula>NOT(ISERROR(SEARCH("Yes",J27)))</formula>
    </cfRule>
  </conditionalFormatting>
  <conditionalFormatting sqref="$K$27">
    <cfRule type="containsText" dxfId="440" priority="1">
      <formula>NOT(ISERROR(SEARCH("Mitigated",K27)))</formula>
    </cfRule>
    <cfRule type="containsText" dxfId="441" priority="2">
      <formula>NOT(ISERROR(SEARCH("Not Mitigated",K27)))</formula>
    </cfRule>
  </conditionalFormatting>
  <conditionalFormatting sqref="$F$28">
    <cfRule type="containsText" dxfId="442" priority="1">
      <formula>NOT(ISERROR(SEARCH("Yes",F28)))</formula>
    </cfRule>
  </conditionalFormatting>
  <conditionalFormatting sqref="$G$28">
    <cfRule type="containsText" dxfId="443" priority="1">
      <formula>NOT(ISERROR(SEARCH("Yes",G28)))</formula>
    </cfRule>
    <cfRule type="containsText" dxfId="444" priority="2">
      <formula>NOT(ISERROR(SEARCH("No; explanation in comments",G28)))</formula>
    </cfRule>
  </conditionalFormatting>
  <conditionalFormatting sqref="$J$28">
    <cfRule type="containsText" dxfId="445" priority="1">
      <formula>NOT(ISERROR(SEARCH("Yes",J28)))</formula>
    </cfRule>
  </conditionalFormatting>
  <conditionalFormatting sqref="$K$28">
    <cfRule type="containsText" dxfId="446" priority="1">
      <formula>NOT(ISERROR(SEARCH("Mitigated",K28)))</formula>
    </cfRule>
    <cfRule type="containsText" dxfId="447" priority="2">
      <formula>NOT(ISERROR(SEARCH("Not Mitigated",K28)))</formula>
    </cfRule>
  </conditionalFormatting>
  <conditionalFormatting sqref="$F$29">
    <cfRule type="containsText" dxfId="448" priority="1">
      <formula>NOT(ISERROR(SEARCH("Yes",F29)))</formula>
    </cfRule>
  </conditionalFormatting>
  <conditionalFormatting sqref="$G$29">
    <cfRule type="containsText" dxfId="449" priority="1">
      <formula>NOT(ISERROR(SEARCH("Yes",G29)))</formula>
    </cfRule>
    <cfRule type="containsText" dxfId="450" priority="2">
      <formula>NOT(ISERROR(SEARCH("No; explanation in comments",G29)))</formula>
    </cfRule>
  </conditionalFormatting>
  <conditionalFormatting sqref="$J$29">
    <cfRule type="containsText" dxfId="451" priority="1">
      <formula>NOT(ISERROR(SEARCH("Yes",J29)))</formula>
    </cfRule>
  </conditionalFormatting>
  <conditionalFormatting sqref="$K$29">
    <cfRule type="containsText" dxfId="452" priority="1">
      <formula>NOT(ISERROR(SEARCH("Mitigated",K29)))</formula>
    </cfRule>
    <cfRule type="containsText" dxfId="453" priority="2">
      <formula>NOT(ISERROR(SEARCH("Not Mitigated",K29)))</formula>
    </cfRule>
  </conditionalFormatting>
  <conditionalFormatting sqref="$F$30">
    <cfRule type="containsText" dxfId="454" priority="1">
      <formula>NOT(ISERROR(SEARCH("Yes",F30)))</formula>
    </cfRule>
  </conditionalFormatting>
  <conditionalFormatting sqref="$G$30">
    <cfRule type="containsText" dxfId="455" priority="1">
      <formula>NOT(ISERROR(SEARCH("Yes",G30)))</formula>
    </cfRule>
    <cfRule type="containsText" dxfId="456" priority="2">
      <formula>NOT(ISERROR(SEARCH("No; explanation in comments",G30)))</formula>
    </cfRule>
  </conditionalFormatting>
  <conditionalFormatting sqref="$J$30">
    <cfRule type="containsText" dxfId="457" priority="1">
      <formula>NOT(ISERROR(SEARCH("Yes",J30)))</formula>
    </cfRule>
  </conditionalFormatting>
  <conditionalFormatting sqref="$K$30">
    <cfRule type="containsText" dxfId="458" priority="1">
      <formula>NOT(ISERROR(SEARCH("Mitigated",K30)))</formula>
    </cfRule>
    <cfRule type="containsText" dxfId="459" priority="2">
      <formula>NOT(ISERROR(SEARCH("Not Mitigated",K30)))</formula>
    </cfRule>
  </conditionalFormatting>
  <conditionalFormatting sqref="$F$31">
    <cfRule type="containsText" dxfId="460" priority="1">
      <formula>NOT(ISERROR(SEARCH("Yes",F31)))</formula>
    </cfRule>
  </conditionalFormatting>
  <conditionalFormatting sqref="$G$31">
    <cfRule type="containsText" dxfId="461" priority="1">
      <formula>NOT(ISERROR(SEARCH("Yes",G31)))</formula>
    </cfRule>
    <cfRule type="containsText" dxfId="462" priority="2">
      <formula>NOT(ISERROR(SEARCH("No; explanation in comments",G31)))</formula>
    </cfRule>
  </conditionalFormatting>
  <conditionalFormatting sqref="$J$31">
    <cfRule type="containsText" dxfId="463" priority="1">
      <formula>NOT(ISERROR(SEARCH("Yes",J31)))</formula>
    </cfRule>
  </conditionalFormatting>
  <conditionalFormatting sqref="$K$31">
    <cfRule type="containsText" dxfId="464" priority="1">
      <formula>NOT(ISERROR(SEARCH("Mitigated",K31)))</formula>
    </cfRule>
    <cfRule type="containsText" dxfId="465" priority="2">
      <formula>NOT(ISERROR(SEARCH("Not Mitigated",K31)))</formula>
    </cfRule>
  </conditionalFormatting>
  <conditionalFormatting sqref="$F$32">
    <cfRule type="containsText" dxfId="466" priority="1">
      <formula>NOT(ISERROR(SEARCH("Yes",F32)))</formula>
    </cfRule>
  </conditionalFormatting>
  <conditionalFormatting sqref="$G$32">
    <cfRule type="containsText" dxfId="467" priority="1">
      <formula>NOT(ISERROR(SEARCH("Yes",G32)))</formula>
    </cfRule>
    <cfRule type="containsText" dxfId="468" priority="2">
      <formula>NOT(ISERROR(SEARCH("No; explanation in comments",G32)))</formula>
    </cfRule>
  </conditionalFormatting>
  <conditionalFormatting sqref="$J$32">
    <cfRule type="containsText" dxfId="469" priority="1">
      <formula>NOT(ISERROR(SEARCH("Yes",J32)))</formula>
    </cfRule>
  </conditionalFormatting>
  <conditionalFormatting sqref="$K$32">
    <cfRule type="containsText" dxfId="470" priority="1">
      <formula>NOT(ISERROR(SEARCH("Mitigated",K32)))</formula>
    </cfRule>
    <cfRule type="containsText" dxfId="471" priority="2">
      <formula>NOT(ISERROR(SEARCH("Not Mitigated",K32)))</formula>
    </cfRule>
  </conditionalFormatting>
  <conditionalFormatting sqref="$F$33">
    <cfRule type="containsText" dxfId="472" priority="1">
      <formula>NOT(ISERROR(SEARCH("Yes",F33)))</formula>
    </cfRule>
  </conditionalFormatting>
  <conditionalFormatting sqref="$G$33">
    <cfRule type="containsText" dxfId="473" priority="1">
      <formula>NOT(ISERROR(SEARCH("Yes",G33)))</formula>
    </cfRule>
    <cfRule type="containsText" dxfId="474" priority="2">
      <formula>NOT(ISERROR(SEARCH("No; explanation in comments",G33)))</formula>
    </cfRule>
  </conditionalFormatting>
  <conditionalFormatting sqref="$J$33">
    <cfRule type="containsText" dxfId="475" priority="1">
      <formula>NOT(ISERROR(SEARCH("Yes",J33)))</formula>
    </cfRule>
  </conditionalFormatting>
  <conditionalFormatting sqref="$K$33">
    <cfRule type="containsText" dxfId="476" priority="1">
      <formula>NOT(ISERROR(SEARCH("Mitigated",K33)))</formula>
    </cfRule>
    <cfRule type="containsText" dxfId="477" priority="2">
      <formula>NOT(ISERROR(SEARCH("Not Mitigated",K33)))</formula>
    </cfRule>
  </conditionalFormatting>
  <conditionalFormatting sqref="$F$34">
    <cfRule type="containsText" dxfId="478" priority="1">
      <formula>NOT(ISERROR(SEARCH("Yes",F34)))</formula>
    </cfRule>
  </conditionalFormatting>
  <conditionalFormatting sqref="$G$34">
    <cfRule type="containsText" dxfId="479" priority="1">
      <formula>NOT(ISERROR(SEARCH("Yes",G34)))</formula>
    </cfRule>
    <cfRule type="containsText" dxfId="480" priority="2">
      <formula>NOT(ISERROR(SEARCH("No; explanation in comments",G34)))</formula>
    </cfRule>
  </conditionalFormatting>
  <conditionalFormatting sqref="$J$34">
    <cfRule type="containsText" dxfId="481" priority="1">
      <formula>NOT(ISERROR(SEARCH("Yes",J34)))</formula>
    </cfRule>
  </conditionalFormatting>
  <conditionalFormatting sqref="$K$34">
    <cfRule type="containsText" dxfId="482" priority="1">
      <formula>NOT(ISERROR(SEARCH("Mitigated",K34)))</formula>
    </cfRule>
    <cfRule type="containsText" dxfId="483" priority="2">
      <formula>NOT(ISERROR(SEARCH("Not Mitigated",K34)))</formula>
    </cfRule>
  </conditionalFormatting>
  <conditionalFormatting sqref="$F$35">
    <cfRule type="containsText" dxfId="484" priority="1">
      <formula>NOT(ISERROR(SEARCH("Yes",F35)))</formula>
    </cfRule>
  </conditionalFormatting>
  <conditionalFormatting sqref="$G$35">
    <cfRule type="containsText" dxfId="485" priority="1">
      <formula>NOT(ISERROR(SEARCH("Yes",G35)))</formula>
    </cfRule>
    <cfRule type="containsText" dxfId="486" priority="2">
      <formula>NOT(ISERROR(SEARCH("No; explanation in comments",G35)))</formula>
    </cfRule>
  </conditionalFormatting>
  <conditionalFormatting sqref="$J$35">
    <cfRule type="containsText" dxfId="487" priority="1">
      <formula>NOT(ISERROR(SEARCH("Yes",J35)))</formula>
    </cfRule>
  </conditionalFormatting>
  <conditionalFormatting sqref="$K$35">
    <cfRule type="containsText" dxfId="488" priority="1">
      <formula>NOT(ISERROR(SEARCH("Mitigated",K35)))</formula>
    </cfRule>
    <cfRule type="containsText" dxfId="489" priority="2">
      <formula>NOT(ISERROR(SEARCH("Not Mitigated",K35)))</formula>
    </cfRule>
  </conditionalFormatting>
  <conditionalFormatting sqref="$F$36">
    <cfRule type="containsText" dxfId="490" priority="1">
      <formula>NOT(ISERROR(SEARCH("Yes",F36)))</formula>
    </cfRule>
  </conditionalFormatting>
  <conditionalFormatting sqref="$G$36">
    <cfRule type="containsText" dxfId="491" priority="1">
      <formula>NOT(ISERROR(SEARCH("Yes",G36)))</formula>
    </cfRule>
    <cfRule type="containsText" dxfId="492" priority="2">
      <formula>NOT(ISERROR(SEARCH("No; explanation in comments",G36)))</formula>
    </cfRule>
  </conditionalFormatting>
  <conditionalFormatting sqref="$J$36">
    <cfRule type="containsText" dxfId="493" priority="1">
      <formula>NOT(ISERROR(SEARCH("Yes",J36)))</formula>
    </cfRule>
  </conditionalFormatting>
  <conditionalFormatting sqref="$K$36">
    <cfRule type="containsText" dxfId="494" priority="1">
      <formula>NOT(ISERROR(SEARCH("Mitigated",K36)))</formula>
    </cfRule>
    <cfRule type="containsText" dxfId="495" priority="2">
      <formula>NOT(ISERROR(SEARCH("Not Mitigated",K36)))</formula>
    </cfRule>
  </conditionalFormatting>
  <conditionalFormatting sqref="$F$37">
    <cfRule type="containsText" dxfId="496" priority="1">
      <formula>NOT(ISERROR(SEARCH("Yes",F37)))</formula>
    </cfRule>
  </conditionalFormatting>
  <conditionalFormatting sqref="$G$37">
    <cfRule type="containsText" dxfId="497" priority="1">
      <formula>NOT(ISERROR(SEARCH("Yes",G37)))</formula>
    </cfRule>
    <cfRule type="containsText" dxfId="498" priority="2">
      <formula>NOT(ISERROR(SEARCH("No; explanation in comments",G37)))</formula>
    </cfRule>
  </conditionalFormatting>
  <conditionalFormatting sqref="$J$37">
    <cfRule type="containsText" dxfId="499" priority="1">
      <formula>NOT(ISERROR(SEARCH("Yes",J37)))</formula>
    </cfRule>
  </conditionalFormatting>
  <conditionalFormatting sqref="$K$37">
    <cfRule type="containsText" dxfId="500" priority="1">
      <formula>NOT(ISERROR(SEARCH("Mitigated",K37)))</formula>
    </cfRule>
    <cfRule type="containsText" dxfId="501" priority="2">
      <formula>NOT(ISERROR(SEARCH("Not Mitigated",K37)))</formula>
    </cfRule>
  </conditionalFormatting>
  <conditionalFormatting sqref="$F$38">
    <cfRule type="containsText" dxfId="502" priority="1">
      <formula>NOT(ISERROR(SEARCH("Yes",F38)))</formula>
    </cfRule>
  </conditionalFormatting>
  <conditionalFormatting sqref="$G$38">
    <cfRule type="containsText" dxfId="503" priority="1">
      <formula>NOT(ISERROR(SEARCH("Yes",G38)))</formula>
    </cfRule>
    <cfRule type="containsText" dxfId="504" priority="2">
      <formula>NOT(ISERROR(SEARCH("No; explanation in comments",G38)))</formula>
    </cfRule>
  </conditionalFormatting>
  <conditionalFormatting sqref="$J$38">
    <cfRule type="containsText" dxfId="505" priority="1">
      <formula>NOT(ISERROR(SEARCH("Yes",J38)))</formula>
    </cfRule>
  </conditionalFormatting>
  <conditionalFormatting sqref="$K$38">
    <cfRule type="containsText" dxfId="506" priority="1">
      <formula>NOT(ISERROR(SEARCH("Mitigated",K38)))</formula>
    </cfRule>
    <cfRule type="containsText" dxfId="507" priority="2">
      <formula>NOT(ISERROR(SEARCH("Not Mitigated",K38)))</formula>
    </cfRule>
  </conditionalFormatting>
  <conditionalFormatting sqref="$F$39">
    <cfRule type="containsText" dxfId="508" priority="1">
      <formula>NOT(ISERROR(SEARCH("Yes",F39)))</formula>
    </cfRule>
  </conditionalFormatting>
  <conditionalFormatting sqref="$G$39">
    <cfRule type="containsText" dxfId="509" priority="1">
      <formula>NOT(ISERROR(SEARCH("Yes",G39)))</formula>
    </cfRule>
    <cfRule type="containsText" dxfId="510" priority="2">
      <formula>NOT(ISERROR(SEARCH("No; explanation in comments",G39)))</formula>
    </cfRule>
  </conditionalFormatting>
  <conditionalFormatting sqref="$J$39">
    <cfRule type="containsText" dxfId="511" priority="1">
      <formula>NOT(ISERROR(SEARCH("Yes",J39)))</formula>
    </cfRule>
  </conditionalFormatting>
  <conditionalFormatting sqref="$K$39">
    <cfRule type="containsText" dxfId="512" priority="1">
      <formula>NOT(ISERROR(SEARCH("Mitigated",K39)))</formula>
    </cfRule>
    <cfRule type="containsText" dxfId="513" priority="2">
      <formula>NOT(ISERROR(SEARCH("Not Mitigated",K39)))</formula>
    </cfRule>
  </conditionalFormatting>
  <conditionalFormatting sqref="$F$40">
    <cfRule type="containsText" dxfId="514" priority="1">
      <formula>NOT(ISERROR(SEARCH("Yes",F40)))</formula>
    </cfRule>
  </conditionalFormatting>
  <conditionalFormatting sqref="$G$40">
    <cfRule type="containsText" dxfId="515" priority="1">
      <formula>NOT(ISERROR(SEARCH("Yes",G40)))</formula>
    </cfRule>
    <cfRule type="containsText" dxfId="516" priority="2">
      <formula>NOT(ISERROR(SEARCH("No; explanation in comments",G40)))</formula>
    </cfRule>
  </conditionalFormatting>
  <conditionalFormatting sqref="$J$40">
    <cfRule type="containsText" dxfId="517" priority="1">
      <formula>NOT(ISERROR(SEARCH("Yes",J40)))</formula>
    </cfRule>
  </conditionalFormatting>
  <conditionalFormatting sqref="$K$40">
    <cfRule type="containsText" dxfId="518" priority="1">
      <formula>NOT(ISERROR(SEARCH("Mitigated",K40)))</formula>
    </cfRule>
    <cfRule type="containsText" dxfId="519" priority="2">
      <formula>NOT(ISERROR(SEARCH("Not Mitigated",K40)))</formula>
    </cfRule>
  </conditionalFormatting>
  <conditionalFormatting sqref="$F$41">
    <cfRule type="containsText" dxfId="520" priority="1">
      <formula>NOT(ISERROR(SEARCH("Yes",F41)))</formula>
    </cfRule>
  </conditionalFormatting>
  <conditionalFormatting sqref="$G$41">
    <cfRule type="containsText" dxfId="521" priority="1">
      <formula>NOT(ISERROR(SEARCH("Yes",G41)))</formula>
    </cfRule>
    <cfRule type="containsText" dxfId="522" priority="2">
      <formula>NOT(ISERROR(SEARCH("No; explanation in comments",G41)))</formula>
    </cfRule>
  </conditionalFormatting>
  <conditionalFormatting sqref="$J$41">
    <cfRule type="containsText" dxfId="523" priority="1">
      <formula>NOT(ISERROR(SEARCH("Yes",J41)))</formula>
    </cfRule>
  </conditionalFormatting>
  <conditionalFormatting sqref="$K$41">
    <cfRule type="containsText" dxfId="524" priority="1">
      <formula>NOT(ISERROR(SEARCH("Mitigated",K41)))</formula>
    </cfRule>
    <cfRule type="containsText" dxfId="525" priority="2">
      <formula>NOT(ISERROR(SEARCH("Not Mitigated",K41)))</formula>
    </cfRule>
  </conditionalFormatting>
  <conditionalFormatting sqref="$F$42">
    <cfRule type="containsText" dxfId="526" priority="1">
      <formula>NOT(ISERROR(SEARCH("Yes",F42)))</formula>
    </cfRule>
  </conditionalFormatting>
  <conditionalFormatting sqref="$G$42">
    <cfRule type="containsText" dxfId="527" priority="1">
      <formula>NOT(ISERROR(SEARCH("Yes",G42)))</formula>
    </cfRule>
    <cfRule type="containsText" dxfId="528" priority="2">
      <formula>NOT(ISERROR(SEARCH("No; explanation in comments",G42)))</formula>
    </cfRule>
  </conditionalFormatting>
  <conditionalFormatting sqref="$J$42">
    <cfRule type="containsText" dxfId="529" priority="1">
      <formula>NOT(ISERROR(SEARCH("Yes",J42)))</formula>
    </cfRule>
  </conditionalFormatting>
  <conditionalFormatting sqref="$K$42">
    <cfRule type="containsText" dxfId="530" priority="1">
      <formula>NOT(ISERROR(SEARCH("Mitigated",K42)))</formula>
    </cfRule>
    <cfRule type="containsText" dxfId="531" priority="2">
      <formula>NOT(ISERROR(SEARCH("Not Mitigated",K42)))</formula>
    </cfRule>
  </conditionalFormatting>
  <conditionalFormatting sqref="$F$43">
    <cfRule type="containsText" dxfId="532" priority="1">
      <formula>NOT(ISERROR(SEARCH("Yes",F43)))</formula>
    </cfRule>
  </conditionalFormatting>
  <conditionalFormatting sqref="$G$43">
    <cfRule type="containsText" dxfId="533" priority="1">
      <formula>NOT(ISERROR(SEARCH("Yes",G43)))</formula>
    </cfRule>
    <cfRule type="containsText" dxfId="534" priority="2">
      <formula>NOT(ISERROR(SEARCH("No; explanation in comments",G43)))</formula>
    </cfRule>
  </conditionalFormatting>
  <conditionalFormatting sqref="$J$43">
    <cfRule type="containsText" dxfId="535" priority="1">
      <formula>NOT(ISERROR(SEARCH("Yes",J43)))</formula>
    </cfRule>
  </conditionalFormatting>
  <conditionalFormatting sqref="$K$43">
    <cfRule type="containsText" dxfId="536" priority="1">
      <formula>NOT(ISERROR(SEARCH("Mitigated",K43)))</formula>
    </cfRule>
    <cfRule type="containsText" dxfId="537" priority="2">
      <formula>NOT(ISERROR(SEARCH("Not Mitigated",K43)))</formula>
    </cfRule>
  </conditionalFormatting>
  <conditionalFormatting sqref="$F$44">
    <cfRule type="containsText" dxfId="538" priority="1">
      <formula>NOT(ISERROR(SEARCH("Yes",F44)))</formula>
    </cfRule>
  </conditionalFormatting>
  <conditionalFormatting sqref="$G$44">
    <cfRule type="containsText" dxfId="539" priority="1">
      <formula>NOT(ISERROR(SEARCH("Yes",G44)))</formula>
    </cfRule>
    <cfRule type="containsText" dxfId="540" priority="2">
      <formula>NOT(ISERROR(SEARCH("No; explanation in comments",G44)))</formula>
    </cfRule>
  </conditionalFormatting>
  <conditionalFormatting sqref="$J$44">
    <cfRule type="containsText" dxfId="541" priority="1">
      <formula>NOT(ISERROR(SEARCH("Yes",J44)))</formula>
    </cfRule>
  </conditionalFormatting>
  <conditionalFormatting sqref="$K$44">
    <cfRule type="containsText" dxfId="542" priority="1">
      <formula>NOT(ISERROR(SEARCH("Mitigated",K44)))</formula>
    </cfRule>
    <cfRule type="containsText" dxfId="543" priority="2">
      <formula>NOT(ISERROR(SEARCH("Not Mitigated",K44)))</formula>
    </cfRule>
  </conditionalFormatting>
  <conditionalFormatting sqref="$F$45">
    <cfRule type="containsText" dxfId="544" priority="1">
      <formula>NOT(ISERROR(SEARCH("Yes",F45)))</formula>
    </cfRule>
  </conditionalFormatting>
  <conditionalFormatting sqref="$G$45">
    <cfRule type="containsText" dxfId="545" priority="1">
      <formula>NOT(ISERROR(SEARCH("Yes",G45)))</formula>
    </cfRule>
    <cfRule type="containsText" dxfId="546" priority="2">
      <formula>NOT(ISERROR(SEARCH("No; explanation in comments",G45)))</formula>
    </cfRule>
  </conditionalFormatting>
  <conditionalFormatting sqref="$J$45">
    <cfRule type="containsText" dxfId="547" priority="1">
      <formula>NOT(ISERROR(SEARCH("Yes",J45)))</formula>
    </cfRule>
  </conditionalFormatting>
  <conditionalFormatting sqref="$K$45">
    <cfRule type="containsText" dxfId="548" priority="1">
      <formula>NOT(ISERROR(SEARCH("Mitigated",K45)))</formula>
    </cfRule>
    <cfRule type="containsText" dxfId="549" priority="2">
      <formula>NOT(ISERROR(SEARCH("Not Mitigated",K45)))</formula>
    </cfRule>
  </conditionalFormatting>
  <conditionalFormatting sqref="$F$46">
    <cfRule type="containsText" dxfId="550" priority="1">
      <formula>NOT(ISERROR(SEARCH("Yes",F46)))</formula>
    </cfRule>
  </conditionalFormatting>
  <conditionalFormatting sqref="$G$46">
    <cfRule type="containsText" dxfId="551" priority="1">
      <formula>NOT(ISERROR(SEARCH("Yes",G46)))</formula>
    </cfRule>
    <cfRule type="containsText" dxfId="552" priority="2">
      <formula>NOT(ISERROR(SEARCH("No; explanation in comments",G46)))</formula>
    </cfRule>
  </conditionalFormatting>
  <conditionalFormatting sqref="$J$46">
    <cfRule type="containsText" dxfId="553" priority="1">
      <formula>NOT(ISERROR(SEARCH("Yes",J46)))</formula>
    </cfRule>
  </conditionalFormatting>
  <conditionalFormatting sqref="$K$46">
    <cfRule type="containsText" dxfId="554" priority="1">
      <formula>NOT(ISERROR(SEARCH("Mitigated",K46)))</formula>
    </cfRule>
    <cfRule type="containsText" dxfId="555" priority="2">
      <formula>NOT(ISERROR(SEARCH("Not Mitigated",K46)))</formula>
    </cfRule>
  </conditionalFormatting>
  <conditionalFormatting sqref="$F$47">
    <cfRule type="containsText" dxfId="556" priority="1">
      <formula>NOT(ISERROR(SEARCH("Yes",F47)))</formula>
    </cfRule>
  </conditionalFormatting>
  <conditionalFormatting sqref="$G$47">
    <cfRule type="containsText" dxfId="557" priority="1">
      <formula>NOT(ISERROR(SEARCH("Yes",G47)))</formula>
    </cfRule>
    <cfRule type="containsText" dxfId="558" priority="2">
      <formula>NOT(ISERROR(SEARCH("No; explanation in comments",G47)))</formula>
    </cfRule>
  </conditionalFormatting>
  <conditionalFormatting sqref="$J$47">
    <cfRule type="containsText" dxfId="559" priority="1">
      <formula>NOT(ISERROR(SEARCH("Yes",J47)))</formula>
    </cfRule>
  </conditionalFormatting>
  <conditionalFormatting sqref="$K$47">
    <cfRule type="containsText" dxfId="560" priority="1">
      <formula>NOT(ISERROR(SEARCH("Mitigated",K47)))</formula>
    </cfRule>
    <cfRule type="containsText" dxfId="561" priority="2">
      <formula>NOT(ISERROR(SEARCH("Not Mitigated",K47)))</formula>
    </cfRule>
  </conditionalFormatting>
  <conditionalFormatting sqref="$F$48">
    <cfRule type="containsText" dxfId="562" priority="1">
      <formula>NOT(ISERROR(SEARCH("Yes",F48)))</formula>
    </cfRule>
  </conditionalFormatting>
  <conditionalFormatting sqref="$G$48">
    <cfRule type="containsText" dxfId="563" priority="1">
      <formula>NOT(ISERROR(SEARCH("Yes",G48)))</formula>
    </cfRule>
    <cfRule type="containsText" dxfId="564" priority="2">
      <formula>NOT(ISERROR(SEARCH("No; explanation in comments",G48)))</formula>
    </cfRule>
  </conditionalFormatting>
  <conditionalFormatting sqref="$J$48">
    <cfRule type="containsText" dxfId="565" priority="1">
      <formula>NOT(ISERROR(SEARCH("Yes",J48)))</formula>
    </cfRule>
  </conditionalFormatting>
  <conditionalFormatting sqref="$K$48">
    <cfRule type="containsText" dxfId="566" priority="1">
      <formula>NOT(ISERROR(SEARCH("Mitigated",K48)))</formula>
    </cfRule>
    <cfRule type="containsText" dxfId="567" priority="2">
      <formula>NOT(ISERROR(SEARCH("Not Mitigated",K48)))</formula>
    </cfRule>
  </conditionalFormatting>
  <conditionalFormatting sqref="$F$49">
    <cfRule type="containsText" dxfId="568" priority="1">
      <formula>NOT(ISERROR(SEARCH("Yes",F49)))</formula>
    </cfRule>
  </conditionalFormatting>
  <conditionalFormatting sqref="$G$49">
    <cfRule type="containsText" dxfId="569" priority="1">
      <formula>NOT(ISERROR(SEARCH("Yes",G49)))</formula>
    </cfRule>
    <cfRule type="containsText" dxfId="570" priority="2">
      <formula>NOT(ISERROR(SEARCH("No; explanation in comments",G49)))</formula>
    </cfRule>
  </conditionalFormatting>
  <conditionalFormatting sqref="$J$49">
    <cfRule type="containsText" dxfId="571" priority="1">
      <formula>NOT(ISERROR(SEARCH("Yes",J49)))</formula>
    </cfRule>
  </conditionalFormatting>
  <conditionalFormatting sqref="$K$49">
    <cfRule type="containsText" dxfId="572" priority="1">
      <formula>NOT(ISERROR(SEARCH("Mitigated",K49)))</formula>
    </cfRule>
    <cfRule type="containsText" dxfId="573" priority="2">
      <formula>NOT(ISERROR(SEARCH("Not Mitigated",K49)))</formula>
    </cfRule>
  </conditionalFormatting>
  <conditionalFormatting sqref="$F$50">
    <cfRule type="containsText" dxfId="574" priority="1">
      <formula>NOT(ISERROR(SEARCH("Yes",F50)))</formula>
    </cfRule>
  </conditionalFormatting>
  <conditionalFormatting sqref="$G$50">
    <cfRule type="containsText" dxfId="575" priority="1">
      <formula>NOT(ISERROR(SEARCH("Yes",G50)))</formula>
    </cfRule>
    <cfRule type="containsText" dxfId="576" priority="2">
      <formula>NOT(ISERROR(SEARCH("No; explanation in comments",G50)))</formula>
    </cfRule>
  </conditionalFormatting>
  <conditionalFormatting sqref="$J$50">
    <cfRule type="containsText" dxfId="577" priority="1">
      <formula>NOT(ISERROR(SEARCH("Yes",J50)))</formula>
    </cfRule>
  </conditionalFormatting>
  <conditionalFormatting sqref="$K$50">
    <cfRule type="containsText" dxfId="578" priority="1">
      <formula>NOT(ISERROR(SEARCH("Mitigated",K50)))</formula>
    </cfRule>
    <cfRule type="containsText" dxfId="579" priority="2">
      <formula>NOT(ISERROR(SEARCH("Not Mitigated",K50)))</formula>
    </cfRule>
  </conditionalFormatting>
  <conditionalFormatting sqref="$F$51">
    <cfRule type="containsText" dxfId="580" priority="1">
      <formula>NOT(ISERROR(SEARCH("Yes",F51)))</formula>
    </cfRule>
  </conditionalFormatting>
  <conditionalFormatting sqref="$G$51">
    <cfRule type="containsText" dxfId="581" priority="1">
      <formula>NOT(ISERROR(SEARCH("Yes",G51)))</formula>
    </cfRule>
    <cfRule type="containsText" dxfId="582" priority="2">
      <formula>NOT(ISERROR(SEARCH("No; explanation in comments",G51)))</formula>
    </cfRule>
  </conditionalFormatting>
  <conditionalFormatting sqref="$J$51">
    <cfRule type="containsText" dxfId="583" priority="1">
      <formula>NOT(ISERROR(SEARCH("Yes",J51)))</formula>
    </cfRule>
  </conditionalFormatting>
  <conditionalFormatting sqref="$K$51">
    <cfRule type="containsText" dxfId="584" priority="1">
      <formula>NOT(ISERROR(SEARCH("Mitigated",K51)))</formula>
    </cfRule>
    <cfRule type="containsText" dxfId="585" priority="2">
      <formula>NOT(ISERROR(SEARCH("Not Mitigated",K51)))</formula>
    </cfRule>
  </conditionalFormatting>
  <conditionalFormatting sqref="$F$52">
    <cfRule type="containsText" dxfId="586" priority="1">
      <formula>NOT(ISERROR(SEARCH("Yes",F52)))</formula>
    </cfRule>
  </conditionalFormatting>
  <conditionalFormatting sqref="$G$52">
    <cfRule type="containsText" dxfId="587" priority="1">
      <formula>NOT(ISERROR(SEARCH("Yes",G52)))</formula>
    </cfRule>
    <cfRule type="containsText" dxfId="588" priority="2">
      <formula>NOT(ISERROR(SEARCH("No; explanation in comments",G52)))</formula>
    </cfRule>
  </conditionalFormatting>
  <conditionalFormatting sqref="$J$52">
    <cfRule type="containsText" dxfId="589" priority="1">
      <formula>NOT(ISERROR(SEARCH("Yes",J52)))</formula>
    </cfRule>
  </conditionalFormatting>
  <conditionalFormatting sqref="$K$52">
    <cfRule type="containsText" dxfId="590" priority="1">
      <formula>NOT(ISERROR(SEARCH("Mitigated",K52)))</formula>
    </cfRule>
    <cfRule type="containsText" dxfId="591" priority="2">
      <formula>NOT(ISERROR(SEARCH("Not Mitigated",K52)))</formula>
    </cfRule>
  </conditionalFormatting>
  <conditionalFormatting sqref="$F$53">
    <cfRule type="containsText" dxfId="592" priority="1">
      <formula>NOT(ISERROR(SEARCH("Yes",F53)))</formula>
    </cfRule>
  </conditionalFormatting>
  <conditionalFormatting sqref="$G$53">
    <cfRule type="containsText" dxfId="593" priority="1">
      <formula>NOT(ISERROR(SEARCH("Yes",G53)))</formula>
    </cfRule>
    <cfRule type="containsText" dxfId="594" priority="2">
      <formula>NOT(ISERROR(SEARCH("No; explanation in comments",G53)))</formula>
    </cfRule>
  </conditionalFormatting>
  <conditionalFormatting sqref="$J$53">
    <cfRule type="containsText" dxfId="595" priority="1">
      <formula>NOT(ISERROR(SEARCH("Yes",J53)))</formula>
    </cfRule>
  </conditionalFormatting>
  <conditionalFormatting sqref="$K$53">
    <cfRule type="containsText" dxfId="596" priority="1">
      <formula>NOT(ISERROR(SEARCH("Mitigated",K53)))</formula>
    </cfRule>
    <cfRule type="containsText" dxfId="597" priority="2">
      <formula>NOT(ISERROR(SEARCH("Not Mitigated",K53)))</formula>
    </cfRule>
  </conditionalFormatting>
  <conditionalFormatting sqref="$F$54">
    <cfRule type="containsText" dxfId="598" priority="1">
      <formula>NOT(ISERROR(SEARCH("Yes",F54)))</formula>
    </cfRule>
  </conditionalFormatting>
  <conditionalFormatting sqref="$G$54">
    <cfRule type="containsText" dxfId="599" priority="1">
      <formula>NOT(ISERROR(SEARCH("Yes",G54)))</formula>
    </cfRule>
    <cfRule type="containsText" dxfId="600" priority="2">
      <formula>NOT(ISERROR(SEARCH("No; explanation in comments",G54)))</formula>
    </cfRule>
  </conditionalFormatting>
  <conditionalFormatting sqref="$J$54">
    <cfRule type="containsText" dxfId="601" priority="1">
      <formula>NOT(ISERROR(SEARCH("Yes",J54)))</formula>
    </cfRule>
  </conditionalFormatting>
  <conditionalFormatting sqref="$K$54">
    <cfRule type="containsText" dxfId="602" priority="1">
      <formula>NOT(ISERROR(SEARCH("Mitigated",K54)))</formula>
    </cfRule>
    <cfRule type="containsText" dxfId="603" priority="2">
      <formula>NOT(ISERROR(SEARCH("Not Mitigated",K54)))</formula>
    </cfRule>
  </conditionalFormatting>
  <conditionalFormatting sqref="$F$55">
    <cfRule type="containsText" dxfId="604" priority="1">
      <formula>NOT(ISERROR(SEARCH("Yes",F55)))</formula>
    </cfRule>
  </conditionalFormatting>
  <conditionalFormatting sqref="$G$55">
    <cfRule type="containsText" dxfId="605" priority="1">
      <formula>NOT(ISERROR(SEARCH("Yes",G55)))</formula>
    </cfRule>
    <cfRule type="containsText" dxfId="606" priority="2">
      <formula>NOT(ISERROR(SEARCH("No; explanation in comments",G55)))</formula>
    </cfRule>
  </conditionalFormatting>
  <conditionalFormatting sqref="$J$55">
    <cfRule type="containsText" dxfId="607" priority="1">
      <formula>NOT(ISERROR(SEARCH("Yes",J55)))</formula>
    </cfRule>
  </conditionalFormatting>
  <conditionalFormatting sqref="$K$55">
    <cfRule type="containsText" dxfId="608" priority="1">
      <formula>NOT(ISERROR(SEARCH("Mitigated",K55)))</formula>
    </cfRule>
    <cfRule type="containsText" dxfId="609" priority="2">
      <formula>NOT(ISERROR(SEARCH("Not Mitigated",K55)))</formula>
    </cfRule>
  </conditionalFormatting>
  <conditionalFormatting sqref="$F$56">
    <cfRule type="containsText" dxfId="610" priority="1">
      <formula>NOT(ISERROR(SEARCH("Yes",F56)))</formula>
    </cfRule>
  </conditionalFormatting>
  <conditionalFormatting sqref="$G$56">
    <cfRule type="containsText" dxfId="611" priority="1">
      <formula>NOT(ISERROR(SEARCH("Yes",G56)))</formula>
    </cfRule>
    <cfRule type="containsText" dxfId="612" priority="2">
      <formula>NOT(ISERROR(SEARCH("No; explanation in comments",G56)))</formula>
    </cfRule>
  </conditionalFormatting>
  <conditionalFormatting sqref="$J$56">
    <cfRule type="containsText" dxfId="613" priority="1">
      <formula>NOT(ISERROR(SEARCH("Yes",J56)))</formula>
    </cfRule>
  </conditionalFormatting>
  <conditionalFormatting sqref="$K$56">
    <cfRule type="containsText" dxfId="614" priority="1">
      <formula>NOT(ISERROR(SEARCH("Mitigated",K56)))</formula>
    </cfRule>
    <cfRule type="containsText" dxfId="615" priority="2">
      <formula>NOT(ISERROR(SEARCH("Not Mitigated",K56)))</formula>
    </cfRule>
  </conditionalFormatting>
  <conditionalFormatting sqref="$F$57">
    <cfRule type="containsText" dxfId="616" priority="1">
      <formula>NOT(ISERROR(SEARCH("Yes",F57)))</formula>
    </cfRule>
  </conditionalFormatting>
  <conditionalFormatting sqref="$G$57">
    <cfRule type="containsText" dxfId="617" priority="1">
      <formula>NOT(ISERROR(SEARCH("Yes",G57)))</formula>
    </cfRule>
    <cfRule type="containsText" dxfId="618" priority="2">
      <formula>NOT(ISERROR(SEARCH("No; explanation in comments",G57)))</formula>
    </cfRule>
  </conditionalFormatting>
  <conditionalFormatting sqref="$J$57">
    <cfRule type="containsText" dxfId="619" priority="1">
      <formula>NOT(ISERROR(SEARCH("Yes",J57)))</formula>
    </cfRule>
  </conditionalFormatting>
  <conditionalFormatting sqref="$K$57">
    <cfRule type="containsText" dxfId="620" priority="1">
      <formula>NOT(ISERROR(SEARCH("Mitigated",K57)))</formula>
    </cfRule>
    <cfRule type="containsText" dxfId="621" priority="2">
      <formula>NOT(ISERROR(SEARCH("Not Mitigated",K57)))</formula>
    </cfRule>
  </conditionalFormatting>
  <conditionalFormatting sqref="$F$58">
    <cfRule type="containsText" dxfId="622" priority="1">
      <formula>NOT(ISERROR(SEARCH("Yes",F58)))</formula>
    </cfRule>
  </conditionalFormatting>
  <conditionalFormatting sqref="$G$58">
    <cfRule type="containsText" dxfId="623" priority="1">
      <formula>NOT(ISERROR(SEARCH("Yes",G58)))</formula>
    </cfRule>
    <cfRule type="containsText" dxfId="624" priority="2">
      <formula>NOT(ISERROR(SEARCH("No; explanation in comments",G58)))</formula>
    </cfRule>
  </conditionalFormatting>
  <conditionalFormatting sqref="$J$58">
    <cfRule type="containsText" dxfId="625" priority="1">
      <formula>NOT(ISERROR(SEARCH("Yes",J58)))</formula>
    </cfRule>
  </conditionalFormatting>
  <conditionalFormatting sqref="$K$58">
    <cfRule type="containsText" dxfId="626" priority="1">
      <formula>NOT(ISERROR(SEARCH("Mitigated",K58)))</formula>
    </cfRule>
    <cfRule type="containsText" dxfId="627" priority="2">
      <formula>NOT(ISERROR(SEARCH("Not Mitigated",K58)))</formula>
    </cfRule>
  </conditionalFormatting>
  <conditionalFormatting sqref="$F$59">
    <cfRule type="containsText" dxfId="628" priority="1">
      <formula>NOT(ISERROR(SEARCH("Yes",F59)))</formula>
    </cfRule>
  </conditionalFormatting>
  <conditionalFormatting sqref="$G$59">
    <cfRule type="containsText" dxfId="629" priority="1">
      <formula>NOT(ISERROR(SEARCH("Yes",G59)))</formula>
    </cfRule>
    <cfRule type="containsText" dxfId="630" priority="2">
      <formula>NOT(ISERROR(SEARCH("No; explanation in comments",G59)))</formula>
    </cfRule>
  </conditionalFormatting>
  <conditionalFormatting sqref="$J$59">
    <cfRule type="containsText" dxfId="631" priority="1">
      <formula>NOT(ISERROR(SEARCH("Yes",J59)))</formula>
    </cfRule>
  </conditionalFormatting>
  <conditionalFormatting sqref="$K$59">
    <cfRule type="containsText" dxfId="632" priority="1">
      <formula>NOT(ISERROR(SEARCH("Mitigated",K59)))</formula>
    </cfRule>
    <cfRule type="containsText" dxfId="633" priority="2">
      <formula>NOT(ISERROR(SEARCH("Not Mitigated",K59)))</formula>
    </cfRule>
  </conditionalFormatting>
  <conditionalFormatting sqref="$F$60">
    <cfRule type="containsText" dxfId="634" priority="1">
      <formula>NOT(ISERROR(SEARCH("Yes",F60)))</formula>
    </cfRule>
  </conditionalFormatting>
  <conditionalFormatting sqref="$G$60">
    <cfRule type="containsText" dxfId="635" priority="1">
      <formula>NOT(ISERROR(SEARCH("Yes",G60)))</formula>
    </cfRule>
    <cfRule type="containsText" dxfId="636" priority="2">
      <formula>NOT(ISERROR(SEARCH("No; explanation in comments",G60)))</formula>
    </cfRule>
  </conditionalFormatting>
  <conditionalFormatting sqref="$J$60">
    <cfRule type="containsText" dxfId="637" priority="1">
      <formula>NOT(ISERROR(SEARCH("Yes",J60)))</formula>
    </cfRule>
  </conditionalFormatting>
  <conditionalFormatting sqref="$K$60">
    <cfRule type="containsText" dxfId="638" priority="1">
      <formula>NOT(ISERROR(SEARCH("Mitigated",K60)))</formula>
    </cfRule>
    <cfRule type="containsText" dxfId="639" priority="2">
      <formula>NOT(ISERROR(SEARCH("Not Mitigated",K60)))</formula>
    </cfRule>
  </conditionalFormatting>
  <conditionalFormatting sqref="$F$61">
    <cfRule type="containsText" dxfId="640" priority="1">
      <formula>NOT(ISERROR(SEARCH("Yes",F61)))</formula>
    </cfRule>
  </conditionalFormatting>
  <conditionalFormatting sqref="$G$61">
    <cfRule type="containsText" dxfId="641" priority="1">
      <formula>NOT(ISERROR(SEARCH("Yes",G61)))</formula>
    </cfRule>
    <cfRule type="containsText" dxfId="642" priority="2">
      <formula>NOT(ISERROR(SEARCH("No; explanation in comments",G61)))</formula>
    </cfRule>
  </conditionalFormatting>
  <conditionalFormatting sqref="$J$61">
    <cfRule type="containsText" dxfId="643" priority="1">
      <formula>NOT(ISERROR(SEARCH("Yes",J61)))</formula>
    </cfRule>
  </conditionalFormatting>
  <conditionalFormatting sqref="$K$61">
    <cfRule type="containsText" dxfId="644" priority="1">
      <formula>NOT(ISERROR(SEARCH("Mitigated",K61)))</formula>
    </cfRule>
    <cfRule type="containsText" dxfId="645" priority="2">
      <formula>NOT(ISERROR(SEARCH("Not Mitigated",K61)))</formula>
    </cfRule>
  </conditionalFormatting>
  <conditionalFormatting sqref="$F$62">
    <cfRule type="containsText" dxfId="646" priority="1">
      <formula>NOT(ISERROR(SEARCH("Yes",F62)))</formula>
    </cfRule>
  </conditionalFormatting>
  <conditionalFormatting sqref="$G$62">
    <cfRule type="containsText" dxfId="647" priority="1">
      <formula>NOT(ISERROR(SEARCH("Yes",G62)))</formula>
    </cfRule>
    <cfRule type="containsText" dxfId="648" priority="2">
      <formula>NOT(ISERROR(SEARCH("No; explanation in comments",G62)))</formula>
    </cfRule>
  </conditionalFormatting>
  <conditionalFormatting sqref="$J$62">
    <cfRule type="containsText" dxfId="649" priority="1">
      <formula>NOT(ISERROR(SEARCH("Yes",J62)))</formula>
    </cfRule>
  </conditionalFormatting>
  <conditionalFormatting sqref="$K$62">
    <cfRule type="containsText" dxfId="650" priority="1">
      <formula>NOT(ISERROR(SEARCH("Mitigated",K62)))</formula>
    </cfRule>
    <cfRule type="containsText" dxfId="651" priority="2">
      <formula>NOT(ISERROR(SEARCH("Not Mitigated",K62)))</formula>
    </cfRule>
  </conditionalFormatting>
  <conditionalFormatting sqref="$F$63">
    <cfRule type="containsText" dxfId="652" priority="1">
      <formula>NOT(ISERROR(SEARCH("Yes",F63)))</formula>
    </cfRule>
  </conditionalFormatting>
  <conditionalFormatting sqref="$G$63">
    <cfRule type="containsText" dxfId="653" priority="1">
      <formula>NOT(ISERROR(SEARCH("Yes",G63)))</formula>
    </cfRule>
    <cfRule type="containsText" dxfId="654" priority="2">
      <formula>NOT(ISERROR(SEARCH("No; explanation in comments",G63)))</formula>
    </cfRule>
  </conditionalFormatting>
  <conditionalFormatting sqref="$J$63">
    <cfRule type="containsText" dxfId="655" priority="1">
      <formula>NOT(ISERROR(SEARCH("Yes",J63)))</formula>
    </cfRule>
  </conditionalFormatting>
  <conditionalFormatting sqref="$K$63">
    <cfRule type="containsText" dxfId="656" priority="1">
      <formula>NOT(ISERROR(SEARCH("Mitigated",K63)))</formula>
    </cfRule>
    <cfRule type="containsText" dxfId="657" priority="2">
      <formula>NOT(ISERROR(SEARCH("Not Mitigated",K63)))</formula>
    </cfRule>
  </conditionalFormatting>
  <conditionalFormatting sqref="$F$64">
    <cfRule type="containsText" dxfId="658" priority="1">
      <formula>NOT(ISERROR(SEARCH("Yes",F64)))</formula>
    </cfRule>
  </conditionalFormatting>
  <conditionalFormatting sqref="$G$64">
    <cfRule type="containsText" dxfId="659" priority="1">
      <formula>NOT(ISERROR(SEARCH("Yes",G64)))</formula>
    </cfRule>
    <cfRule type="containsText" dxfId="660" priority="2">
      <formula>NOT(ISERROR(SEARCH("No; explanation in comments",G64)))</formula>
    </cfRule>
  </conditionalFormatting>
  <conditionalFormatting sqref="$J$64">
    <cfRule type="containsText" dxfId="661" priority="1">
      <formula>NOT(ISERROR(SEARCH("Yes",J64)))</formula>
    </cfRule>
  </conditionalFormatting>
  <conditionalFormatting sqref="$K$64">
    <cfRule type="containsText" dxfId="662" priority="1">
      <formula>NOT(ISERROR(SEARCH("Mitigated",K64)))</formula>
    </cfRule>
    <cfRule type="containsText" dxfId="663" priority="2">
      <formula>NOT(ISERROR(SEARCH("Not Mitigated",K64)))</formula>
    </cfRule>
  </conditionalFormatting>
  <conditionalFormatting sqref="$F$65">
    <cfRule type="containsText" dxfId="664" priority="1">
      <formula>NOT(ISERROR(SEARCH("Yes",F65)))</formula>
    </cfRule>
  </conditionalFormatting>
  <conditionalFormatting sqref="$G$65">
    <cfRule type="containsText" dxfId="665" priority="1">
      <formula>NOT(ISERROR(SEARCH("Yes",G65)))</formula>
    </cfRule>
    <cfRule type="containsText" dxfId="666" priority="2">
      <formula>NOT(ISERROR(SEARCH("No; explanation in comments",G65)))</formula>
    </cfRule>
  </conditionalFormatting>
  <conditionalFormatting sqref="$J$65">
    <cfRule type="containsText" dxfId="667" priority="1">
      <formula>NOT(ISERROR(SEARCH("Yes",J65)))</formula>
    </cfRule>
  </conditionalFormatting>
  <conditionalFormatting sqref="$K$65">
    <cfRule type="containsText" dxfId="668" priority="1">
      <formula>NOT(ISERROR(SEARCH("Mitigated",K65)))</formula>
    </cfRule>
    <cfRule type="containsText" dxfId="669" priority="2">
      <formula>NOT(ISERROR(SEARCH("Not Mitigated",K65)))</formula>
    </cfRule>
  </conditionalFormatting>
  <conditionalFormatting sqref="$F$66">
    <cfRule type="containsText" dxfId="670" priority="1">
      <formula>NOT(ISERROR(SEARCH("Yes",F66)))</formula>
    </cfRule>
  </conditionalFormatting>
  <conditionalFormatting sqref="$G$66">
    <cfRule type="containsText" dxfId="671" priority="1">
      <formula>NOT(ISERROR(SEARCH("Yes",G66)))</formula>
    </cfRule>
    <cfRule type="containsText" dxfId="672" priority="2">
      <formula>NOT(ISERROR(SEARCH("No; explanation in comments",G66)))</formula>
    </cfRule>
  </conditionalFormatting>
  <conditionalFormatting sqref="$J$66">
    <cfRule type="containsText" dxfId="673" priority="1">
      <formula>NOT(ISERROR(SEARCH("Yes",J66)))</formula>
    </cfRule>
  </conditionalFormatting>
  <conditionalFormatting sqref="$K$66">
    <cfRule type="containsText" dxfId="674" priority="1">
      <formula>NOT(ISERROR(SEARCH("Mitigated",K66)))</formula>
    </cfRule>
    <cfRule type="containsText" dxfId="675" priority="2">
      <formula>NOT(ISERROR(SEARCH("Not Mitigated",K66)))</formula>
    </cfRule>
  </conditionalFormatting>
  <conditionalFormatting sqref="$F$67">
    <cfRule type="containsText" dxfId="676" priority="1">
      <formula>NOT(ISERROR(SEARCH("Yes",F67)))</formula>
    </cfRule>
  </conditionalFormatting>
  <conditionalFormatting sqref="$G$67">
    <cfRule type="containsText" dxfId="677" priority="1">
      <formula>NOT(ISERROR(SEARCH("Yes",G67)))</formula>
    </cfRule>
    <cfRule type="containsText" dxfId="678" priority="2">
      <formula>NOT(ISERROR(SEARCH("No; explanation in comments",G67)))</formula>
    </cfRule>
  </conditionalFormatting>
  <conditionalFormatting sqref="$J$67">
    <cfRule type="containsText" dxfId="679" priority="1">
      <formula>NOT(ISERROR(SEARCH("Yes",J67)))</formula>
    </cfRule>
  </conditionalFormatting>
  <conditionalFormatting sqref="$K$67">
    <cfRule type="containsText" dxfId="680" priority="1">
      <formula>NOT(ISERROR(SEARCH("Mitigated",K67)))</formula>
    </cfRule>
    <cfRule type="containsText" dxfId="681" priority="2">
      <formula>NOT(ISERROR(SEARCH("Not Mitigated",K67)))</formula>
    </cfRule>
  </conditionalFormatting>
  <conditionalFormatting sqref="$F$68">
    <cfRule type="containsText" dxfId="682" priority="1">
      <formula>NOT(ISERROR(SEARCH("Yes",F68)))</formula>
    </cfRule>
  </conditionalFormatting>
  <conditionalFormatting sqref="$G$68">
    <cfRule type="containsText" dxfId="683" priority="1">
      <formula>NOT(ISERROR(SEARCH("Yes",G68)))</formula>
    </cfRule>
    <cfRule type="containsText" dxfId="684" priority="2">
      <formula>NOT(ISERROR(SEARCH("No; explanation in comments",G68)))</formula>
    </cfRule>
  </conditionalFormatting>
  <conditionalFormatting sqref="$J$68">
    <cfRule type="containsText" dxfId="685" priority="1">
      <formula>NOT(ISERROR(SEARCH("Yes",J68)))</formula>
    </cfRule>
  </conditionalFormatting>
  <conditionalFormatting sqref="$K$68">
    <cfRule type="containsText" dxfId="686" priority="1">
      <formula>NOT(ISERROR(SEARCH("Mitigated",K68)))</formula>
    </cfRule>
    <cfRule type="containsText" dxfId="687" priority="2">
      <formula>NOT(ISERROR(SEARCH("Not Mitigated",K68)))</formula>
    </cfRule>
  </conditionalFormatting>
  <conditionalFormatting sqref="$F$69">
    <cfRule type="containsText" dxfId="688" priority="1">
      <formula>NOT(ISERROR(SEARCH("Yes",F69)))</formula>
    </cfRule>
  </conditionalFormatting>
  <conditionalFormatting sqref="$G$69">
    <cfRule type="containsText" dxfId="689" priority="1">
      <formula>NOT(ISERROR(SEARCH("Yes",G69)))</formula>
    </cfRule>
    <cfRule type="containsText" dxfId="690" priority="2">
      <formula>NOT(ISERROR(SEARCH("No; explanation in comments",G69)))</formula>
    </cfRule>
  </conditionalFormatting>
  <conditionalFormatting sqref="$J$69">
    <cfRule type="containsText" dxfId="691" priority="1">
      <formula>NOT(ISERROR(SEARCH("Yes",J69)))</formula>
    </cfRule>
  </conditionalFormatting>
  <conditionalFormatting sqref="$K$69">
    <cfRule type="containsText" dxfId="692" priority="1">
      <formula>NOT(ISERROR(SEARCH("Mitigated",K69)))</formula>
    </cfRule>
    <cfRule type="containsText" dxfId="693" priority="2">
      <formula>NOT(ISERROR(SEARCH("Not Mitigated",K69)))</formula>
    </cfRule>
  </conditionalFormatting>
  <conditionalFormatting sqref="$F$70">
    <cfRule type="containsText" dxfId="694" priority="1">
      <formula>NOT(ISERROR(SEARCH("Yes",F70)))</formula>
    </cfRule>
  </conditionalFormatting>
  <conditionalFormatting sqref="$G$70">
    <cfRule type="containsText" dxfId="695" priority="1">
      <formula>NOT(ISERROR(SEARCH("Yes",G70)))</formula>
    </cfRule>
    <cfRule type="containsText" dxfId="696" priority="2">
      <formula>NOT(ISERROR(SEARCH("No; explanation in comments",G70)))</formula>
    </cfRule>
  </conditionalFormatting>
  <conditionalFormatting sqref="$J$70">
    <cfRule type="containsText" dxfId="697" priority="1">
      <formula>NOT(ISERROR(SEARCH("Yes",J70)))</formula>
    </cfRule>
  </conditionalFormatting>
  <conditionalFormatting sqref="$K$70">
    <cfRule type="containsText" dxfId="698" priority="1">
      <formula>NOT(ISERROR(SEARCH("Mitigated",K70)))</formula>
    </cfRule>
    <cfRule type="containsText" dxfId="699" priority="2">
      <formula>NOT(ISERROR(SEARCH("Not Mitigated",K70)))</formula>
    </cfRule>
  </conditionalFormatting>
  <conditionalFormatting sqref="$F$71">
    <cfRule type="containsText" dxfId="700" priority="1">
      <formula>NOT(ISERROR(SEARCH("Yes",F71)))</formula>
    </cfRule>
  </conditionalFormatting>
  <conditionalFormatting sqref="$G$71">
    <cfRule type="containsText" dxfId="701" priority="1">
      <formula>NOT(ISERROR(SEARCH("Yes",G71)))</formula>
    </cfRule>
    <cfRule type="containsText" dxfId="702" priority="2">
      <formula>NOT(ISERROR(SEARCH("No; explanation in comments",G71)))</formula>
    </cfRule>
  </conditionalFormatting>
  <conditionalFormatting sqref="$J$71">
    <cfRule type="containsText" dxfId="703" priority="1">
      <formula>NOT(ISERROR(SEARCH("Yes",J71)))</formula>
    </cfRule>
  </conditionalFormatting>
  <conditionalFormatting sqref="$K$71">
    <cfRule type="containsText" dxfId="704" priority="1">
      <formula>NOT(ISERROR(SEARCH("Mitigated",K71)))</formula>
    </cfRule>
    <cfRule type="containsText" dxfId="705" priority="2">
      <formula>NOT(ISERROR(SEARCH("Not Mitigated",K71)))</formula>
    </cfRule>
  </conditionalFormatting>
  <conditionalFormatting sqref="$F$72">
    <cfRule type="containsText" dxfId="706" priority="1">
      <formula>NOT(ISERROR(SEARCH("Yes",F72)))</formula>
    </cfRule>
  </conditionalFormatting>
  <conditionalFormatting sqref="$G$72">
    <cfRule type="containsText" dxfId="707" priority="1">
      <formula>NOT(ISERROR(SEARCH("Yes",G72)))</formula>
    </cfRule>
    <cfRule type="containsText" dxfId="708" priority="2">
      <formula>NOT(ISERROR(SEARCH("No; explanation in comments",G72)))</formula>
    </cfRule>
  </conditionalFormatting>
  <conditionalFormatting sqref="$J$72">
    <cfRule type="containsText" dxfId="709" priority="1">
      <formula>NOT(ISERROR(SEARCH("Yes",J72)))</formula>
    </cfRule>
  </conditionalFormatting>
  <conditionalFormatting sqref="$K$72">
    <cfRule type="containsText" dxfId="710" priority="1">
      <formula>NOT(ISERROR(SEARCH("Mitigated",K72)))</formula>
    </cfRule>
    <cfRule type="containsText" dxfId="711" priority="2">
      <formula>NOT(ISERROR(SEARCH("Not Mitigated",K72)))</formula>
    </cfRule>
  </conditionalFormatting>
  <conditionalFormatting sqref="$F$73">
    <cfRule type="containsText" dxfId="712" priority="1">
      <formula>NOT(ISERROR(SEARCH("Yes",F73)))</formula>
    </cfRule>
  </conditionalFormatting>
  <conditionalFormatting sqref="$G$73">
    <cfRule type="containsText" dxfId="713" priority="1">
      <formula>NOT(ISERROR(SEARCH("Yes",G73)))</formula>
    </cfRule>
    <cfRule type="containsText" dxfId="714" priority="2">
      <formula>NOT(ISERROR(SEARCH("No; explanation in comments",G73)))</formula>
    </cfRule>
  </conditionalFormatting>
  <conditionalFormatting sqref="$J$73">
    <cfRule type="containsText" dxfId="715" priority="1">
      <formula>NOT(ISERROR(SEARCH("Yes",J73)))</formula>
    </cfRule>
  </conditionalFormatting>
  <conditionalFormatting sqref="$K$73">
    <cfRule type="containsText" dxfId="716" priority="1">
      <formula>NOT(ISERROR(SEARCH("Mitigated",K73)))</formula>
    </cfRule>
    <cfRule type="containsText" dxfId="717" priority="2">
      <formula>NOT(ISERROR(SEARCH("Not Mitigated",K73)))</formula>
    </cfRule>
  </conditionalFormatting>
  <conditionalFormatting sqref="$F$74">
    <cfRule type="containsText" dxfId="718" priority="1">
      <formula>NOT(ISERROR(SEARCH("Yes",F74)))</formula>
    </cfRule>
  </conditionalFormatting>
  <conditionalFormatting sqref="$G$74">
    <cfRule type="containsText" dxfId="719" priority="1">
      <formula>NOT(ISERROR(SEARCH("Yes",G74)))</formula>
    </cfRule>
    <cfRule type="containsText" dxfId="720" priority="2">
      <formula>NOT(ISERROR(SEARCH("No; explanation in comments",G74)))</formula>
    </cfRule>
  </conditionalFormatting>
  <conditionalFormatting sqref="$J$74">
    <cfRule type="containsText" dxfId="721" priority="1">
      <formula>NOT(ISERROR(SEARCH("Yes",J74)))</formula>
    </cfRule>
  </conditionalFormatting>
  <conditionalFormatting sqref="$K$74">
    <cfRule type="containsText" dxfId="722" priority="1">
      <formula>NOT(ISERROR(SEARCH("Mitigated",K74)))</formula>
    </cfRule>
    <cfRule type="containsText" dxfId="723" priority="2">
      <formula>NOT(ISERROR(SEARCH("Not Mitigated",K74)))</formula>
    </cfRule>
  </conditionalFormatting>
  <conditionalFormatting sqref="$F$75">
    <cfRule type="containsText" dxfId="724" priority="1">
      <formula>NOT(ISERROR(SEARCH("Yes",F75)))</formula>
    </cfRule>
  </conditionalFormatting>
  <conditionalFormatting sqref="$G$75">
    <cfRule type="containsText" dxfId="725" priority="1">
      <formula>NOT(ISERROR(SEARCH("Yes",G75)))</formula>
    </cfRule>
    <cfRule type="containsText" dxfId="726" priority="2">
      <formula>NOT(ISERROR(SEARCH("No; explanation in comments",G75)))</formula>
    </cfRule>
  </conditionalFormatting>
  <conditionalFormatting sqref="$J$75">
    <cfRule type="containsText" dxfId="727" priority="1">
      <formula>NOT(ISERROR(SEARCH("Yes",J75)))</formula>
    </cfRule>
  </conditionalFormatting>
  <conditionalFormatting sqref="$K$75">
    <cfRule type="containsText" dxfId="728" priority="1">
      <formula>NOT(ISERROR(SEARCH("Mitigated",K75)))</formula>
    </cfRule>
    <cfRule type="containsText" dxfId="729" priority="2">
      <formula>NOT(ISERROR(SEARCH("Not Mitigated",K75)))</formula>
    </cfRule>
  </conditionalFormatting>
  <conditionalFormatting sqref="$F$76">
    <cfRule type="containsText" dxfId="730" priority="1">
      <formula>NOT(ISERROR(SEARCH("Yes",F76)))</formula>
    </cfRule>
  </conditionalFormatting>
  <conditionalFormatting sqref="$G$76">
    <cfRule type="containsText" dxfId="731" priority="1">
      <formula>NOT(ISERROR(SEARCH("Yes",G76)))</formula>
    </cfRule>
    <cfRule type="containsText" dxfId="732" priority="2">
      <formula>NOT(ISERROR(SEARCH("No; explanation in comments",G76)))</formula>
    </cfRule>
  </conditionalFormatting>
  <conditionalFormatting sqref="$J$76">
    <cfRule type="containsText" dxfId="733" priority="1">
      <formula>NOT(ISERROR(SEARCH("Yes",J76)))</formula>
    </cfRule>
  </conditionalFormatting>
  <conditionalFormatting sqref="$K$76">
    <cfRule type="containsText" dxfId="734" priority="1">
      <formula>NOT(ISERROR(SEARCH("Mitigated",K76)))</formula>
    </cfRule>
    <cfRule type="containsText" dxfId="735" priority="2">
      <formula>NOT(ISERROR(SEARCH("Not Mitigated",K76)))</formula>
    </cfRule>
  </conditionalFormatting>
  <conditionalFormatting sqref="$F$77">
    <cfRule type="containsText" dxfId="736" priority="1">
      <formula>NOT(ISERROR(SEARCH("Yes",F77)))</formula>
    </cfRule>
  </conditionalFormatting>
  <conditionalFormatting sqref="$G$77">
    <cfRule type="containsText" dxfId="737" priority="1">
      <formula>NOT(ISERROR(SEARCH("Yes",G77)))</formula>
    </cfRule>
    <cfRule type="containsText" dxfId="738" priority="2">
      <formula>NOT(ISERROR(SEARCH("No; explanation in comments",G77)))</formula>
    </cfRule>
  </conditionalFormatting>
  <conditionalFormatting sqref="$J$77">
    <cfRule type="containsText" dxfId="739" priority="1">
      <formula>NOT(ISERROR(SEARCH("Yes",J77)))</formula>
    </cfRule>
  </conditionalFormatting>
  <conditionalFormatting sqref="$K$77">
    <cfRule type="containsText" dxfId="740" priority="1">
      <formula>NOT(ISERROR(SEARCH("Mitigated",K77)))</formula>
    </cfRule>
    <cfRule type="containsText" dxfId="741" priority="2">
      <formula>NOT(ISERROR(SEARCH("Not Mitigated",K77)))</formula>
    </cfRule>
  </conditionalFormatting>
  <conditionalFormatting sqref="$F$78">
    <cfRule type="containsText" dxfId="742" priority="1">
      <formula>NOT(ISERROR(SEARCH("Yes",F78)))</formula>
    </cfRule>
  </conditionalFormatting>
  <conditionalFormatting sqref="$G$78">
    <cfRule type="containsText" dxfId="743" priority="1">
      <formula>NOT(ISERROR(SEARCH("Yes",G78)))</formula>
    </cfRule>
    <cfRule type="containsText" dxfId="744" priority="2">
      <formula>NOT(ISERROR(SEARCH("No; explanation in comments",G78)))</formula>
    </cfRule>
  </conditionalFormatting>
  <conditionalFormatting sqref="$J$78">
    <cfRule type="containsText" dxfId="745" priority="1">
      <formula>NOT(ISERROR(SEARCH("Yes",J78)))</formula>
    </cfRule>
  </conditionalFormatting>
  <conditionalFormatting sqref="$K$78">
    <cfRule type="containsText" dxfId="746" priority="1">
      <formula>NOT(ISERROR(SEARCH("Mitigated",K78)))</formula>
    </cfRule>
    <cfRule type="containsText" dxfId="747" priority="2">
      <formula>NOT(ISERROR(SEARCH("Not Mitigated",K78)))</formula>
    </cfRule>
  </conditionalFormatting>
  <conditionalFormatting sqref="$F$79">
    <cfRule type="containsText" dxfId="748" priority="1">
      <formula>NOT(ISERROR(SEARCH("Yes",F79)))</formula>
    </cfRule>
  </conditionalFormatting>
  <conditionalFormatting sqref="$G$79">
    <cfRule type="containsText" dxfId="749" priority="1">
      <formula>NOT(ISERROR(SEARCH("Yes",G79)))</formula>
    </cfRule>
    <cfRule type="containsText" dxfId="750" priority="2">
      <formula>NOT(ISERROR(SEARCH("No; explanation in comments",G79)))</formula>
    </cfRule>
  </conditionalFormatting>
  <conditionalFormatting sqref="$J$79">
    <cfRule type="containsText" dxfId="751" priority="1">
      <formula>NOT(ISERROR(SEARCH("Yes",J79)))</formula>
    </cfRule>
  </conditionalFormatting>
  <conditionalFormatting sqref="$K$79">
    <cfRule type="containsText" dxfId="752" priority="1">
      <formula>NOT(ISERROR(SEARCH("Mitigated",K79)))</formula>
    </cfRule>
    <cfRule type="containsText" dxfId="753" priority="2">
      <formula>NOT(ISERROR(SEARCH("Not Mitigated",K79)))</formula>
    </cfRule>
  </conditionalFormatting>
  <dataValidations count="4">
    <dataValidation type="list" sqref="G10:G79">
      <formula1>"-,Yes,No; explanation in comments"</formula1>
    </dataValidation>
    <dataValidation type="list" sqref="G2:G79">
      <formula1>"-,Yes,No; explanation in comments"</formula1>
    </dataValidation>
    <dataValidation type="list" sqref="K10:K79">
      <formula1>"Mitigated,Not Mitigated,Not Assessed Yet,N/A"</formula1>
    </dataValidation>
    <dataValidation type="list" sqref="K2:K79">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95" customHeight="1" spans="1:27" s="53" customFormat="1" x14ac:dyDescent="0.25">
      <c r="A2" s="65" t="s">
        <v>62</v>
      </c>
      <c r="B2" s="66" t="s">
        <v>526</v>
      </c>
      <c r="C2" s="56">
        <f>=IF(AMAZON_S3InUse="Yes","Yes","No")</f>
      </c>
      <c r="D2" s="56" t="s">
        <v>527</v>
      </c>
      <c r="E2" s="56" t="s">
        <v>528</v>
      </c>
      <c r="F2" s="56">
        <f>=IF(AND(C2="Yes",G2="-"), "Yes", "No")</f>
      </c>
      <c r="G2" s="56" t="s">
        <v>13</v>
      </c>
      <c r="H2" s="56" t="s">
        <v>5</v>
      </c>
      <c r="I2" s="56" t="s">
        <v>242</v>
      </c>
      <c r="J2" s="56" t="s">
        <v>32</v>
      </c>
      <c r="K2" s="56" t="s">
        <v>230</v>
      </c>
      <c r="L2" s="56" t="s">
        <v>5</v>
      </c>
      <c r="M2" s="56" t="s">
        <v>5</v>
      </c>
      <c r="N2" s="56" t="s">
        <v>5</v>
      </c>
      <c r="O2" s="56" t="s">
        <v>5</v>
      </c>
      <c r="P2" s="56" t="s">
        <v>5</v>
      </c>
      <c r="Q2" s="56" t="s">
        <v>5</v>
      </c>
      <c r="R2" s="56" t="s">
        <v>5</v>
      </c>
      <c r="S2" s="56" t="s">
        <v>5</v>
      </c>
      <c r="T2" s="56" t="s">
        <v>7</v>
      </c>
      <c r="U2" s="56">
        <f>=COUNTIFS(C2:C22,"Yes")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65" t="s">
        <v>62</v>
      </c>
      <c r="B3" s="66" t="s">
        <v>529</v>
      </c>
      <c r="C3" s="56">
        <f>=IF(AMAZON_S3InUse="Yes","Yes","No")</f>
      </c>
      <c r="D3" s="56" t="s">
        <v>530</v>
      </c>
      <c r="E3" s="56" t="s">
        <v>531</v>
      </c>
      <c r="F3" s="56">
        <f>=IF(AND(C3="Yes",G3="-"), "Yes", "No")</f>
      </c>
      <c r="G3" s="56" t="s">
        <v>13</v>
      </c>
      <c r="H3" s="56" t="s">
        <v>5</v>
      </c>
      <c r="I3" s="56" t="s">
        <v>242</v>
      </c>
      <c r="J3" s="56" t="s">
        <v>32</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65" t="s">
        <v>62</v>
      </c>
      <c r="B4" s="66" t="s">
        <v>532</v>
      </c>
      <c r="C4" s="56">
        <f>=IF(AMAZON_S3InUse="Yes","Yes","No")</f>
      </c>
      <c r="D4" s="56" t="s">
        <v>533</v>
      </c>
      <c r="E4" s="56" t="s">
        <v>534</v>
      </c>
      <c r="F4" s="56">
        <f>=IF(AND(C4="Yes",G4="-"), "Yes", "No")</f>
      </c>
      <c r="G4" s="56" t="s">
        <v>226</v>
      </c>
      <c r="H4" s="56" t="s">
        <v>535</v>
      </c>
      <c r="I4" s="56" t="s">
        <v>229</v>
      </c>
      <c r="J4" s="56" t="s">
        <v>226</v>
      </c>
      <c r="K4" s="56" t="s">
        <v>230</v>
      </c>
      <c r="L4" s="56" t="s">
        <v>5</v>
      </c>
      <c r="M4" s="56" t="s">
        <v>5</v>
      </c>
      <c r="N4" s="56" t="s">
        <v>5</v>
      </c>
      <c r="O4" s="56" t="s">
        <v>5</v>
      </c>
      <c r="P4" s="56" t="s">
        <v>5</v>
      </c>
      <c r="Q4" s="56" t="s">
        <v>5</v>
      </c>
      <c r="R4" s="56" t="s">
        <v>5</v>
      </c>
      <c r="S4" s="56" t="s">
        <v>5</v>
      </c>
      <c r="T4" s="56" t="s">
        <v>237</v>
      </c>
      <c r="U4" s="56">
        <f>=SUM(W2:W22)</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65" t="s">
        <v>62</v>
      </c>
      <c r="B5" s="66" t="s">
        <v>536</v>
      </c>
      <c r="C5" s="56">
        <f>=IF(AMAZON_S3InUse="Yes","Yes","No")</f>
      </c>
      <c r="D5" s="56" t="s">
        <v>537</v>
      </c>
      <c r="E5" s="56" t="s">
        <v>538</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=SUM(X2:X22)</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65" t="s">
        <v>62</v>
      </c>
      <c r="B6" s="66" t="s">
        <v>539</v>
      </c>
      <c r="C6" s="56">
        <f>=IF(AMAZON_S3InUse="Yes","Yes","No")</f>
      </c>
      <c r="D6" s="56" t="s">
        <v>540</v>
      </c>
      <c r="E6" s="56" t="s">
        <v>541</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=SUM(Z2:Z22)</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35" customHeight="1" spans="1:27" s="53" customFormat="1" x14ac:dyDescent="0.25">
      <c r="A7" s="65" t="s">
        <v>62</v>
      </c>
      <c r="B7" s="66" t="s">
        <v>542</v>
      </c>
      <c r="C7" s="56">
        <f>=IF(AMAZON_S3InUse="Yes","Yes","No")</f>
      </c>
      <c r="D7" s="56" t="s">
        <v>543</v>
      </c>
      <c r="E7" s="56" t="s">
        <v>544</v>
      </c>
      <c r="F7" s="56">
        <f>=IF(AND(C7="Yes",G7="-"), "Yes", "No")</f>
      </c>
      <c r="G7" s="56" t="s">
        <v>13</v>
      </c>
      <c r="H7" s="56" t="s">
        <v>5</v>
      </c>
      <c r="I7" s="56" t="s">
        <v>242</v>
      </c>
      <c r="J7" s="56" t="s">
        <v>32</v>
      </c>
      <c r="K7" s="56" t="s">
        <v>230</v>
      </c>
      <c r="L7" s="56" t="s">
        <v>5</v>
      </c>
      <c r="M7" s="56" t="s">
        <v>5</v>
      </c>
      <c r="N7" s="56" t="s">
        <v>5</v>
      </c>
      <c r="O7" s="56" t="s">
        <v>5</v>
      </c>
      <c r="P7" s="56" t="s">
        <v>5</v>
      </c>
      <c r="Q7" s="56" t="s">
        <v>5</v>
      </c>
      <c r="R7" s="56" t="s">
        <v>5</v>
      </c>
      <c r="S7" s="56" t="s">
        <v>5</v>
      </c>
      <c r="T7" s="56" t="s">
        <v>9</v>
      </c>
      <c r="U7" s="56">
        <f>=SUM(AA2:AA22)</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35" customHeight="1" spans="1:27" s="53" customFormat="1" x14ac:dyDescent="0.25">
      <c r="A8" s="65" t="s">
        <v>62</v>
      </c>
      <c r="B8" s="66" t="s">
        <v>545</v>
      </c>
      <c r="C8" s="56">
        <f>=IF(AMAZON_S3InUse="Yes","Yes","No")</f>
      </c>
      <c r="D8" s="56" t="s">
        <v>546</v>
      </c>
      <c r="E8" s="56" t="s">
        <v>547</v>
      </c>
      <c r="F8" s="56">
        <f>=IF(AND(C8="Yes",G8="-"), "Yes", "No")</f>
      </c>
      <c r="G8" s="56" t="s">
        <v>13</v>
      </c>
      <c r="H8" s="56" t="s">
        <v>5</v>
      </c>
      <c r="I8" s="56" t="s">
        <v>242</v>
      </c>
      <c r="J8" s="56" t="s">
        <v>32</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65" customHeight="1" spans="1:27" s="53" customFormat="1" x14ac:dyDescent="0.25">
      <c r="A9" s="65" t="s">
        <v>62</v>
      </c>
      <c r="B9" s="66" t="s">
        <v>548</v>
      </c>
      <c r="C9" s="56">
        <f>=IF(AMAZON_S3InUse="Yes","Yes","No")</f>
      </c>
      <c r="D9" s="56" t="s">
        <v>549</v>
      </c>
      <c r="E9" s="56" t="s">
        <v>550</v>
      </c>
      <c r="F9" s="56">
        <f>=IF(AND(C9="Yes",G9="-"), "Yes", "No")</f>
      </c>
      <c r="G9" s="56" t="s">
        <v>13</v>
      </c>
      <c r="H9" s="56" t="s">
        <v>5</v>
      </c>
      <c r="I9" s="56" t="s">
        <v>242</v>
      </c>
      <c r="J9" s="56" t="s">
        <v>32</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65" customHeight="1" spans="1:27" s="53" customFormat="1" x14ac:dyDescent="0.25">
      <c r="A10" s="65" t="s">
        <v>62</v>
      </c>
      <c r="B10" s="66" t="s">
        <v>551</v>
      </c>
      <c r="C10" s="56">
        <f>=IF(AMAZON_S3InUse="Yes","Yes","No")</f>
      </c>
      <c r="D10" s="56" t="s">
        <v>552</v>
      </c>
      <c r="E10" s="56" t="s">
        <v>553</v>
      </c>
      <c r="F10" s="56">
        <f>=IF(AND(C10="Yes",G10="-"), "Yes", "No")</f>
      </c>
      <c r="G10" s="56" t="s">
        <v>13</v>
      </c>
      <c r="H10" s="56" t="s">
        <v>5</v>
      </c>
      <c r="I10" s="56" t="s">
        <v>242</v>
      </c>
      <c r="J10" s="56" t="s">
        <v>32</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35" customHeight="1" spans="1:27" s="53" customFormat="1" x14ac:dyDescent="0.25">
      <c r="A11" s="67" t="s">
        <v>66</v>
      </c>
      <c r="B11" s="68" t="s">
        <v>554</v>
      </c>
      <c r="C11" s="56">
        <f>=IF(EFSInUse="Yes","Yes","No")</f>
      </c>
      <c r="D11" s="56" t="s">
        <v>555</v>
      </c>
      <c r="E11" s="56" t="s">
        <v>556</v>
      </c>
      <c r="F11" s="56">
        <f>=IF(AND(C11="Yes",G11="-"), "Yes", "No")</f>
      </c>
      <c r="G11" s="56" t="s">
        <v>13</v>
      </c>
      <c r="H11" s="56" t="s">
        <v>5</v>
      </c>
      <c r="I11" s="56" t="s">
        <v>242</v>
      </c>
      <c r="J11" s="56" t="s">
        <v>32</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67" t="s">
        <v>66</v>
      </c>
      <c r="B12" s="68" t="s">
        <v>557</v>
      </c>
      <c r="C12" s="56">
        <f>=IF(EFSInUse="Yes","Yes","No")</f>
      </c>
      <c r="D12" s="56" t="s">
        <v>558</v>
      </c>
      <c r="E12" s="56" t="s">
        <v>559</v>
      </c>
      <c r="F12" s="56">
        <f>=IF(AND(C12="Yes",G12="-"), "Yes", "No")</f>
      </c>
      <c r="G12" s="56" t="s">
        <v>13</v>
      </c>
      <c r="H12" s="56" t="s">
        <v>5</v>
      </c>
      <c r="I12" s="56" t="s">
        <v>242</v>
      </c>
      <c r="J12" s="56" t="s">
        <v>32</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67" t="s">
        <v>66</v>
      </c>
      <c r="B13" s="68" t="s">
        <v>560</v>
      </c>
      <c r="C13" s="56">
        <f>=IF(EFSInUse="Yes","Yes","No")</f>
      </c>
      <c r="D13" s="56" t="s">
        <v>561</v>
      </c>
      <c r="E13" s="56" t="s">
        <v>562</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35" customHeight="1" spans="1:27" s="53" customFormat="1" x14ac:dyDescent="0.25">
      <c r="A14" s="67" t="s">
        <v>66</v>
      </c>
      <c r="B14" s="68" t="s">
        <v>563</v>
      </c>
      <c r="C14" s="56">
        <f>=IF(EFSInUse="Yes","Yes","No")</f>
      </c>
      <c r="D14" s="56" t="s">
        <v>564</v>
      </c>
      <c r="E14" s="56" t="s">
        <v>565</v>
      </c>
      <c r="F14" s="56">
        <f>=IF(AND(C14="Yes",G14="-"), "Yes", "No")</f>
      </c>
      <c r="G14" s="56" t="s">
        <v>13</v>
      </c>
      <c r="H14" s="56" t="s">
        <v>5</v>
      </c>
      <c r="I14" s="56" t="s">
        <v>242</v>
      </c>
      <c r="J14" s="56" t="s">
        <v>32</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67" t="s">
        <v>66</v>
      </c>
      <c r="B15" s="68" t="s">
        <v>566</v>
      </c>
      <c r="C15" s="56">
        <f>=IF(EFSInUse="Yes","Yes","No")</f>
      </c>
      <c r="D15" s="56" t="s">
        <v>567</v>
      </c>
      <c r="E15" s="56" t="s">
        <v>568</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50" customHeight="1" spans="1:27" s="53" customFormat="1" x14ac:dyDescent="0.25">
      <c r="A16" s="65" t="s">
        <v>70</v>
      </c>
      <c r="B16" s="66" t="s">
        <v>569</v>
      </c>
      <c r="C16" s="56">
        <f>=IF(FSXInUse="Yes","Yes","No")</f>
      </c>
      <c r="D16" s="56" t="s">
        <v>570</v>
      </c>
      <c r="E16" s="56" t="s">
        <v>571</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35" customHeight="1" spans="1:27" s="53" customFormat="1" x14ac:dyDescent="0.25">
      <c r="A17" s="65" t="s">
        <v>70</v>
      </c>
      <c r="B17" s="66" t="s">
        <v>572</v>
      </c>
      <c r="C17" s="56">
        <f>=IF(FSXInUse="Yes","Yes","No")</f>
      </c>
      <c r="D17" s="56" t="s">
        <v>573</v>
      </c>
      <c r="E17" s="56" t="s">
        <v>574</v>
      </c>
      <c r="F17" s="56">
        <f>=IF(AND(C17="Yes",G17="-"), "Yes", "No")</f>
      </c>
      <c r="G17" s="56" t="s">
        <v>13</v>
      </c>
      <c r="H17" s="56" t="s">
        <v>5</v>
      </c>
      <c r="I17" s="56" t="s">
        <v>242</v>
      </c>
      <c r="J17" s="56" t="s">
        <v>32</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35" customHeight="1" spans="1:27" s="53" customFormat="1" x14ac:dyDescent="0.25">
      <c r="A18" s="65" t="s">
        <v>70</v>
      </c>
      <c r="B18" s="66" t="s">
        <v>575</v>
      </c>
      <c r="C18" s="56">
        <f>=IF(FSXInUse="Yes","Yes","No")</f>
      </c>
      <c r="D18" s="56" t="s">
        <v>576</v>
      </c>
      <c r="E18" s="56" t="s">
        <v>577</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50" customHeight="1" spans="1:27" s="53" customFormat="1" x14ac:dyDescent="0.25">
      <c r="A19" s="65" t="s">
        <v>70</v>
      </c>
      <c r="B19" s="66" t="s">
        <v>578</v>
      </c>
      <c r="C19" s="56">
        <f>=IF(FSXInUse="Yes","Yes","No")</f>
      </c>
      <c r="D19" s="56" t="s">
        <v>579</v>
      </c>
      <c r="E19" s="56" t="s">
        <v>580</v>
      </c>
      <c r="F19" s="56">
        <f>=IF(AND(C19="Yes",G19="-"), "Yes", "No")</f>
      </c>
      <c r="G19" s="56" t="s">
        <v>13</v>
      </c>
      <c r="H19" s="56" t="s">
        <v>5</v>
      </c>
      <c r="I19" s="56" t="s">
        <v>242</v>
      </c>
      <c r="J19" s="56" t="s">
        <v>32</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50" customHeight="1" spans="1:27" s="53" customFormat="1" x14ac:dyDescent="0.25">
      <c r="A20" s="67" t="s">
        <v>74</v>
      </c>
      <c r="B20" s="68" t="s">
        <v>581</v>
      </c>
      <c r="C20" s="56">
        <f>=IF(FSX_NInUse="Yes","Yes","No")</f>
      </c>
      <c r="D20" s="56" t="s">
        <v>582</v>
      </c>
      <c r="E20" s="56" t="s">
        <v>583</v>
      </c>
      <c r="F20" s="56">
        <f>=IF(AND(C20="Yes",G20="-"), "Yes", "No")</f>
      </c>
      <c r="G20" s="56" t="s">
        <v>13</v>
      </c>
      <c r="H20" s="56" t="s">
        <v>5</v>
      </c>
      <c r="I20" s="56" t="s">
        <v>229</v>
      </c>
      <c r="J20" s="56" t="s">
        <v>226</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50" customHeight="1" spans="1:27" s="53" customFormat="1" x14ac:dyDescent="0.25">
      <c r="A21" s="67" t="s">
        <v>74</v>
      </c>
      <c r="B21" s="68" t="s">
        <v>584</v>
      </c>
      <c r="C21" s="56">
        <f>=IF(FSX_NInUse="Yes","Yes","No")</f>
      </c>
      <c r="D21" s="56" t="s">
        <v>585</v>
      </c>
      <c r="E21" s="56" t="s">
        <v>586</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35" customHeight="1" spans="1:27" s="53" customFormat="1" x14ac:dyDescent="0.25">
      <c r="A22" s="67" t="s">
        <v>74</v>
      </c>
      <c r="B22" s="68" t="s">
        <v>587</v>
      </c>
      <c r="C22" s="56">
        <f>=IF(FSX_NInUse="Yes","Yes","No")</f>
      </c>
      <c r="D22" s="56" t="s">
        <v>588</v>
      </c>
      <c r="E22" s="56" t="s">
        <v>589</v>
      </c>
      <c r="F22" s="56">
        <f>=IF(AND(C22="Yes",G22="-"), "Yes", "No")</f>
      </c>
      <c r="G22" s="56" t="s">
        <v>13</v>
      </c>
      <c r="H22" s="56" t="s">
        <v>5</v>
      </c>
      <c r="I22" s="56" t="s">
        <v>242</v>
      </c>
      <c r="J22" s="56" t="s">
        <v>32</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sheetData>
  <autoFilter ref="A1:L1"/>
  <conditionalFormatting sqref="$F$2">
    <cfRule type="containsText" dxfId="754" priority="1">
      <formula>NOT(ISERROR(SEARCH("Yes",F2)))</formula>
    </cfRule>
  </conditionalFormatting>
  <conditionalFormatting sqref="$G$2">
    <cfRule type="containsText" dxfId="755" priority="1">
      <formula>NOT(ISERROR(SEARCH("Yes",G2)))</formula>
    </cfRule>
    <cfRule type="containsText" dxfId="756" priority="2">
      <formula>NOT(ISERROR(SEARCH("No; explanation in comments",G2)))</formula>
    </cfRule>
  </conditionalFormatting>
  <conditionalFormatting sqref="$J$2">
    <cfRule type="containsText" dxfId="757" priority="1">
      <formula>NOT(ISERROR(SEARCH("Yes",J2)))</formula>
    </cfRule>
  </conditionalFormatting>
  <conditionalFormatting sqref="$K$2">
    <cfRule type="containsText" dxfId="758" priority="1">
      <formula>NOT(ISERROR(SEARCH("Mitigated",K2)))</formula>
    </cfRule>
    <cfRule type="containsText" dxfId="759" priority="2">
      <formula>NOT(ISERROR(SEARCH("Not Mitigated",K2)))</formula>
    </cfRule>
  </conditionalFormatting>
  <conditionalFormatting sqref="$F$3">
    <cfRule type="containsText" dxfId="760" priority="1">
      <formula>NOT(ISERROR(SEARCH("Yes",F3)))</formula>
    </cfRule>
  </conditionalFormatting>
  <conditionalFormatting sqref="$G$3">
    <cfRule type="containsText" dxfId="761" priority="1">
      <formula>NOT(ISERROR(SEARCH("Yes",G3)))</formula>
    </cfRule>
    <cfRule type="containsText" dxfId="762" priority="2">
      <formula>NOT(ISERROR(SEARCH("No; explanation in comments",G3)))</formula>
    </cfRule>
  </conditionalFormatting>
  <conditionalFormatting sqref="$J$3">
    <cfRule type="containsText" dxfId="763" priority="1">
      <formula>NOT(ISERROR(SEARCH("Yes",J3)))</formula>
    </cfRule>
  </conditionalFormatting>
  <conditionalFormatting sqref="$K$3">
    <cfRule type="containsText" dxfId="764" priority="1">
      <formula>NOT(ISERROR(SEARCH("Mitigated",K3)))</formula>
    </cfRule>
    <cfRule type="containsText" dxfId="765" priority="2">
      <formula>NOT(ISERROR(SEARCH("Not Mitigated",K3)))</formula>
    </cfRule>
  </conditionalFormatting>
  <conditionalFormatting sqref="$F$4">
    <cfRule type="containsText" dxfId="766" priority="1">
      <formula>NOT(ISERROR(SEARCH("Yes",F4)))</formula>
    </cfRule>
  </conditionalFormatting>
  <conditionalFormatting sqref="$G$4">
    <cfRule type="containsText" dxfId="767" priority="1">
      <formula>NOT(ISERROR(SEARCH("Yes",G4)))</formula>
    </cfRule>
    <cfRule type="containsText" dxfId="768" priority="2">
      <formula>NOT(ISERROR(SEARCH("No; explanation in comments",G4)))</formula>
    </cfRule>
  </conditionalFormatting>
  <conditionalFormatting sqref="$J$4">
    <cfRule type="containsText" dxfId="769" priority="1">
      <formula>NOT(ISERROR(SEARCH("Yes",J4)))</formula>
    </cfRule>
  </conditionalFormatting>
  <conditionalFormatting sqref="$K$4">
    <cfRule type="containsText" dxfId="770" priority="1">
      <formula>NOT(ISERROR(SEARCH("Mitigated",K4)))</formula>
    </cfRule>
    <cfRule type="containsText" dxfId="771" priority="2">
      <formula>NOT(ISERROR(SEARCH("Not Mitigated",K4)))</formula>
    </cfRule>
  </conditionalFormatting>
  <conditionalFormatting sqref="$F$5">
    <cfRule type="containsText" dxfId="772" priority="1">
      <formula>NOT(ISERROR(SEARCH("Yes",F5)))</formula>
    </cfRule>
  </conditionalFormatting>
  <conditionalFormatting sqref="$G$5">
    <cfRule type="containsText" dxfId="773" priority="1">
      <formula>NOT(ISERROR(SEARCH("Yes",G5)))</formula>
    </cfRule>
    <cfRule type="containsText" dxfId="774" priority="2">
      <formula>NOT(ISERROR(SEARCH("No; explanation in comments",G5)))</formula>
    </cfRule>
  </conditionalFormatting>
  <conditionalFormatting sqref="$J$5">
    <cfRule type="containsText" dxfId="775" priority="1">
      <formula>NOT(ISERROR(SEARCH("Yes",J5)))</formula>
    </cfRule>
  </conditionalFormatting>
  <conditionalFormatting sqref="$K$5">
    <cfRule type="containsText" dxfId="776" priority="1">
      <formula>NOT(ISERROR(SEARCH("Mitigated",K5)))</formula>
    </cfRule>
    <cfRule type="containsText" dxfId="777" priority="2">
      <formula>NOT(ISERROR(SEARCH("Not Mitigated",K5)))</formula>
    </cfRule>
  </conditionalFormatting>
  <conditionalFormatting sqref="$F$6">
    <cfRule type="containsText" dxfId="778" priority="1">
      <formula>NOT(ISERROR(SEARCH("Yes",F6)))</formula>
    </cfRule>
  </conditionalFormatting>
  <conditionalFormatting sqref="$G$6">
    <cfRule type="containsText" dxfId="779" priority="1">
      <formula>NOT(ISERROR(SEARCH("Yes",G6)))</formula>
    </cfRule>
    <cfRule type="containsText" dxfId="780" priority="2">
      <formula>NOT(ISERROR(SEARCH("No; explanation in comments",G6)))</formula>
    </cfRule>
  </conditionalFormatting>
  <conditionalFormatting sqref="$J$6">
    <cfRule type="containsText" dxfId="781" priority="1">
      <formula>NOT(ISERROR(SEARCH("Yes",J6)))</formula>
    </cfRule>
  </conditionalFormatting>
  <conditionalFormatting sqref="$K$6">
    <cfRule type="containsText" dxfId="782" priority="1">
      <formula>NOT(ISERROR(SEARCH("Mitigated",K6)))</formula>
    </cfRule>
    <cfRule type="containsText" dxfId="783" priority="2">
      <formula>NOT(ISERROR(SEARCH("Not Mitigated",K6)))</formula>
    </cfRule>
  </conditionalFormatting>
  <conditionalFormatting sqref="$F$7">
    <cfRule type="containsText" dxfId="784" priority="1">
      <formula>NOT(ISERROR(SEARCH("Yes",F7)))</formula>
    </cfRule>
  </conditionalFormatting>
  <conditionalFormatting sqref="$G$7">
    <cfRule type="containsText" dxfId="785" priority="1">
      <formula>NOT(ISERROR(SEARCH("Yes",G7)))</formula>
    </cfRule>
    <cfRule type="containsText" dxfId="786" priority="2">
      <formula>NOT(ISERROR(SEARCH("No; explanation in comments",G7)))</formula>
    </cfRule>
  </conditionalFormatting>
  <conditionalFormatting sqref="$J$7">
    <cfRule type="containsText" dxfId="787" priority="1">
      <formula>NOT(ISERROR(SEARCH("Yes",J7)))</formula>
    </cfRule>
  </conditionalFormatting>
  <conditionalFormatting sqref="$K$7">
    <cfRule type="containsText" dxfId="788" priority="1">
      <formula>NOT(ISERROR(SEARCH("Mitigated",K7)))</formula>
    </cfRule>
    <cfRule type="containsText" dxfId="789" priority="2">
      <formula>NOT(ISERROR(SEARCH("Not Mitigated",K7)))</formula>
    </cfRule>
  </conditionalFormatting>
  <conditionalFormatting sqref="$F$8">
    <cfRule type="containsText" dxfId="790" priority="1">
      <formula>NOT(ISERROR(SEARCH("Yes",F8)))</formula>
    </cfRule>
  </conditionalFormatting>
  <conditionalFormatting sqref="$G$8">
    <cfRule type="containsText" dxfId="791" priority="1">
      <formula>NOT(ISERROR(SEARCH("Yes",G8)))</formula>
    </cfRule>
    <cfRule type="containsText" dxfId="792" priority="2">
      <formula>NOT(ISERROR(SEARCH("No; explanation in comments",G8)))</formula>
    </cfRule>
  </conditionalFormatting>
  <conditionalFormatting sqref="$J$8">
    <cfRule type="containsText" dxfId="793" priority="1">
      <formula>NOT(ISERROR(SEARCH("Yes",J8)))</formula>
    </cfRule>
  </conditionalFormatting>
  <conditionalFormatting sqref="$K$8">
    <cfRule type="containsText" dxfId="794" priority="1">
      <formula>NOT(ISERROR(SEARCH("Mitigated",K8)))</formula>
    </cfRule>
    <cfRule type="containsText" dxfId="795" priority="2">
      <formula>NOT(ISERROR(SEARCH("Not Mitigated",K8)))</formula>
    </cfRule>
  </conditionalFormatting>
  <conditionalFormatting sqref="$F$9">
    <cfRule type="containsText" dxfId="796" priority="1">
      <formula>NOT(ISERROR(SEARCH("Yes",F9)))</formula>
    </cfRule>
  </conditionalFormatting>
  <conditionalFormatting sqref="$G$9">
    <cfRule type="containsText" dxfId="797" priority="1">
      <formula>NOT(ISERROR(SEARCH("Yes",G9)))</formula>
    </cfRule>
    <cfRule type="containsText" dxfId="798" priority="2">
      <formula>NOT(ISERROR(SEARCH("No; explanation in comments",G9)))</formula>
    </cfRule>
  </conditionalFormatting>
  <conditionalFormatting sqref="$J$9">
    <cfRule type="containsText" dxfId="799" priority="1">
      <formula>NOT(ISERROR(SEARCH("Yes",J9)))</formula>
    </cfRule>
  </conditionalFormatting>
  <conditionalFormatting sqref="$K$9">
    <cfRule type="containsText" dxfId="800" priority="1">
      <formula>NOT(ISERROR(SEARCH("Mitigated",K9)))</formula>
    </cfRule>
    <cfRule type="containsText" dxfId="801" priority="2">
      <formula>NOT(ISERROR(SEARCH("Not Mitigated",K9)))</formula>
    </cfRule>
  </conditionalFormatting>
  <conditionalFormatting sqref="$F$10">
    <cfRule type="containsText" dxfId="802" priority="1">
      <formula>NOT(ISERROR(SEARCH("Yes",F10)))</formula>
    </cfRule>
  </conditionalFormatting>
  <conditionalFormatting sqref="$G$10">
    <cfRule type="containsText" dxfId="803" priority="1">
      <formula>NOT(ISERROR(SEARCH("Yes",G10)))</formula>
    </cfRule>
    <cfRule type="containsText" dxfId="804" priority="2">
      <formula>NOT(ISERROR(SEARCH("No; explanation in comments",G10)))</formula>
    </cfRule>
  </conditionalFormatting>
  <conditionalFormatting sqref="$J$10">
    <cfRule type="containsText" dxfId="805" priority="1">
      <formula>NOT(ISERROR(SEARCH("Yes",J10)))</formula>
    </cfRule>
  </conditionalFormatting>
  <conditionalFormatting sqref="$K$10">
    <cfRule type="containsText" dxfId="806" priority="1">
      <formula>NOT(ISERROR(SEARCH("Mitigated",K10)))</formula>
    </cfRule>
    <cfRule type="containsText" dxfId="807" priority="2">
      <formula>NOT(ISERROR(SEARCH("Not Mitigated",K10)))</formula>
    </cfRule>
  </conditionalFormatting>
  <conditionalFormatting sqref="$F$11">
    <cfRule type="containsText" dxfId="808" priority="1">
      <formula>NOT(ISERROR(SEARCH("Yes",F11)))</formula>
    </cfRule>
  </conditionalFormatting>
  <conditionalFormatting sqref="$G$11">
    <cfRule type="containsText" dxfId="809" priority="1">
      <formula>NOT(ISERROR(SEARCH("Yes",G11)))</formula>
    </cfRule>
    <cfRule type="containsText" dxfId="810" priority="2">
      <formula>NOT(ISERROR(SEARCH("No; explanation in comments",G11)))</formula>
    </cfRule>
  </conditionalFormatting>
  <conditionalFormatting sqref="$J$11">
    <cfRule type="containsText" dxfId="811" priority="1">
      <formula>NOT(ISERROR(SEARCH("Yes",J11)))</formula>
    </cfRule>
  </conditionalFormatting>
  <conditionalFormatting sqref="$K$11">
    <cfRule type="containsText" dxfId="812" priority="1">
      <formula>NOT(ISERROR(SEARCH("Mitigated",K11)))</formula>
    </cfRule>
    <cfRule type="containsText" dxfId="813" priority="2">
      <formula>NOT(ISERROR(SEARCH("Not Mitigated",K11)))</formula>
    </cfRule>
  </conditionalFormatting>
  <conditionalFormatting sqref="$F$12">
    <cfRule type="containsText" dxfId="814" priority="1">
      <formula>NOT(ISERROR(SEARCH("Yes",F12)))</formula>
    </cfRule>
  </conditionalFormatting>
  <conditionalFormatting sqref="$G$12">
    <cfRule type="containsText" dxfId="815" priority="1">
      <formula>NOT(ISERROR(SEARCH("Yes",G12)))</formula>
    </cfRule>
    <cfRule type="containsText" dxfId="816" priority="2">
      <formula>NOT(ISERROR(SEARCH("No; explanation in comments",G12)))</formula>
    </cfRule>
  </conditionalFormatting>
  <conditionalFormatting sqref="$J$12">
    <cfRule type="containsText" dxfId="817" priority="1">
      <formula>NOT(ISERROR(SEARCH("Yes",J12)))</formula>
    </cfRule>
  </conditionalFormatting>
  <conditionalFormatting sqref="$K$12">
    <cfRule type="containsText" dxfId="818" priority="1">
      <formula>NOT(ISERROR(SEARCH("Mitigated",K12)))</formula>
    </cfRule>
    <cfRule type="containsText" dxfId="819" priority="2">
      <formula>NOT(ISERROR(SEARCH("Not Mitigated",K12)))</formula>
    </cfRule>
  </conditionalFormatting>
  <conditionalFormatting sqref="$F$13">
    <cfRule type="containsText" dxfId="820" priority="1">
      <formula>NOT(ISERROR(SEARCH("Yes",F13)))</formula>
    </cfRule>
  </conditionalFormatting>
  <conditionalFormatting sqref="$G$13">
    <cfRule type="containsText" dxfId="821" priority="1">
      <formula>NOT(ISERROR(SEARCH("Yes",G13)))</formula>
    </cfRule>
    <cfRule type="containsText" dxfId="822" priority="2">
      <formula>NOT(ISERROR(SEARCH("No; explanation in comments",G13)))</formula>
    </cfRule>
  </conditionalFormatting>
  <conditionalFormatting sqref="$J$13">
    <cfRule type="containsText" dxfId="823" priority="1">
      <formula>NOT(ISERROR(SEARCH("Yes",J13)))</formula>
    </cfRule>
  </conditionalFormatting>
  <conditionalFormatting sqref="$K$13">
    <cfRule type="containsText" dxfId="824" priority="1">
      <formula>NOT(ISERROR(SEARCH("Mitigated",K13)))</formula>
    </cfRule>
    <cfRule type="containsText" dxfId="825" priority="2">
      <formula>NOT(ISERROR(SEARCH("Not Mitigated",K13)))</formula>
    </cfRule>
  </conditionalFormatting>
  <conditionalFormatting sqref="$F$14">
    <cfRule type="containsText" dxfId="826" priority="1">
      <formula>NOT(ISERROR(SEARCH("Yes",F14)))</formula>
    </cfRule>
  </conditionalFormatting>
  <conditionalFormatting sqref="$G$14">
    <cfRule type="containsText" dxfId="827" priority="1">
      <formula>NOT(ISERROR(SEARCH("Yes",G14)))</formula>
    </cfRule>
    <cfRule type="containsText" dxfId="828" priority="2">
      <formula>NOT(ISERROR(SEARCH("No; explanation in comments",G14)))</formula>
    </cfRule>
  </conditionalFormatting>
  <conditionalFormatting sqref="$J$14">
    <cfRule type="containsText" dxfId="829" priority="1">
      <formula>NOT(ISERROR(SEARCH("Yes",J14)))</formula>
    </cfRule>
  </conditionalFormatting>
  <conditionalFormatting sqref="$K$14">
    <cfRule type="containsText" dxfId="830" priority="1">
      <formula>NOT(ISERROR(SEARCH("Mitigated",K14)))</formula>
    </cfRule>
    <cfRule type="containsText" dxfId="831" priority="2">
      <formula>NOT(ISERROR(SEARCH("Not Mitigated",K14)))</formula>
    </cfRule>
  </conditionalFormatting>
  <conditionalFormatting sqref="$F$15">
    <cfRule type="containsText" dxfId="832" priority="1">
      <formula>NOT(ISERROR(SEARCH("Yes",F15)))</formula>
    </cfRule>
  </conditionalFormatting>
  <conditionalFormatting sqref="$G$15">
    <cfRule type="containsText" dxfId="833" priority="1">
      <formula>NOT(ISERROR(SEARCH("Yes",G15)))</formula>
    </cfRule>
    <cfRule type="containsText" dxfId="834" priority="2">
      <formula>NOT(ISERROR(SEARCH("No; explanation in comments",G15)))</formula>
    </cfRule>
  </conditionalFormatting>
  <conditionalFormatting sqref="$J$15">
    <cfRule type="containsText" dxfId="835" priority="1">
      <formula>NOT(ISERROR(SEARCH("Yes",J15)))</formula>
    </cfRule>
  </conditionalFormatting>
  <conditionalFormatting sqref="$K$15">
    <cfRule type="containsText" dxfId="836" priority="1">
      <formula>NOT(ISERROR(SEARCH("Mitigated",K15)))</formula>
    </cfRule>
    <cfRule type="containsText" dxfId="837" priority="2">
      <formula>NOT(ISERROR(SEARCH("Not Mitigated",K15)))</formula>
    </cfRule>
  </conditionalFormatting>
  <conditionalFormatting sqref="$F$16">
    <cfRule type="containsText" dxfId="838" priority="1">
      <formula>NOT(ISERROR(SEARCH("Yes",F16)))</formula>
    </cfRule>
  </conditionalFormatting>
  <conditionalFormatting sqref="$G$16">
    <cfRule type="containsText" dxfId="839" priority="1">
      <formula>NOT(ISERROR(SEARCH("Yes",G16)))</formula>
    </cfRule>
    <cfRule type="containsText" dxfId="840" priority="2">
      <formula>NOT(ISERROR(SEARCH("No; explanation in comments",G16)))</formula>
    </cfRule>
  </conditionalFormatting>
  <conditionalFormatting sqref="$J$16">
    <cfRule type="containsText" dxfId="841" priority="1">
      <formula>NOT(ISERROR(SEARCH("Yes",J16)))</formula>
    </cfRule>
  </conditionalFormatting>
  <conditionalFormatting sqref="$K$16">
    <cfRule type="containsText" dxfId="842" priority="1">
      <formula>NOT(ISERROR(SEARCH("Mitigated",K16)))</formula>
    </cfRule>
    <cfRule type="containsText" dxfId="843" priority="2">
      <formula>NOT(ISERROR(SEARCH("Not Mitigated",K16)))</formula>
    </cfRule>
  </conditionalFormatting>
  <conditionalFormatting sqref="$F$17">
    <cfRule type="containsText" dxfId="844" priority="1">
      <formula>NOT(ISERROR(SEARCH("Yes",F17)))</formula>
    </cfRule>
  </conditionalFormatting>
  <conditionalFormatting sqref="$G$17">
    <cfRule type="containsText" dxfId="845" priority="1">
      <formula>NOT(ISERROR(SEARCH("Yes",G17)))</formula>
    </cfRule>
    <cfRule type="containsText" dxfId="846" priority="2">
      <formula>NOT(ISERROR(SEARCH("No; explanation in comments",G17)))</formula>
    </cfRule>
  </conditionalFormatting>
  <conditionalFormatting sqref="$J$17">
    <cfRule type="containsText" dxfId="847" priority="1">
      <formula>NOT(ISERROR(SEARCH("Yes",J17)))</formula>
    </cfRule>
  </conditionalFormatting>
  <conditionalFormatting sqref="$K$17">
    <cfRule type="containsText" dxfId="848" priority="1">
      <formula>NOT(ISERROR(SEARCH("Mitigated",K17)))</formula>
    </cfRule>
    <cfRule type="containsText" dxfId="849" priority="2">
      <formula>NOT(ISERROR(SEARCH("Not Mitigated",K17)))</formula>
    </cfRule>
  </conditionalFormatting>
  <conditionalFormatting sqref="$F$18">
    <cfRule type="containsText" dxfId="850" priority="1">
      <formula>NOT(ISERROR(SEARCH("Yes",F18)))</formula>
    </cfRule>
  </conditionalFormatting>
  <conditionalFormatting sqref="$G$18">
    <cfRule type="containsText" dxfId="851" priority="1">
      <formula>NOT(ISERROR(SEARCH("Yes",G18)))</formula>
    </cfRule>
    <cfRule type="containsText" dxfId="852" priority="2">
      <formula>NOT(ISERROR(SEARCH("No; explanation in comments",G18)))</formula>
    </cfRule>
  </conditionalFormatting>
  <conditionalFormatting sqref="$J$18">
    <cfRule type="containsText" dxfId="853" priority="1">
      <formula>NOT(ISERROR(SEARCH("Yes",J18)))</formula>
    </cfRule>
  </conditionalFormatting>
  <conditionalFormatting sqref="$K$18">
    <cfRule type="containsText" dxfId="854" priority="1">
      <formula>NOT(ISERROR(SEARCH("Mitigated",K18)))</formula>
    </cfRule>
    <cfRule type="containsText" dxfId="855" priority="2">
      <formula>NOT(ISERROR(SEARCH("Not Mitigated",K18)))</formula>
    </cfRule>
  </conditionalFormatting>
  <conditionalFormatting sqref="$F$19">
    <cfRule type="containsText" dxfId="856" priority="1">
      <formula>NOT(ISERROR(SEARCH("Yes",F19)))</formula>
    </cfRule>
  </conditionalFormatting>
  <conditionalFormatting sqref="$G$19">
    <cfRule type="containsText" dxfId="857" priority="1">
      <formula>NOT(ISERROR(SEARCH("Yes",G19)))</formula>
    </cfRule>
    <cfRule type="containsText" dxfId="858" priority="2">
      <formula>NOT(ISERROR(SEARCH("No; explanation in comments",G19)))</formula>
    </cfRule>
  </conditionalFormatting>
  <conditionalFormatting sqref="$J$19">
    <cfRule type="containsText" dxfId="859" priority="1">
      <formula>NOT(ISERROR(SEARCH("Yes",J19)))</formula>
    </cfRule>
  </conditionalFormatting>
  <conditionalFormatting sqref="$K$19">
    <cfRule type="containsText" dxfId="860" priority="1">
      <formula>NOT(ISERROR(SEARCH("Mitigated",K19)))</formula>
    </cfRule>
    <cfRule type="containsText" dxfId="861" priority="2">
      <formula>NOT(ISERROR(SEARCH("Not Mitigated",K19)))</formula>
    </cfRule>
  </conditionalFormatting>
  <conditionalFormatting sqref="$F$20">
    <cfRule type="containsText" dxfId="862" priority="1">
      <formula>NOT(ISERROR(SEARCH("Yes",F20)))</formula>
    </cfRule>
  </conditionalFormatting>
  <conditionalFormatting sqref="$G$20">
    <cfRule type="containsText" dxfId="863" priority="1">
      <formula>NOT(ISERROR(SEARCH("Yes",G20)))</formula>
    </cfRule>
    <cfRule type="containsText" dxfId="864" priority="2">
      <formula>NOT(ISERROR(SEARCH("No; explanation in comments",G20)))</formula>
    </cfRule>
  </conditionalFormatting>
  <conditionalFormatting sqref="$J$20">
    <cfRule type="containsText" dxfId="865" priority="1">
      <formula>NOT(ISERROR(SEARCH("Yes",J20)))</formula>
    </cfRule>
  </conditionalFormatting>
  <conditionalFormatting sqref="$K$20">
    <cfRule type="containsText" dxfId="866" priority="1">
      <formula>NOT(ISERROR(SEARCH("Mitigated",K20)))</formula>
    </cfRule>
    <cfRule type="containsText" dxfId="867" priority="2">
      <formula>NOT(ISERROR(SEARCH("Not Mitigated",K20)))</formula>
    </cfRule>
  </conditionalFormatting>
  <conditionalFormatting sqref="$F$21">
    <cfRule type="containsText" dxfId="868" priority="1">
      <formula>NOT(ISERROR(SEARCH("Yes",F21)))</formula>
    </cfRule>
  </conditionalFormatting>
  <conditionalFormatting sqref="$G$21">
    <cfRule type="containsText" dxfId="869" priority="1">
      <formula>NOT(ISERROR(SEARCH("Yes",G21)))</formula>
    </cfRule>
    <cfRule type="containsText" dxfId="870" priority="2">
      <formula>NOT(ISERROR(SEARCH("No; explanation in comments",G21)))</formula>
    </cfRule>
  </conditionalFormatting>
  <conditionalFormatting sqref="$J$21">
    <cfRule type="containsText" dxfId="871" priority="1">
      <formula>NOT(ISERROR(SEARCH("Yes",J21)))</formula>
    </cfRule>
  </conditionalFormatting>
  <conditionalFormatting sqref="$K$21">
    <cfRule type="containsText" dxfId="872" priority="1">
      <formula>NOT(ISERROR(SEARCH("Mitigated",K21)))</formula>
    </cfRule>
    <cfRule type="containsText" dxfId="873" priority="2">
      <formula>NOT(ISERROR(SEARCH("Not Mitigated",K21)))</formula>
    </cfRule>
  </conditionalFormatting>
  <conditionalFormatting sqref="$F$22">
    <cfRule type="containsText" dxfId="874" priority="1">
      <formula>NOT(ISERROR(SEARCH("Yes",F22)))</formula>
    </cfRule>
  </conditionalFormatting>
  <conditionalFormatting sqref="$G$22">
    <cfRule type="containsText" dxfId="875" priority="1">
      <formula>NOT(ISERROR(SEARCH("Yes",G22)))</formula>
    </cfRule>
    <cfRule type="containsText" dxfId="876" priority="2">
      <formula>NOT(ISERROR(SEARCH("No; explanation in comments",G22)))</formula>
    </cfRule>
  </conditionalFormatting>
  <conditionalFormatting sqref="$J$22">
    <cfRule type="containsText" dxfId="877" priority="1">
      <formula>NOT(ISERROR(SEARCH("Yes",J22)))</formula>
    </cfRule>
  </conditionalFormatting>
  <conditionalFormatting sqref="$K$22">
    <cfRule type="containsText" dxfId="878" priority="1">
      <formula>NOT(ISERROR(SEARCH("Mitigated",K22)))</formula>
    </cfRule>
    <cfRule type="containsText" dxfId="879" priority="2">
      <formula>NOT(ISERROR(SEARCH("Not Mitigated",K22)))</formula>
    </cfRule>
  </conditionalFormatting>
  <dataValidations count="4">
    <dataValidation type="list" sqref="G10:G22">
      <formula1>"-,Yes,No; explanation in comments"</formula1>
    </dataValidation>
    <dataValidation type="list" sqref="G2:G22">
      <formula1>"-,Yes,No; explanation in comments"</formula1>
    </dataValidation>
    <dataValidation type="list" sqref="K10:K22">
      <formula1>"Mitigated,Not Mitigated,Not Assessed Yet,N/A"</formula1>
    </dataValidation>
    <dataValidation type="list" sqref="K2:K22">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69" t="s">
        <v>84</v>
      </c>
      <c r="B2" s="70" t="s">
        <v>590</v>
      </c>
      <c r="C2" s="56">
        <f>=IF(RDSInUse="Yes","Yes","No")</f>
      </c>
      <c r="D2" s="56" t="s">
        <v>591</v>
      </c>
      <c r="E2" s="56" t="s">
        <v>592</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=COUNTIFS(C2:C39,"Yes")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35" customHeight="1" spans="1:27" s="53" customFormat="1" x14ac:dyDescent="0.25">
      <c r="A3" s="69" t="s">
        <v>84</v>
      </c>
      <c r="B3" s="70" t="s">
        <v>593</v>
      </c>
      <c r="C3" s="56">
        <f>=IF(RDSInUse="Yes","Yes","No")</f>
      </c>
      <c r="D3" s="56" t="s">
        <v>594</v>
      </c>
      <c r="E3" s="56" t="s">
        <v>595</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50" customHeight="1" spans="1:27" s="53" customFormat="1" x14ac:dyDescent="0.25">
      <c r="A4" s="69" t="s">
        <v>84</v>
      </c>
      <c r="B4" s="70" t="s">
        <v>596</v>
      </c>
      <c r="C4" s="56">
        <f>=IF(RDSInUse="Yes","Yes","No")</f>
      </c>
      <c r="D4" s="56" t="s">
        <v>597</v>
      </c>
      <c r="E4" s="56" t="s">
        <v>598</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=SUM(W2:W39)</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65" customHeight="1" spans="1:27" s="53" customFormat="1" x14ac:dyDescent="0.25">
      <c r="A5" s="69" t="s">
        <v>84</v>
      </c>
      <c r="B5" s="70" t="s">
        <v>599</v>
      </c>
      <c r="C5" s="56">
        <f>=IF(RDSInUse="Yes","Yes","No")</f>
      </c>
      <c r="D5" s="56" t="s">
        <v>600</v>
      </c>
      <c r="E5" s="56" t="s">
        <v>601</v>
      </c>
      <c r="F5" s="56">
        <f>=IF(AND(C5="Yes",G5="-"), "Yes", "No")</f>
      </c>
      <c r="G5" s="56" t="s">
        <v>13</v>
      </c>
      <c r="H5" s="56" t="s">
        <v>5</v>
      </c>
      <c r="I5" s="56" t="s">
        <v>229</v>
      </c>
      <c r="J5" s="56" t="s">
        <v>226</v>
      </c>
      <c r="K5" s="56" t="s">
        <v>230</v>
      </c>
      <c r="L5" s="56" t="s">
        <v>5</v>
      </c>
      <c r="M5" s="56" t="s">
        <v>5</v>
      </c>
      <c r="N5" s="56" t="s">
        <v>5</v>
      </c>
      <c r="O5" s="56" t="s">
        <v>5</v>
      </c>
      <c r="P5" s="56" t="s">
        <v>5</v>
      </c>
      <c r="Q5" s="56" t="s">
        <v>5</v>
      </c>
      <c r="R5" s="56" t="s">
        <v>5</v>
      </c>
      <c r="S5" s="56" t="s">
        <v>5</v>
      </c>
      <c r="T5" s="56" t="s">
        <v>243</v>
      </c>
      <c r="U5" s="56">
        <f>=SUM(X2:X39)</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95" customHeight="1" spans="1:27" s="53" customFormat="1" x14ac:dyDescent="0.25">
      <c r="A6" s="69" t="s">
        <v>84</v>
      </c>
      <c r="B6" s="70" t="s">
        <v>602</v>
      </c>
      <c r="C6" s="56">
        <f>=IF(RDSInUse="Yes","Yes","No")</f>
      </c>
      <c r="D6" s="56" t="s">
        <v>603</v>
      </c>
      <c r="E6" s="56" t="s">
        <v>604</v>
      </c>
      <c r="F6" s="56">
        <f>=IF(AND(C6="Yes",G6="-"), "Yes", "No")</f>
      </c>
      <c r="G6" s="56" t="s">
        <v>13</v>
      </c>
      <c r="H6" s="56" t="s">
        <v>5</v>
      </c>
      <c r="I6" s="56" t="s">
        <v>229</v>
      </c>
      <c r="J6" s="56" t="s">
        <v>226</v>
      </c>
      <c r="K6" s="56" t="s">
        <v>230</v>
      </c>
      <c r="L6" s="56" t="s">
        <v>5</v>
      </c>
      <c r="M6" s="56" t="s">
        <v>5</v>
      </c>
      <c r="N6" s="56" t="s">
        <v>5</v>
      </c>
      <c r="O6" s="56" t="s">
        <v>5</v>
      </c>
      <c r="P6" s="56" t="s">
        <v>5</v>
      </c>
      <c r="Q6" s="56" t="s">
        <v>5</v>
      </c>
      <c r="R6" s="56" t="s">
        <v>5</v>
      </c>
      <c r="S6" s="56" t="s">
        <v>5</v>
      </c>
      <c r="T6" s="56" t="s">
        <v>8</v>
      </c>
      <c r="U6" s="56">
        <f>=SUM(Z2:Z39)</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35" customHeight="1" spans="1:27" s="53" customFormat="1" x14ac:dyDescent="0.25">
      <c r="A7" s="69" t="s">
        <v>84</v>
      </c>
      <c r="B7" s="70" t="s">
        <v>605</v>
      </c>
      <c r="C7" s="56">
        <f>=IF(RDSInUse="Yes","Yes","No")</f>
      </c>
      <c r="D7" s="56" t="s">
        <v>606</v>
      </c>
      <c r="E7" s="56" t="s">
        <v>607</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=SUM(AA2:AA39)</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20" customHeight="1" spans="1:27" s="53" customFormat="1" x14ac:dyDescent="0.25">
      <c r="A8" s="69" t="s">
        <v>84</v>
      </c>
      <c r="B8" s="70" t="s">
        <v>608</v>
      </c>
      <c r="C8" s="56">
        <f>=IF(RDSInUse="Yes","Yes","No")</f>
      </c>
      <c r="D8" s="56" t="s">
        <v>609</v>
      </c>
      <c r="E8" s="56" t="s">
        <v>610</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35" customHeight="1" spans="1:27" s="53" customFormat="1" x14ac:dyDescent="0.25">
      <c r="A9" s="69" t="s">
        <v>84</v>
      </c>
      <c r="B9" s="70" t="s">
        <v>611</v>
      </c>
      <c r="C9" s="56">
        <f>=IF(RDSInUse="Yes","Yes","No")</f>
      </c>
      <c r="D9" s="56" t="s">
        <v>612</v>
      </c>
      <c r="E9" s="56" t="s">
        <v>613</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69" t="s">
        <v>84</v>
      </c>
      <c r="B10" s="70" t="s">
        <v>614</v>
      </c>
      <c r="C10" s="56">
        <f>=IF(RDSInUse="Yes","Yes","No")</f>
      </c>
      <c r="D10" s="56" t="s">
        <v>615</v>
      </c>
      <c r="E10" s="56" t="s">
        <v>616</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35" customHeight="1" spans="1:27" s="53" customFormat="1" x14ac:dyDescent="0.25">
      <c r="A11" s="69" t="s">
        <v>84</v>
      </c>
      <c r="B11" s="70" t="s">
        <v>617</v>
      </c>
      <c r="C11" s="56">
        <f>=IF(RDSInUse="Yes","Yes","No")</f>
      </c>
      <c r="D11" s="56" t="s">
        <v>618</v>
      </c>
      <c r="E11" s="56" t="s">
        <v>619</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69" t="s">
        <v>84</v>
      </c>
      <c r="B12" s="70" t="s">
        <v>620</v>
      </c>
      <c r="C12" s="56">
        <f>=IF(RDSInUse="Yes","Yes","No")</f>
      </c>
      <c r="D12" s="56" t="s">
        <v>621</v>
      </c>
      <c r="E12" s="56" t="s">
        <v>622</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71" t="s">
        <v>88</v>
      </c>
      <c r="B13" s="72" t="s">
        <v>623</v>
      </c>
      <c r="C13" s="56">
        <f>=IF(DYNAMO_DBInUse="Yes","Yes","No")</f>
      </c>
      <c r="D13" s="56" t="s">
        <v>624</v>
      </c>
      <c r="E13" s="56" t="s">
        <v>625</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95" customHeight="1" spans="1:27" s="53" customFormat="1" x14ac:dyDescent="0.25">
      <c r="A14" s="71" t="s">
        <v>88</v>
      </c>
      <c r="B14" s="72" t="s">
        <v>626</v>
      </c>
      <c r="C14" s="56">
        <f>=IF(DYNAMO_DBInUse="Yes","Yes","No")</f>
      </c>
      <c r="D14" s="56" t="s">
        <v>627</v>
      </c>
      <c r="E14" s="56" t="s">
        <v>628</v>
      </c>
      <c r="F14" s="56">
        <f>=IF(AND(C14="Yes",G14="-"), "Yes", "No")</f>
      </c>
      <c r="G14" s="56" t="s">
        <v>13</v>
      </c>
      <c r="H14" s="56" t="s">
        <v>5</v>
      </c>
      <c r="I14" s="56" t="s">
        <v>242</v>
      </c>
      <c r="J14" s="56" t="s">
        <v>32</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140" customHeight="1" spans="1:27" s="53" customFormat="1" x14ac:dyDescent="0.25">
      <c r="A15" s="71" t="s">
        <v>88</v>
      </c>
      <c r="B15" s="72" t="s">
        <v>629</v>
      </c>
      <c r="C15" s="56">
        <f>=IF(DYNAMO_DBInUse="Yes","Yes","No")</f>
      </c>
      <c r="D15" s="56" t="s">
        <v>630</v>
      </c>
      <c r="E15" s="56" t="s">
        <v>631</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71" t="s">
        <v>88</v>
      </c>
      <c r="B16" s="72" t="s">
        <v>632</v>
      </c>
      <c r="C16" s="56">
        <f>=IF(DYNAMO_DBInUse="Yes","Yes","No")</f>
      </c>
      <c r="D16" s="56" t="s">
        <v>633</v>
      </c>
      <c r="E16" s="56" t="s">
        <v>634</v>
      </c>
      <c r="F16" s="56">
        <f>=IF(AND(C16="Yes",G16="-"), "Yes", "No")</f>
      </c>
      <c r="G16" s="56" t="s">
        <v>13</v>
      </c>
      <c r="H16" s="56" t="s">
        <v>5</v>
      </c>
      <c r="I16" s="56" t="s">
        <v>242</v>
      </c>
      <c r="J16" s="56" t="s">
        <v>32</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71" t="s">
        <v>88</v>
      </c>
      <c r="B17" s="72" t="s">
        <v>635</v>
      </c>
      <c r="C17" s="56">
        <f>=IF(DYNAMO_DBInUse="Yes","Yes","No")</f>
      </c>
      <c r="D17" s="56" t="s">
        <v>636</v>
      </c>
      <c r="E17" s="56" t="s">
        <v>637</v>
      </c>
      <c r="F17" s="56">
        <f>=IF(AND(C17="Yes",G17="-"), "Yes", "No")</f>
      </c>
      <c r="G17" s="56" t="s">
        <v>13</v>
      </c>
      <c r="H17" s="56" t="s">
        <v>5</v>
      </c>
      <c r="I17" s="56" t="s">
        <v>242</v>
      </c>
      <c r="J17" s="56" t="s">
        <v>32</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65" customHeight="1" spans="1:27" s="53" customFormat="1" x14ac:dyDescent="0.25">
      <c r="A18" s="69" t="s">
        <v>92</v>
      </c>
      <c r="B18" s="70" t="s">
        <v>638</v>
      </c>
      <c r="C18" s="56">
        <f>=IF(ELASTICACHEInUse="Yes","Yes","No")</f>
      </c>
      <c r="D18" s="56" t="s">
        <v>639</v>
      </c>
      <c r="E18" s="56" t="s">
        <v>640</v>
      </c>
      <c r="F18" s="56">
        <f>=IF(AND(C18="Yes",G18="-"), "Yes", "No")</f>
      </c>
      <c r="G18" s="56" t="s">
        <v>13</v>
      </c>
      <c r="H18" s="56" t="s">
        <v>5</v>
      </c>
      <c r="I18" s="56" t="s">
        <v>242</v>
      </c>
      <c r="J18" s="56" t="s">
        <v>32</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35" customHeight="1" spans="1:27" s="53" customFormat="1" x14ac:dyDescent="0.25">
      <c r="A19" s="69" t="s">
        <v>92</v>
      </c>
      <c r="B19" s="70" t="s">
        <v>641</v>
      </c>
      <c r="C19" s="56">
        <f>=IF(ELASTICACHEInUse="Yes","Yes","No")</f>
      </c>
      <c r="D19" s="56" t="s">
        <v>642</v>
      </c>
      <c r="E19" s="56" t="s">
        <v>643</v>
      </c>
      <c r="F19" s="56">
        <f>=IF(AND(C19="Yes",G19="-"), "Yes", "No")</f>
      </c>
      <c r="G19" s="56" t="s">
        <v>13</v>
      </c>
      <c r="H19" s="56" t="s">
        <v>5</v>
      </c>
      <c r="I19" s="56" t="s">
        <v>229</v>
      </c>
      <c r="J19" s="56" t="s">
        <v>226</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50" customHeight="1" spans="1:27" s="53" customFormat="1" x14ac:dyDescent="0.25">
      <c r="A20" s="69" t="s">
        <v>92</v>
      </c>
      <c r="B20" s="70" t="s">
        <v>644</v>
      </c>
      <c r="C20" s="56">
        <f>=IF(ELASTICACHEInUse="Yes","Yes","No")</f>
      </c>
      <c r="D20" s="56" t="s">
        <v>645</v>
      </c>
      <c r="E20" s="56" t="s">
        <v>646</v>
      </c>
      <c r="F20" s="56">
        <f>=IF(AND(C20="Yes",G20="-"), "Yes", "No")</f>
      </c>
      <c r="G20" s="56" t="s">
        <v>13</v>
      </c>
      <c r="H20" s="56" t="s">
        <v>5</v>
      </c>
      <c r="I20" s="56" t="s">
        <v>229</v>
      </c>
      <c r="J20" s="56" t="s">
        <v>226</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35" customHeight="1" spans="1:27" s="53" customFormat="1" x14ac:dyDescent="0.25">
      <c r="A21" s="71" t="s">
        <v>96</v>
      </c>
      <c r="B21" s="72" t="s">
        <v>647</v>
      </c>
      <c r="C21" s="56">
        <f>=IF(NEPTUNEInUse="Yes","Yes","No")</f>
      </c>
      <c r="D21" s="56" t="s">
        <v>648</v>
      </c>
      <c r="E21" s="56" t="s">
        <v>649</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35" customHeight="1" spans="1:27" s="53" customFormat="1" x14ac:dyDescent="0.25">
      <c r="A22" s="71" t="s">
        <v>96</v>
      </c>
      <c r="B22" s="72" t="s">
        <v>650</v>
      </c>
      <c r="C22" s="56">
        <f>=IF(NEPTUNEInUse="Yes","Yes","No")</f>
      </c>
      <c r="D22" s="56" t="s">
        <v>651</v>
      </c>
      <c r="E22" s="56" t="s">
        <v>652</v>
      </c>
      <c r="F22" s="56">
        <f>=IF(AND(C22="Yes",G22="-"), "Yes", "No")</f>
      </c>
      <c r="G22" s="56" t="s">
        <v>13</v>
      </c>
      <c r="H22" s="56" t="s">
        <v>5</v>
      </c>
      <c r="I22" s="56" t="s">
        <v>229</v>
      </c>
      <c r="J22" s="56" t="s">
        <v>226</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50" customHeight="1" spans="1:27" s="53" customFormat="1" x14ac:dyDescent="0.25">
      <c r="A23" s="71" t="s">
        <v>96</v>
      </c>
      <c r="B23" s="72" t="s">
        <v>653</v>
      </c>
      <c r="C23" s="56">
        <f>=IF(NEPTUNEInUse="Yes","Yes","No")</f>
      </c>
      <c r="D23" s="56" t="s">
        <v>654</v>
      </c>
      <c r="E23" s="56" t="s">
        <v>655</v>
      </c>
      <c r="F23" s="56">
        <f>=IF(AND(C23="Yes",G23="-"), "Yes", "No")</f>
      </c>
      <c r="G23" s="56" t="s">
        <v>13</v>
      </c>
      <c r="H23" s="56" t="s">
        <v>5</v>
      </c>
      <c r="I23" s="56" t="s">
        <v>229</v>
      </c>
      <c r="J23" s="56" t="s">
        <v>226</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row r="24" ht="35" customHeight="1" spans="1:27" s="53" customFormat="1" x14ac:dyDescent="0.25">
      <c r="A24" s="71" t="s">
        <v>96</v>
      </c>
      <c r="B24" s="72" t="s">
        <v>656</v>
      </c>
      <c r="C24" s="56">
        <f>=IF(NEPTUNEInUse="Yes","Yes","No")</f>
      </c>
      <c r="D24" s="56" t="s">
        <v>657</v>
      </c>
      <c r="E24" s="56" t="s">
        <v>658</v>
      </c>
      <c r="F24" s="56">
        <f>=IF(AND(C24="Yes",G24="-"), "Yes", "No")</f>
      </c>
      <c r="G24" s="56" t="s">
        <v>13</v>
      </c>
      <c r="H24" s="56" t="s">
        <v>5</v>
      </c>
      <c r="I24" s="56" t="s">
        <v>242</v>
      </c>
      <c r="J24" s="56" t="s">
        <v>32</v>
      </c>
      <c r="K24" s="56" t="s">
        <v>230</v>
      </c>
      <c r="L24" s="56" t="s">
        <v>5</v>
      </c>
      <c r="M24" s="56" t="s">
        <v>5</v>
      </c>
      <c r="N24" s="56" t="s">
        <v>5</v>
      </c>
      <c r="O24" s="56" t="s">
        <v>5</v>
      </c>
      <c r="P24" s="56" t="s">
        <v>5</v>
      </c>
      <c r="Q24" s="56" t="s">
        <v>5</v>
      </c>
      <c r="R24" s="56" t="s">
        <v>5</v>
      </c>
      <c r="S24" s="56" t="s">
        <v>5</v>
      </c>
      <c r="T24" s="56" t="s">
        <v>5</v>
      </c>
      <c r="U24" s="56" t="s">
        <v>5</v>
      </c>
      <c r="V24" s="56">
        <f>=IF(AND(C24="Yes",G24="-"), 1, 0)</f>
      </c>
      <c r="W24" s="56">
        <f>=IF(AND(C24="Yes",G24="Yes"), 1, 0)</f>
      </c>
      <c r="X24" s="56">
        <f>=IF(AND(C24="Yes",G24="No; explanation in comments"), 1, 0)</f>
      </c>
      <c r="Y24" s="56">
        <f>=IF(AND(C24="Yes",K24="Not Assessed Yet"), 1, 0)</f>
      </c>
      <c r="Z24" s="56">
        <f>=IF(AND(C24="Yes",AND(G24&lt;&gt;"-",K24="Mitigated")), 1, 0)</f>
      </c>
      <c r="AA24" s="56">
        <f>=IF(AND(C24="Yes",AND(G24&lt;&gt;"-",K24="Not Mitigated")), 1, 0)</f>
      </c>
    </row>
    <row r="25" ht="35" customHeight="1" spans="1:27" s="53" customFormat="1" x14ac:dyDescent="0.25">
      <c r="A25" s="71" t="s">
        <v>96</v>
      </c>
      <c r="B25" s="72" t="s">
        <v>659</v>
      </c>
      <c r="C25" s="56">
        <f>=IF(NEPTUNEInUse="Yes","Yes","No")</f>
      </c>
      <c r="D25" s="56" t="s">
        <v>660</v>
      </c>
      <c r="E25" s="56" t="s">
        <v>661</v>
      </c>
      <c r="F25" s="56">
        <f>=IF(AND(C25="Yes",G25="-"), "Yes", "No")</f>
      </c>
      <c r="G25" s="56" t="s">
        <v>13</v>
      </c>
      <c r="H25" s="56" t="s">
        <v>5</v>
      </c>
      <c r="I25" s="56" t="s">
        <v>242</v>
      </c>
      <c r="J25" s="56" t="s">
        <v>32</v>
      </c>
      <c r="K25" s="56" t="s">
        <v>230</v>
      </c>
      <c r="L25" s="56" t="s">
        <v>5</v>
      </c>
      <c r="M25" s="56" t="s">
        <v>5</v>
      </c>
      <c r="N25" s="56" t="s">
        <v>5</v>
      </c>
      <c r="O25" s="56" t="s">
        <v>5</v>
      </c>
      <c r="P25" s="56" t="s">
        <v>5</v>
      </c>
      <c r="Q25" s="56" t="s">
        <v>5</v>
      </c>
      <c r="R25" s="56" t="s">
        <v>5</v>
      </c>
      <c r="S25" s="56" t="s">
        <v>5</v>
      </c>
      <c r="T25" s="56" t="s">
        <v>5</v>
      </c>
      <c r="U25" s="56" t="s">
        <v>5</v>
      </c>
      <c r="V25" s="56">
        <f>=IF(AND(C25="Yes",G25="-"), 1, 0)</f>
      </c>
      <c r="W25" s="56">
        <f>=IF(AND(C25="Yes",G25="Yes"), 1, 0)</f>
      </c>
      <c r="X25" s="56">
        <f>=IF(AND(C25="Yes",G25="No; explanation in comments"), 1, 0)</f>
      </c>
      <c r="Y25" s="56">
        <f>=IF(AND(C25="Yes",K25="Not Assessed Yet"), 1, 0)</f>
      </c>
      <c r="Z25" s="56">
        <f>=IF(AND(C25="Yes",AND(G25&lt;&gt;"-",K25="Mitigated")), 1, 0)</f>
      </c>
      <c r="AA25" s="56">
        <f>=IF(AND(C25="Yes",AND(G25&lt;&gt;"-",K25="Not Mitigated")), 1, 0)</f>
      </c>
    </row>
    <row r="26" ht="50" customHeight="1" spans="1:27" s="53" customFormat="1" x14ac:dyDescent="0.25">
      <c r="A26" s="69" t="s">
        <v>99</v>
      </c>
      <c r="B26" s="70" t="s">
        <v>662</v>
      </c>
      <c r="C26" s="56">
        <f>=IF(REDSHIFTInUse="Yes","Yes","No")</f>
      </c>
      <c r="D26" s="56" t="s">
        <v>663</v>
      </c>
      <c r="E26" s="56" t="s">
        <v>664</v>
      </c>
      <c r="F26" s="56">
        <f>=IF(AND(C26="Yes",G26="-"), "Yes", "No")</f>
      </c>
      <c r="G26" s="56" t="s">
        <v>13</v>
      </c>
      <c r="H26" s="56" t="s">
        <v>5</v>
      </c>
      <c r="I26" s="56" t="s">
        <v>229</v>
      </c>
      <c r="J26" s="56" t="s">
        <v>226</v>
      </c>
      <c r="K26" s="56" t="s">
        <v>230</v>
      </c>
      <c r="L26" s="56" t="s">
        <v>5</v>
      </c>
      <c r="M26" s="56" t="s">
        <v>5</v>
      </c>
      <c r="N26" s="56" t="s">
        <v>5</v>
      </c>
      <c r="O26" s="56" t="s">
        <v>5</v>
      </c>
      <c r="P26" s="56" t="s">
        <v>5</v>
      </c>
      <c r="Q26" s="56" t="s">
        <v>5</v>
      </c>
      <c r="R26" s="56" t="s">
        <v>5</v>
      </c>
      <c r="S26" s="56" t="s">
        <v>5</v>
      </c>
      <c r="T26" s="56" t="s">
        <v>5</v>
      </c>
      <c r="U26" s="56" t="s">
        <v>5</v>
      </c>
      <c r="V26" s="56">
        <f>=IF(AND(C26="Yes",G26="-"), 1, 0)</f>
      </c>
      <c r="W26" s="56">
        <f>=IF(AND(C26="Yes",G26="Yes"), 1, 0)</f>
      </c>
      <c r="X26" s="56">
        <f>=IF(AND(C26="Yes",G26="No; explanation in comments"), 1, 0)</f>
      </c>
      <c r="Y26" s="56">
        <f>=IF(AND(C26="Yes",K26="Not Assessed Yet"), 1, 0)</f>
      </c>
      <c r="Z26" s="56">
        <f>=IF(AND(C26="Yes",AND(G26&lt;&gt;"-",K26="Mitigated")), 1, 0)</f>
      </c>
      <c r="AA26" s="56">
        <f>=IF(AND(C26="Yes",AND(G26&lt;&gt;"-",K26="Not Mitigated")), 1, 0)</f>
      </c>
    </row>
    <row r="27" ht="50" customHeight="1" spans="1:27" s="53" customFormat="1" x14ac:dyDescent="0.25">
      <c r="A27" s="69" t="s">
        <v>99</v>
      </c>
      <c r="B27" s="70" t="s">
        <v>665</v>
      </c>
      <c r="C27" s="56">
        <f>=IF(REDSHIFTInUse="Yes","Yes","No")</f>
      </c>
      <c r="D27" s="56" t="s">
        <v>666</v>
      </c>
      <c r="E27" s="56" t="s">
        <v>667</v>
      </c>
      <c r="F27" s="56">
        <f>=IF(AND(C27="Yes",G27="-"), "Yes", "No")</f>
      </c>
      <c r="G27" s="56" t="s">
        <v>13</v>
      </c>
      <c r="H27" s="56" t="s">
        <v>5</v>
      </c>
      <c r="I27" s="56" t="s">
        <v>229</v>
      </c>
      <c r="J27" s="56" t="s">
        <v>226</v>
      </c>
      <c r="K27" s="56" t="s">
        <v>230</v>
      </c>
      <c r="L27" s="56" t="s">
        <v>5</v>
      </c>
      <c r="M27" s="56" t="s">
        <v>5</v>
      </c>
      <c r="N27" s="56" t="s">
        <v>5</v>
      </c>
      <c r="O27" s="56" t="s">
        <v>5</v>
      </c>
      <c r="P27" s="56" t="s">
        <v>5</v>
      </c>
      <c r="Q27" s="56" t="s">
        <v>5</v>
      </c>
      <c r="R27" s="56" t="s">
        <v>5</v>
      </c>
      <c r="S27" s="56" t="s">
        <v>5</v>
      </c>
      <c r="T27" s="56" t="s">
        <v>5</v>
      </c>
      <c r="U27" s="56" t="s">
        <v>5</v>
      </c>
      <c r="V27" s="56">
        <f>=IF(AND(C27="Yes",G27="-"), 1, 0)</f>
      </c>
      <c r="W27" s="56">
        <f>=IF(AND(C27="Yes",G27="Yes"), 1, 0)</f>
      </c>
      <c r="X27" s="56">
        <f>=IF(AND(C27="Yes",G27="No; explanation in comments"), 1, 0)</f>
      </c>
      <c r="Y27" s="56">
        <f>=IF(AND(C27="Yes",K27="Not Assessed Yet"), 1, 0)</f>
      </c>
      <c r="Z27" s="56">
        <f>=IF(AND(C27="Yes",AND(G27&lt;&gt;"-",K27="Mitigated")), 1, 0)</f>
      </c>
      <c r="AA27" s="56">
        <f>=IF(AND(C27="Yes",AND(G27&lt;&gt;"-",K27="Not Mitigated")), 1, 0)</f>
      </c>
    </row>
    <row r="28" ht="35" customHeight="1" spans="1:27" s="53" customFormat="1" x14ac:dyDescent="0.25">
      <c r="A28" s="69" t="s">
        <v>99</v>
      </c>
      <c r="B28" s="70" t="s">
        <v>668</v>
      </c>
      <c r="C28" s="56">
        <f>=IF(REDSHIFTInUse="Yes","Yes","No")</f>
      </c>
      <c r="D28" s="56" t="s">
        <v>669</v>
      </c>
      <c r="E28" s="56" t="s">
        <v>670</v>
      </c>
      <c r="F28" s="56">
        <f>=IF(AND(C28="Yes",G28="-"), "Yes", "No")</f>
      </c>
      <c r="G28" s="56" t="s">
        <v>13</v>
      </c>
      <c r="H28" s="56" t="s">
        <v>5</v>
      </c>
      <c r="I28" s="56" t="s">
        <v>229</v>
      </c>
      <c r="J28" s="56" t="s">
        <v>226</v>
      </c>
      <c r="K28" s="56" t="s">
        <v>230</v>
      </c>
      <c r="L28" s="56" t="s">
        <v>5</v>
      </c>
      <c r="M28" s="56" t="s">
        <v>5</v>
      </c>
      <c r="N28" s="56" t="s">
        <v>5</v>
      </c>
      <c r="O28" s="56" t="s">
        <v>5</v>
      </c>
      <c r="P28" s="56" t="s">
        <v>5</v>
      </c>
      <c r="Q28" s="56" t="s">
        <v>5</v>
      </c>
      <c r="R28" s="56" t="s">
        <v>5</v>
      </c>
      <c r="S28" s="56" t="s">
        <v>5</v>
      </c>
      <c r="T28" s="56" t="s">
        <v>5</v>
      </c>
      <c r="U28" s="56" t="s">
        <v>5</v>
      </c>
      <c r="V28" s="56">
        <f>=IF(AND(C28="Yes",G28="-"), 1, 0)</f>
      </c>
      <c r="W28" s="56">
        <f>=IF(AND(C28="Yes",G28="Yes"), 1, 0)</f>
      </c>
      <c r="X28" s="56">
        <f>=IF(AND(C28="Yes",G28="No; explanation in comments"), 1, 0)</f>
      </c>
      <c r="Y28" s="56">
        <f>=IF(AND(C28="Yes",K28="Not Assessed Yet"), 1, 0)</f>
      </c>
      <c r="Z28" s="56">
        <f>=IF(AND(C28="Yes",AND(G28&lt;&gt;"-",K28="Mitigated")), 1, 0)</f>
      </c>
      <c r="AA28" s="56">
        <f>=IF(AND(C28="Yes",AND(G28&lt;&gt;"-",K28="Not Mitigated")), 1, 0)</f>
      </c>
    </row>
    <row r="29" ht="20" customHeight="1" spans="1:27" s="53" customFormat="1" x14ac:dyDescent="0.25">
      <c r="A29" s="69" t="s">
        <v>99</v>
      </c>
      <c r="B29" s="70" t="s">
        <v>671</v>
      </c>
      <c r="C29" s="56">
        <f>=IF(REDSHIFTInUse="Yes","Yes","No")</f>
      </c>
      <c r="D29" s="56" t="s">
        <v>672</v>
      </c>
      <c r="E29" s="56" t="s">
        <v>673</v>
      </c>
      <c r="F29" s="56">
        <f>=IF(AND(C29="Yes",G29="-"), "Yes", "No")</f>
      </c>
      <c r="G29" s="56" t="s">
        <v>13</v>
      </c>
      <c r="H29" s="56" t="s">
        <v>5</v>
      </c>
      <c r="I29" s="56" t="s">
        <v>229</v>
      </c>
      <c r="J29" s="56" t="s">
        <v>226</v>
      </c>
      <c r="K29" s="56" t="s">
        <v>230</v>
      </c>
      <c r="L29" s="56" t="s">
        <v>5</v>
      </c>
      <c r="M29" s="56" t="s">
        <v>5</v>
      </c>
      <c r="N29" s="56" t="s">
        <v>5</v>
      </c>
      <c r="O29" s="56" t="s">
        <v>5</v>
      </c>
      <c r="P29" s="56" t="s">
        <v>5</v>
      </c>
      <c r="Q29" s="56" t="s">
        <v>5</v>
      </c>
      <c r="R29" s="56" t="s">
        <v>5</v>
      </c>
      <c r="S29" s="56" t="s">
        <v>5</v>
      </c>
      <c r="T29" s="56" t="s">
        <v>5</v>
      </c>
      <c r="U29" s="56" t="s">
        <v>5</v>
      </c>
      <c r="V29" s="56">
        <f>=IF(AND(C29="Yes",G29="-"), 1, 0)</f>
      </c>
      <c r="W29" s="56">
        <f>=IF(AND(C29="Yes",G29="Yes"), 1, 0)</f>
      </c>
      <c r="X29" s="56">
        <f>=IF(AND(C29="Yes",G29="No; explanation in comments"), 1, 0)</f>
      </c>
      <c r="Y29" s="56">
        <f>=IF(AND(C29="Yes",K29="Not Assessed Yet"), 1, 0)</f>
      </c>
      <c r="Z29" s="56">
        <f>=IF(AND(C29="Yes",AND(G29&lt;&gt;"-",K29="Mitigated")), 1, 0)</f>
      </c>
      <c r="AA29" s="56">
        <f>=IF(AND(C29="Yes",AND(G29&lt;&gt;"-",K29="Not Mitigated")), 1, 0)</f>
      </c>
    </row>
    <row r="30" ht="50" customHeight="1" spans="1:27" s="53" customFormat="1" x14ac:dyDescent="0.25">
      <c r="A30" s="69" t="s">
        <v>99</v>
      </c>
      <c r="B30" s="70" t="s">
        <v>674</v>
      </c>
      <c r="C30" s="56">
        <f>=IF(REDSHIFTInUse="Yes","Yes","No")</f>
      </c>
      <c r="D30" s="56" t="s">
        <v>675</v>
      </c>
      <c r="E30" s="56" t="s">
        <v>676</v>
      </c>
      <c r="F30" s="56">
        <f>=IF(AND(C30="Yes",G30="-"), "Yes", "No")</f>
      </c>
      <c r="G30" s="56" t="s">
        <v>13</v>
      </c>
      <c r="H30" s="56" t="s">
        <v>5</v>
      </c>
      <c r="I30" s="56" t="s">
        <v>229</v>
      </c>
      <c r="J30" s="56" t="s">
        <v>226</v>
      </c>
      <c r="K30" s="56" t="s">
        <v>230</v>
      </c>
      <c r="L30" s="56" t="s">
        <v>5</v>
      </c>
      <c r="M30" s="56" t="s">
        <v>5</v>
      </c>
      <c r="N30" s="56" t="s">
        <v>5</v>
      </c>
      <c r="O30" s="56" t="s">
        <v>5</v>
      </c>
      <c r="P30" s="56" t="s">
        <v>5</v>
      </c>
      <c r="Q30" s="56" t="s">
        <v>5</v>
      </c>
      <c r="R30" s="56" t="s">
        <v>5</v>
      </c>
      <c r="S30" s="56" t="s">
        <v>5</v>
      </c>
      <c r="T30" s="56" t="s">
        <v>5</v>
      </c>
      <c r="U30" s="56" t="s">
        <v>5</v>
      </c>
      <c r="V30" s="56">
        <f>=IF(AND(C30="Yes",G30="-"), 1, 0)</f>
      </c>
      <c r="W30" s="56">
        <f>=IF(AND(C30="Yes",G30="Yes"), 1, 0)</f>
      </c>
      <c r="X30" s="56">
        <f>=IF(AND(C30="Yes",G30="No; explanation in comments"), 1, 0)</f>
      </c>
      <c r="Y30" s="56">
        <f>=IF(AND(C30="Yes",K30="Not Assessed Yet"), 1, 0)</f>
      </c>
      <c r="Z30" s="56">
        <f>=IF(AND(C30="Yes",AND(G30&lt;&gt;"-",K30="Mitigated")), 1, 0)</f>
      </c>
      <c r="AA30" s="56">
        <f>=IF(AND(C30="Yes",AND(G30&lt;&gt;"-",K30="Not Mitigated")), 1, 0)</f>
      </c>
    </row>
    <row r="31" ht="80" customHeight="1" spans="1:27" s="53" customFormat="1" x14ac:dyDescent="0.25">
      <c r="A31" s="69" t="s">
        <v>99</v>
      </c>
      <c r="B31" s="70" t="s">
        <v>677</v>
      </c>
      <c r="C31" s="56">
        <f>=IF(REDSHIFTInUse="Yes","Yes","No")</f>
      </c>
      <c r="D31" s="56" t="s">
        <v>678</v>
      </c>
      <c r="E31" s="56" t="s">
        <v>679</v>
      </c>
      <c r="F31" s="56">
        <f>=IF(AND(C31="Yes",G31="-"), "Yes", "No")</f>
      </c>
      <c r="G31" s="56" t="s">
        <v>13</v>
      </c>
      <c r="H31" s="56" t="s">
        <v>5</v>
      </c>
      <c r="I31" s="56" t="s">
        <v>229</v>
      </c>
      <c r="J31" s="56" t="s">
        <v>226</v>
      </c>
      <c r="K31" s="56" t="s">
        <v>230</v>
      </c>
      <c r="L31" s="56" t="s">
        <v>5</v>
      </c>
      <c r="M31" s="56" t="s">
        <v>5</v>
      </c>
      <c r="N31" s="56" t="s">
        <v>5</v>
      </c>
      <c r="O31" s="56" t="s">
        <v>5</v>
      </c>
      <c r="P31" s="56" t="s">
        <v>5</v>
      </c>
      <c r="Q31" s="56" t="s">
        <v>5</v>
      </c>
      <c r="R31" s="56" t="s">
        <v>5</v>
      </c>
      <c r="S31" s="56" t="s">
        <v>5</v>
      </c>
      <c r="T31" s="56" t="s">
        <v>5</v>
      </c>
      <c r="U31" s="56" t="s">
        <v>5</v>
      </c>
      <c r="V31" s="56">
        <f>=IF(AND(C31="Yes",G31="-"), 1, 0)</f>
      </c>
      <c r="W31" s="56">
        <f>=IF(AND(C31="Yes",G31="Yes"), 1, 0)</f>
      </c>
      <c r="X31" s="56">
        <f>=IF(AND(C31="Yes",G31="No; explanation in comments"), 1, 0)</f>
      </c>
      <c r="Y31" s="56">
        <f>=IF(AND(C31="Yes",K31="Not Assessed Yet"), 1, 0)</f>
      </c>
      <c r="Z31" s="56">
        <f>=IF(AND(C31="Yes",AND(G31&lt;&gt;"-",K31="Mitigated")), 1, 0)</f>
      </c>
      <c r="AA31" s="56">
        <f>=IF(AND(C31="Yes",AND(G31&lt;&gt;"-",K31="Not Mitigated")), 1, 0)</f>
      </c>
    </row>
    <row r="32" ht="50" customHeight="1" spans="1:27" s="53" customFormat="1" x14ac:dyDescent="0.25">
      <c r="A32" s="71" t="s">
        <v>101</v>
      </c>
      <c r="B32" s="72" t="s">
        <v>680</v>
      </c>
      <c r="C32" s="56">
        <f>=IF(DOCUMENT_DBInUse="Yes","Yes","No")</f>
      </c>
      <c r="D32" s="56" t="s">
        <v>681</v>
      </c>
      <c r="E32" s="56" t="s">
        <v>682</v>
      </c>
      <c r="F32" s="56">
        <f>=IF(AND(C32="Yes",G32="-"), "Yes", "No")</f>
      </c>
      <c r="G32" s="56" t="s">
        <v>13</v>
      </c>
      <c r="H32" s="56" t="s">
        <v>5</v>
      </c>
      <c r="I32" s="56" t="s">
        <v>229</v>
      </c>
      <c r="J32" s="56" t="s">
        <v>226</v>
      </c>
      <c r="K32" s="56" t="s">
        <v>230</v>
      </c>
      <c r="L32" s="56" t="s">
        <v>5</v>
      </c>
      <c r="M32" s="56" t="s">
        <v>5</v>
      </c>
      <c r="N32" s="56" t="s">
        <v>5</v>
      </c>
      <c r="O32" s="56" t="s">
        <v>5</v>
      </c>
      <c r="P32" s="56" t="s">
        <v>5</v>
      </c>
      <c r="Q32" s="56" t="s">
        <v>5</v>
      </c>
      <c r="R32" s="56" t="s">
        <v>5</v>
      </c>
      <c r="S32" s="56" t="s">
        <v>5</v>
      </c>
      <c r="T32" s="56" t="s">
        <v>5</v>
      </c>
      <c r="U32" s="56" t="s">
        <v>5</v>
      </c>
      <c r="V32" s="56">
        <f>=IF(AND(C32="Yes",G32="-"), 1, 0)</f>
      </c>
      <c r="W32" s="56">
        <f>=IF(AND(C32="Yes",G32="Yes"), 1, 0)</f>
      </c>
      <c r="X32" s="56">
        <f>=IF(AND(C32="Yes",G32="No; explanation in comments"), 1, 0)</f>
      </c>
      <c r="Y32" s="56">
        <f>=IF(AND(C32="Yes",K32="Not Assessed Yet"), 1, 0)</f>
      </c>
      <c r="Z32" s="56">
        <f>=IF(AND(C32="Yes",AND(G32&lt;&gt;"-",K32="Mitigated")), 1, 0)</f>
      </c>
      <c r="AA32" s="56">
        <f>=IF(AND(C32="Yes",AND(G32&lt;&gt;"-",K32="Not Mitigated")), 1, 0)</f>
      </c>
    </row>
    <row r="33" ht="65" customHeight="1" spans="1:27" s="53" customFormat="1" x14ac:dyDescent="0.25">
      <c r="A33" s="71" t="s">
        <v>101</v>
      </c>
      <c r="B33" s="72" t="s">
        <v>683</v>
      </c>
      <c r="C33" s="56">
        <f>=IF(DOCUMENT_DBInUse="Yes","Yes","No")</f>
      </c>
      <c r="D33" s="56" t="s">
        <v>684</v>
      </c>
      <c r="E33" s="56" t="s">
        <v>685</v>
      </c>
      <c r="F33" s="56">
        <f>=IF(AND(C33="Yes",G33="-"), "Yes", "No")</f>
      </c>
      <c r="G33" s="56" t="s">
        <v>13</v>
      </c>
      <c r="H33" s="56" t="s">
        <v>5</v>
      </c>
      <c r="I33" s="56" t="s">
        <v>229</v>
      </c>
      <c r="J33" s="56" t="s">
        <v>226</v>
      </c>
      <c r="K33" s="56" t="s">
        <v>230</v>
      </c>
      <c r="L33" s="56" t="s">
        <v>5</v>
      </c>
      <c r="M33" s="56" t="s">
        <v>5</v>
      </c>
      <c r="N33" s="56" t="s">
        <v>5</v>
      </c>
      <c r="O33" s="56" t="s">
        <v>5</v>
      </c>
      <c r="P33" s="56" t="s">
        <v>5</v>
      </c>
      <c r="Q33" s="56" t="s">
        <v>5</v>
      </c>
      <c r="R33" s="56" t="s">
        <v>5</v>
      </c>
      <c r="S33" s="56" t="s">
        <v>5</v>
      </c>
      <c r="T33" s="56" t="s">
        <v>5</v>
      </c>
      <c r="U33" s="56" t="s">
        <v>5</v>
      </c>
      <c r="V33" s="56">
        <f>=IF(AND(C33="Yes",G33="-"), 1, 0)</f>
      </c>
      <c r="W33" s="56">
        <f>=IF(AND(C33="Yes",G33="Yes"), 1, 0)</f>
      </c>
      <c r="X33" s="56">
        <f>=IF(AND(C33="Yes",G33="No; explanation in comments"), 1, 0)</f>
      </c>
      <c r="Y33" s="56">
        <f>=IF(AND(C33="Yes",K33="Not Assessed Yet"), 1, 0)</f>
      </c>
      <c r="Z33" s="56">
        <f>=IF(AND(C33="Yes",AND(G33&lt;&gt;"-",K33="Mitigated")), 1, 0)</f>
      </c>
      <c r="AA33" s="56">
        <f>=IF(AND(C33="Yes",AND(G33&lt;&gt;"-",K33="Not Mitigated")), 1, 0)</f>
      </c>
    </row>
    <row r="34" ht="50" customHeight="1" spans="1:27" s="53" customFormat="1" x14ac:dyDescent="0.25">
      <c r="A34" s="71" t="s">
        <v>101</v>
      </c>
      <c r="B34" s="72" t="s">
        <v>686</v>
      </c>
      <c r="C34" s="56">
        <f>=IF(DOCUMENT_DBInUse="Yes","Yes","No")</f>
      </c>
      <c r="D34" s="56" t="s">
        <v>687</v>
      </c>
      <c r="E34" s="56" t="s">
        <v>688</v>
      </c>
      <c r="F34" s="56">
        <f>=IF(AND(C34="Yes",G34="-"), "Yes", "No")</f>
      </c>
      <c r="G34" s="56" t="s">
        <v>13</v>
      </c>
      <c r="H34" s="56" t="s">
        <v>5</v>
      </c>
      <c r="I34" s="56" t="s">
        <v>229</v>
      </c>
      <c r="J34" s="56" t="s">
        <v>226</v>
      </c>
      <c r="K34" s="56" t="s">
        <v>230</v>
      </c>
      <c r="L34" s="56" t="s">
        <v>5</v>
      </c>
      <c r="M34" s="56" t="s">
        <v>5</v>
      </c>
      <c r="N34" s="56" t="s">
        <v>5</v>
      </c>
      <c r="O34" s="56" t="s">
        <v>5</v>
      </c>
      <c r="P34" s="56" t="s">
        <v>5</v>
      </c>
      <c r="Q34" s="56" t="s">
        <v>5</v>
      </c>
      <c r="R34" s="56" t="s">
        <v>5</v>
      </c>
      <c r="S34" s="56" t="s">
        <v>5</v>
      </c>
      <c r="T34" s="56" t="s">
        <v>5</v>
      </c>
      <c r="U34" s="56" t="s">
        <v>5</v>
      </c>
      <c r="V34" s="56">
        <f>=IF(AND(C34="Yes",G34="-"), 1, 0)</f>
      </c>
      <c r="W34" s="56">
        <f>=IF(AND(C34="Yes",G34="Yes"), 1, 0)</f>
      </c>
      <c r="X34" s="56">
        <f>=IF(AND(C34="Yes",G34="No; explanation in comments"), 1, 0)</f>
      </c>
      <c r="Y34" s="56">
        <f>=IF(AND(C34="Yes",K34="Not Assessed Yet"), 1, 0)</f>
      </c>
      <c r="Z34" s="56">
        <f>=IF(AND(C34="Yes",AND(G34&lt;&gt;"-",K34="Mitigated")), 1, 0)</f>
      </c>
      <c r="AA34" s="56">
        <f>=IF(AND(C34="Yes",AND(G34&lt;&gt;"-",K34="Not Mitigated")), 1, 0)</f>
      </c>
    </row>
    <row r="35" ht="50" customHeight="1" spans="1:27" s="53" customFormat="1" x14ac:dyDescent="0.25">
      <c r="A35" s="69" t="s">
        <v>102</v>
      </c>
      <c r="B35" s="70" t="s">
        <v>689</v>
      </c>
      <c r="C35" s="56">
        <f>=IF(TIMESTREAMInUse="Yes","Yes","No")</f>
      </c>
      <c r="D35" s="56" t="s">
        <v>690</v>
      </c>
      <c r="E35" s="56" t="s">
        <v>691</v>
      </c>
      <c r="F35" s="56">
        <f>=IF(AND(C35="Yes",G35="-"), "Yes", "No")</f>
      </c>
      <c r="G35" s="56" t="s">
        <v>13</v>
      </c>
      <c r="H35" s="56" t="s">
        <v>5</v>
      </c>
      <c r="I35" s="56" t="s">
        <v>229</v>
      </c>
      <c r="J35" s="56" t="s">
        <v>226</v>
      </c>
      <c r="K35" s="56" t="s">
        <v>230</v>
      </c>
      <c r="L35" s="56" t="s">
        <v>5</v>
      </c>
      <c r="M35" s="56" t="s">
        <v>5</v>
      </c>
      <c r="N35" s="56" t="s">
        <v>5</v>
      </c>
      <c r="O35" s="56" t="s">
        <v>5</v>
      </c>
      <c r="P35" s="56" t="s">
        <v>5</v>
      </c>
      <c r="Q35" s="56" t="s">
        <v>5</v>
      </c>
      <c r="R35" s="56" t="s">
        <v>5</v>
      </c>
      <c r="S35" s="56" t="s">
        <v>5</v>
      </c>
      <c r="T35" s="56" t="s">
        <v>5</v>
      </c>
      <c r="U35" s="56" t="s">
        <v>5</v>
      </c>
      <c r="V35" s="56">
        <f>=IF(AND(C35="Yes",G35="-"), 1, 0)</f>
      </c>
      <c r="W35" s="56">
        <f>=IF(AND(C35="Yes",G35="Yes"), 1, 0)</f>
      </c>
      <c r="X35" s="56">
        <f>=IF(AND(C35="Yes",G35="No; explanation in comments"), 1, 0)</f>
      </c>
      <c r="Y35" s="56">
        <f>=IF(AND(C35="Yes",K35="Not Assessed Yet"), 1, 0)</f>
      </c>
      <c r="Z35" s="56">
        <f>=IF(AND(C35="Yes",AND(G35&lt;&gt;"-",K35="Mitigated")), 1, 0)</f>
      </c>
      <c r="AA35" s="56">
        <f>=IF(AND(C35="Yes",AND(G35&lt;&gt;"-",K35="Not Mitigated")), 1, 0)</f>
      </c>
    </row>
    <row r="36" ht="35" customHeight="1" spans="1:27" s="53" customFormat="1" x14ac:dyDescent="0.25">
      <c r="A36" s="69" t="s">
        <v>102</v>
      </c>
      <c r="B36" s="70" t="s">
        <v>692</v>
      </c>
      <c r="C36" s="56">
        <f>=IF(TIMESTREAMInUse="Yes","Yes","No")</f>
      </c>
      <c r="D36" s="56" t="s">
        <v>693</v>
      </c>
      <c r="E36" s="56" t="s">
        <v>694</v>
      </c>
      <c r="F36" s="56">
        <f>=IF(AND(C36="Yes",G36="-"), "Yes", "No")</f>
      </c>
      <c r="G36" s="56" t="s">
        <v>13</v>
      </c>
      <c r="H36" s="56" t="s">
        <v>5</v>
      </c>
      <c r="I36" s="56" t="s">
        <v>229</v>
      </c>
      <c r="J36" s="56" t="s">
        <v>226</v>
      </c>
      <c r="K36" s="56" t="s">
        <v>230</v>
      </c>
      <c r="L36" s="56" t="s">
        <v>5</v>
      </c>
      <c r="M36" s="56" t="s">
        <v>5</v>
      </c>
      <c r="N36" s="56" t="s">
        <v>5</v>
      </c>
      <c r="O36" s="56" t="s">
        <v>5</v>
      </c>
      <c r="P36" s="56" t="s">
        <v>5</v>
      </c>
      <c r="Q36" s="56" t="s">
        <v>5</v>
      </c>
      <c r="R36" s="56" t="s">
        <v>5</v>
      </c>
      <c r="S36" s="56" t="s">
        <v>5</v>
      </c>
      <c r="T36" s="56" t="s">
        <v>5</v>
      </c>
      <c r="U36" s="56" t="s">
        <v>5</v>
      </c>
      <c r="V36" s="56">
        <f>=IF(AND(C36="Yes",G36="-"), 1, 0)</f>
      </c>
      <c r="W36" s="56">
        <f>=IF(AND(C36="Yes",G36="Yes"), 1, 0)</f>
      </c>
      <c r="X36" s="56">
        <f>=IF(AND(C36="Yes",G36="No; explanation in comments"), 1, 0)</f>
      </c>
      <c r="Y36" s="56">
        <f>=IF(AND(C36="Yes",K36="Not Assessed Yet"), 1, 0)</f>
      </c>
      <c r="Z36" s="56">
        <f>=IF(AND(C36="Yes",AND(G36&lt;&gt;"-",K36="Mitigated")), 1, 0)</f>
      </c>
      <c r="AA36" s="56">
        <f>=IF(AND(C36="Yes",AND(G36&lt;&gt;"-",K36="Not Mitigated")), 1, 0)</f>
      </c>
    </row>
    <row r="37" ht="65" customHeight="1" spans="1:27" s="53" customFormat="1" x14ac:dyDescent="0.25">
      <c r="A37" s="71" t="s">
        <v>103</v>
      </c>
      <c r="B37" s="72" t="s">
        <v>695</v>
      </c>
      <c r="C37" s="56">
        <f>=IF(DMSInUse="Yes","Yes","No")</f>
      </c>
      <c r="D37" s="56" t="s">
        <v>696</v>
      </c>
      <c r="E37" s="56" t="s">
        <v>697</v>
      </c>
      <c r="F37" s="56">
        <f>=IF(AND(C37="Yes",G37="-"), "Yes", "No")</f>
      </c>
      <c r="G37" s="56" t="s">
        <v>13</v>
      </c>
      <c r="H37" s="56" t="s">
        <v>5</v>
      </c>
      <c r="I37" s="56" t="s">
        <v>242</v>
      </c>
      <c r="J37" s="56" t="s">
        <v>32</v>
      </c>
      <c r="K37" s="56" t="s">
        <v>230</v>
      </c>
      <c r="L37" s="56" t="s">
        <v>5</v>
      </c>
      <c r="M37" s="56" t="s">
        <v>5</v>
      </c>
      <c r="N37" s="56" t="s">
        <v>5</v>
      </c>
      <c r="O37" s="56" t="s">
        <v>5</v>
      </c>
      <c r="P37" s="56" t="s">
        <v>5</v>
      </c>
      <c r="Q37" s="56" t="s">
        <v>5</v>
      </c>
      <c r="R37" s="56" t="s">
        <v>5</v>
      </c>
      <c r="S37" s="56" t="s">
        <v>5</v>
      </c>
      <c r="T37" s="56" t="s">
        <v>5</v>
      </c>
      <c r="U37" s="56" t="s">
        <v>5</v>
      </c>
      <c r="V37" s="56">
        <f>=IF(AND(C37="Yes",G37="-"), 1, 0)</f>
      </c>
      <c r="W37" s="56">
        <f>=IF(AND(C37="Yes",G37="Yes"), 1, 0)</f>
      </c>
      <c r="X37" s="56">
        <f>=IF(AND(C37="Yes",G37="No; explanation in comments"), 1, 0)</f>
      </c>
      <c r="Y37" s="56">
        <f>=IF(AND(C37="Yes",K37="Not Assessed Yet"), 1, 0)</f>
      </c>
      <c r="Z37" s="56">
        <f>=IF(AND(C37="Yes",AND(G37&lt;&gt;"-",K37="Mitigated")), 1, 0)</f>
      </c>
      <c r="AA37" s="56">
        <f>=IF(AND(C37="Yes",AND(G37&lt;&gt;"-",K37="Not Mitigated")), 1, 0)</f>
      </c>
    </row>
    <row r="38" ht="65" customHeight="1" spans="1:27" s="53" customFormat="1" x14ac:dyDescent="0.25">
      <c r="A38" s="71" t="s">
        <v>103</v>
      </c>
      <c r="B38" s="72" t="s">
        <v>698</v>
      </c>
      <c r="C38" s="56">
        <f>=IF(DMSInUse="Yes","Yes","No")</f>
      </c>
      <c r="D38" s="56" t="s">
        <v>699</v>
      </c>
      <c r="E38" s="56" t="s">
        <v>700</v>
      </c>
      <c r="F38" s="56">
        <f>=IF(AND(C38="Yes",G38="-"), "Yes", "No")</f>
      </c>
      <c r="G38" s="56" t="s">
        <v>13</v>
      </c>
      <c r="H38" s="56" t="s">
        <v>5</v>
      </c>
      <c r="I38" s="56" t="s">
        <v>242</v>
      </c>
      <c r="J38" s="56" t="s">
        <v>32</v>
      </c>
      <c r="K38" s="56" t="s">
        <v>230</v>
      </c>
      <c r="L38" s="56" t="s">
        <v>5</v>
      </c>
      <c r="M38" s="56" t="s">
        <v>5</v>
      </c>
      <c r="N38" s="56" t="s">
        <v>5</v>
      </c>
      <c r="O38" s="56" t="s">
        <v>5</v>
      </c>
      <c r="P38" s="56" t="s">
        <v>5</v>
      </c>
      <c r="Q38" s="56" t="s">
        <v>5</v>
      </c>
      <c r="R38" s="56" t="s">
        <v>5</v>
      </c>
      <c r="S38" s="56" t="s">
        <v>5</v>
      </c>
      <c r="T38" s="56" t="s">
        <v>5</v>
      </c>
      <c r="U38" s="56" t="s">
        <v>5</v>
      </c>
      <c r="V38" s="56">
        <f>=IF(AND(C38="Yes",G38="-"), 1, 0)</f>
      </c>
      <c r="W38" s="56">
        <f>=IF(AND(C38="Yes",G38="Yes"), 1, 0)</f>
      </c>
      <c r="X38" s="56">
        <f>=IF(AND(C38="Yes",G38="No; explanation in comments"), 1, 0)</f>
      </c>
      <c r="Y38" s="56">
        <f>=IF(AND(C38="Yes",K38="Not Assessed Yet"), 1, 0)</f>
      </c>
      <c r="Z38" s="56">
        <f>=IF(AND(C38="Yes",AND(G38&lt;&gt;"-",K38="Mitigated")), 1, 0)</f>
      </c>
      <c r="AA38" s="56">
        <f>=IF(AND(C38="Yes",AND(G38&lt;&gt;"-",K38="Not Mitigated")), 1, 0)</f>
      </c>
    </row>
    <row r="39" ht="65" customHeight="1" spans="1:27" s="53" customFormat="1" x14ac:dyDescent="0.25">
      <c r="A39" s="71" t="s">
        <v>103</v>
      </c>
      <c r="B39" s="72" t="s">
        <v>701</v>
      </c>
      <c r="C39" s="56">
        <f>=IF(DMSInUse="Yes","Yes","No")</f>
      </c>
      <c r="D39" s="56" t="s">
        <v>702</v>
      </c>
      <c r="E39" s="56" t="s">
        <v>703</v>
      </c>
      <c r="F39" s="56">
        <f>=IF(AND(C39="Yes",G39="-"), "Yes", "No")</f>
      </c>
      <c r="G39" s="56" t="s">
        <v>13</v>
      </c>
      <c r="H39" s="56" t="s">
        <v>5</v>
      </c>
      <c r="I39" s="56" t="s">
        <v>242</v>
      </c>
      <c r="J39" s="56" t="s">
        <v>32</v>
      </c>
      <c r="K39" s="56" t="s">
        <v>230</v>
      </c>
      <c r="L39" s="56" t="s">
        <v>5</v>
      </c>
      <c r="M39" s="56" t="s">
        <v>5</v>
      </c>
      <c r="N39" s="56" t="s">
        <v>5</v>
      </c>
      <c r="O39" s="56" t="s">
        <v>5</v>
      </c>
      <c r="P39" s="56" t="s">
        <v>5</v>
      </c>
      <c r="Q39" s="56" t="s">
        <v>5</v>
      </c>
      <c r="R39" s="56" t="s">
        <v>5</v>
      </c>
      <c r="S39" s="56" t="s">
        <v>5</v>
      </c>
      <c r="T39" s="56" t="s">
        <v>5</v>
      </c>
      <c r="U39" s="56" t="s">
        <v>5</v>
      </c>
      <c r="V39" s="56">
        <f>=IF(AND(C39="Yes",G39="-"), 1, 0)</f>
      </c>
      <c r="W39" s="56">
        <f>=IF(AND(C39="Yes",G39="Yes"), 1, 0)</f>
      </c>
      <c r="X39" s="56">
        <f>=IF(AND(C39="Yes",G39="No; explanation in comments"), 1, 0)</f>
      </c>
      <c r="Y39" s="56">
        <f>=IF(AND(C39="Yes",K39="Not Assessed Yet"), 1, 0)</f>
      </c>
      <c r="Z39" s="56">
        <f>=IF(AND(C39="Yes",AND(G39&lt;&gt;"-",K39="Mitigated")), 1, 0)</f>
      </c>
      <c r="AA39" s="56">
        <f>=IF(AND(C39="Yes",AND(G39&lt;&gt;"-",K39="Not Mitigated")), 1, 0)</f>
      </c>
    </row>
  </sheetData>
  <autoFilter ref="A1:L1"/>
  <conditionalFormatting sqref="$F$2">
    <cfRule type="containsText" dxfId="880" priority="1">
      <formula>NOT(ISERROR(SEARCH("Yes",F2)))</formula>
    </cfRule>
  </conditionalFormatting>
  <conditionalFormatting sqref="$G$2">
    <cfRule type="containsText" dxfId="881" priority="1">
      <formula>NOT(ISERROR(SEARCH("Yes",G2)))</formula>
    </cfRule>
    <cfRule type="containsText" dxfId="882" priority="2">
      <formula>NOT(ISERROR(SEARCH("No; explanation in comments",G2)))</formula>
    </cfRule>
  </conditionalFormatting>
  <conditionalFormatting sqref="$J$2">
    <cfRule type="containsText" dxfId="883" priority="1">
      <formula>NOT(ISERROR(SEARCH("Yes",J2)))</formula>
    </cfRule>
  </conditionalFormatting>
  <conditionalFormatting sqref="$K$2">
    <cfRule type="containsText" dxfId="884" priority="1">
      <formula>NOT(ISERROR(SEARCH("Mitigated",K2)))</formula>
    </cfRule>
    <cfRule type="containsText" dxfId="885" priority="2">
      <formula>NOT(ISERROR(SEARCH("Not Mitigated",K2)))</formula>
    </cfRule>
  </conditionalFormatting>
  <conditionalFormatting sqref="$F$3">
    <cfRule type="containsText" dxfId="886" priority="1">
      <formula>NOT(ISERROR(SEARCH("Yes",F3)))</formula>
    </cfRule>
  </conditionalFormatting>
  <conditionalFormatting sqref="$G$3">
    <cfRule type="containsText" dxfId="887" priority="1">
      <formula>NOT(ISERROR(SEARCH("Yes",G3)))</formula>
    </cfRule>
    <cfRule type="containsText" dxfId="888" priority="2">
      <formula>NOT(ISERROR(SEARCH("No; explanation in comments",G3)))</formula>
    </cfRule>
  </conditionalFormatting>
  <conditionalFormatting sqref="$J$3">
    <cfRule type="containsText" dxfId="889" priority="1">
      <formula>NOT(ISERROR(SEARCH("Yes",J3)))</formula>
    </cfRule>
  </conditionalFormatting>
  <conditionalFormatting sqref="$K$3">
    <cfRule type="containsText" dxfId="890" priority="1">
      <formula>NOT(ISERROR(SEARCH("Mitigated",K3)))</formula>
    </cfRule>
    <cfRule type="containsText" dxfId="891" priority="2">
      <formula>NOT(ISERROR(SEARCH("Not Mitigated",K3)))</formula>
    </cfRule>
  </conditionalFormatting>
  <conditionalFormatting sqref="$F$4">
    <cfRule type="containsText" dxfId="892" priority="1">
      <formula>NOT(ISERROR(SEARCH("Yes",F4)))</formula>
    </cfRule>
  </conditionalFormatting>
  <conditionalFormatting sqref="$G$4">
    <cfRule type="containsText" dxfId="893" priority="1">
      <formula>NOT(ISERROR(SEARCH("Yes",G4)))</formula>
    </cfRule>
    <cfRule type="containsText" dxfId="894" priority="2">
      <formula>NOT(ISERROR(SEARCH("No; explanation in comments",G4)))</formula>
    </cfRule>
  </conditionalFormatting>
  <conditionalFormatting sqref="$J$4">
    <cfRule type="containsText" dxfId="895" priority="1">
      <formula>NOT(ISERROR(SEARCH("Yes",J4)))</formula>
    </cfRule>
  </conditionalFormatting>
  <conditionalFormatting sqref="$K$4">
    <cfRule type="containsText" dxfId="896" priority="1">
      <formula>NOT(ISERROR(SEARCH("Mitigated",K4)))</formula>
    </cfRule>
    <cfRule type="containsText" dxfId="897" priority="2">
      <formula>NOT(ISERROR(SEARCH("Not Mitigated",K4)))</formula>
    </cfRule>
  </conditionalFormatting>
  <conditionalFormatting sqref="$F$5">
    <cfRule type="containsText" dxfId="898" priority="1">
      <formula>NOT(ISERROR(SEARCH("Yes",F5)))</formula>
    </cfRule>
  </conditionalFormatting>
  <conditionalFormatting sqref="$G$5">
    <cfRule type="containsText" dxfId="899" priority="1">
      <formula>NOT(ISERROR(SEARCH("Yes",G5)))</formula>
    </cfRule>
    <cfRule type="containsText" dxfId="900" priority="2">
      <formula>NOT(ISERROR(SEARCH("No; explanation in comments",G5)))</formula>
    </cfRule>
  </conditionalFormatting>
  <conditionalFormatting sqref="$J$5">
    <cfRule type="containsText" dxfId="901" priority="1">
      <formula>NOT(ISERROR(SEARCH("Yes",J5)))</formula>
    </cfRule>
  </conditionalFormatting>
  <conditionalFormatting sqref="$K$5">
    <cfRule type="containsText" dxfId="902" priority="1">
      <formula>NOT(ISERROR(SEARCH("Mitigated",K5)))</formula>
    </cfRule>
    <cfRule type="containsText" dxfId="903" priority="2">
      <formula>NOT(ISERROR(SEARCH("Not Mitigated",K5)))</formula>
    </cfRule>
  </conditionalFormatting>
  <conditionalFormatting sqref="$F$6">
    <cfRule type="containsText" dxfId="904" priority="1">
      <formula>NOT(ISERROR(SEARCH("Yes",F6)))</formula>
    </cfRule>
  </conditionalFormatting>
  <conditionalFormatting sqref="$G$6">
    <cfRule type="containsText" dxfId="905" priority="1">
      <formula>NOT(ISERROR(SEARCH("Yes",G6)))</formula>
    </cfRule>
    <cfRule type="containsText" dxfId="906" priority="2">
      <formula>NOT(ISERROR(SEARCH("No; explanation in comments",G6)))</formula>
    </cfRule>
  </conditionalFormatting>
  <conditionalFormatting sqref="$J$6">
    <cfRule type="containsText" dxfId="907" priority="1">
      <formula>NOT(ISERROR(SEARCH("Yes",J6)))</formula>
    </cfRule>
  </conditionalFormatting>
  <conditionalFormatting sqref="$K$6">
    <cfRule type="containsText" dxfId="908" priority="1">
      <formula>NOT(ISERROR(SEARCH("Mitigated",K6)))</formula>
    </cfRule>
    <cfRule type="containsText" dxfId="909" priority="2">
      <formula>NOT(ISERROR(SEARCH("Not Mitigated",K6)))</formula>
    </cfRule>
  </conditionalFormatting>
  <conditionalFormatting sqref="$F$7">
    <cfRule type="containsText" dxfId="910" priority="1">
      <formula>NOT(ISERROR(SEARCH("Yes",F7)))</formula>
    </cfRule>
  </conditionalFormatting>
  <conditionalFormatting sqref="$G$7">
    <cfRule type="containsText" dxfId="911" priority="1">
      <formula>NOT(ISERROR(SEARCH("Yes",G7)))</formula>
    </cfRule>
    <cfRule type="containsText" dxfId="912" priority="2">
      <formula>NOT(ISERROR(SEARCH("No; explanation in comments",G7)))</formula>
    </cfRule>
  </conditionalFormatting>
  <conditionalFormatting sqref="$J$7">
    <cfRule type="containsText" dxfId="913" priority="1">
      <formula>NOT(ISERROR(SEARCH("Yes",J7)))</formula>
    </cfRule>
  </conditionalFormatting>
  <conditionalFormatting sqref="$K$7">
    <cfRule type="containsText" dxfId="914" priority="1">
      <formula>NOT(ISERROR(SEARCH("Mitigated",K7)))</formula>
    </cfRule>
    <cfRule type="containsText" dxfId="915" priority="2">
      <formula>NOT(ISERROR(SEARCH("Not Mitigated",K7)))</formula>
    </cfRule>
  </conditionalFormatting>
  <conditionalFormatting sqref="$F$8">
    <cfRule type="containsText" dxfId="916" priority="1">
      <formula>NOT(ISERROR(SEARCH("Yes",F8)))</formula>
    </cfRule>
  </conditionalFormatting>
  <conditionalFormatting sqref="$G$8">
    <cfRule type="containsText" dxfId="917" priority="1">
      <formula>NOT(ISERROR(SEARCH("Yes",G8)))</formula>
    </cfRule>
    <cfRule type="containsText" dxfId="918" priority="2">
      <formula>NOT(ISERROR(SEARCH("No; explanation in comments",G8)))</formula>
    </cfRule>
  </conditionalFormatting>
  <conditionalFormatting sqref="$J$8">
    <cfRule type="containsText" dxfId="919" priority="1">
      <formula>NOT(ISERROR(SEARCH("Yes",J8)))</formula>
    </cfRule>
  </conditionalFormatting>
  <conditionalFormatting sqref="$K$8">
    <cfRule type="containsText" dxfId="920" priority="1">
      <formula>NOT(ISERROR(SEARCH("Mitigated",K8)))</formula>
    </cfRule>
    <cfRule type="containsText" dxfId="921" priority="2">
      <formula>NOT(ISERROR(SEARCH("Not Mitigated",K8)))</formula>
    </cfRule>
  </conditionalFormatting>
  <conditionalFormatting sqref="$F$9">
    <cfRule type="containsText" dxfId="922" priority="1">
      <formula>NOT(ISERROR(SEARCH("Yes",F9)))</formula>
    </cfRule>
  </conditionalFormatting>
  <conditionalFormatting sqref="$G$9">
    <cfRule type="containsText" dxfId="923" priority="1">
      <formula>NOT(ISERROR(SEARCH("Yes",G9)))</formula>
    </cfRule>
    <cfRule type="containsText" dxfId="924" priority="2">
      <formula>NOT(ISERROR(SEARCH("No; explanation in comments",G9)))</formula>
    </cfRule>
  </conditionalFormatting>
  <conditionalFormatting sqref="$J$9">
    <cfRule type="containsText" dxfId="925" priority="1">
      <formula>NOT(ISERROR(SEARCH("Yes",J9)))</formula>
    </cfRule>
  </conditionalFormatting>
  <conditionalFormatting sqref="$K$9">
    <cfRule type="containsText" dxfId="926" priority="1">
      <formula>NOT(ISERROR(SEARCH("Mitigated",K9)))</formula>
    </cfRule>
    <cfRule type="containsText" dxfId="927" priority="2">
      <formula>NOT(ISERROR(SEARCH("Not Mitigated",K9)))</formula>
    </cfRule>
  </conditionalFormatting>
  <conditionalFormatting sqref="$F$10">
    <cfRule type="containsText" dxfId="928" priority="1">
      <formula>NOT(ISERROR(SEARCH("Yes",F10)))</formula>
    </cfRule>
  </conditionalFormatting>
  <conditionalFormatting sqref="$G$10">
    <cfRule type="containsText" dxfId="929" priority="1">
      <formula>NOT(ISERROR(SEARCH("Yes",G10)))</formula>
    </cfRule>
    <cfRule type="containsText" dxfId="930" priority="2">
      <formula>NOT(ISERROR(SEARCH("No; explanation in comments",G10)))</formula>
    </cfRule>
  </conditionalFormatting>
  <conditionalFormatting sqref="$J$10">
    <cfRule type="containsText" dxfId="931" priority="1">
      <formula>NOT(ISERROR(SEARCH("Yes",J10)))</formula>
    </cfRule>
  </conditionalFormatting>
  <conditionalFormatting sqref="$K$10">
    <cfRule type="containsText" dxfId="932" priority="1">
      <formula>NOT(ISERROR(SEARCH("Mitigated",K10)))</formula>
    </cfRule>
    <cfRule type="containsText" dxfId="933" priority="2">
      <formula>NOT(ISERROR(SEARCH("Not Mitigated",K10)))</formula>
    </cfRule>
  </conditionalFormatting>
  <conditionalFormatting sqref="$F$11">
    <cfRule type="containsText" dxfId="934" priority="1">
      <formula>NOT(ISERROR(SEARCH("Yes",F11)))</formula>
    </cfRule>
  </conditionalFormatting>
  <conditionalFormatting sqref="$G$11">
    <cfRule type="containsText" dxfId="935" priority="1">
      <formula>NOT(ISERROR(SEARCH("Yes",G11)))</formula>
    </cfRule>
    <cfRule type="containsText" dxfId="936" priority="2">
      <formula>NOT(ISERROR(SEARCH("No; explanation in comments",G11)))</formula>
    </cfRule>
  </conditionalFormatting>
  <conditionalFormatting sqref="$J$11">
    <cfRule type="containsText" dxfId="937" priority="1">
      <formula>NOT(ISERROR(SEARCH("Yes",J11)))</formula>
    </cfRule>
  </conditionalFormatting>
  <conditionalFormatting sqref="$K$11">
    <cfRule type="containsText" dxfId="938" priority="1">
      <formula>NOT(ISERROR(SEARCH("Mitigated",K11)))</formula>
    </cfRule>
    <cfRule type="containsText" dxfId="939" priority="2">
      <formula>NOT(ISERROR(SEARCH("Not Mitigated",K11)))</formula>
    </cfRule>
  </conditionalFormatting>
  <conditionalFormatting sqref="$F$12">
    <cfRule type="containsText" dxfId="940" priority="1">
      <formula>NOT(ISERROR(SEARCH("Yes",F12)))</formula>
    </cfRule>
  </conditionalFormatting>
  <conditionalFormatting sqref="$G$12">
    <cfRule type="containsText" dxfId="941" priority="1">
      <formula>NOT(ISERROR(SEARCH("Yes",G12)))</formula>
    </cfRule>
    <cfRule type="containsText" dxfId="942" priority="2">
      <formula>NOT(ISERROR(SEARCH("No; explanation in comments",G12)))</formula>
    </cfRule>
  </conditionalFormatting>
  <conditionalFormatting sqref="$J$12">
    <cfRule type="containsText" dxfId="943" priority="1">
      <formula>NOT(ISERROR(SEARCH("Yes",J12)))</formula>
    </cfRule>
  </conditionalFormatting>
  <conditionalFormatting sqref="$K$12">
    <cfRule type="containsText" dxfId="944" priority="1">
      <formula>NOT(ISERROR(SEARCH("Mitigated",K12)))</formula>
    </cfRule>
    <cfRule type="containsText" dxfId="945" priority="2">
      <formula>NOT(ISERROR(SEARCH("Not Mitigated",K12)))</formula>
    </cfRule>
  </conditionalFormatting>
  <conditionalFormatting sqref="$F$13">
    <cfRule type="containsText" dxfId="946" priority="1">
      <formula>NOT(ISERROR(SEARCH("Yes",F13)))</formula>
    </cfRule>
  </conditionalFormatting>
  <conditionalFormatting sqref="$G$13">
    <cfRule type="containsText" dxfId="947" priority="1">
      <formula>NOT(ISERROR(SEARCH("Yes",G13)))</formula>
    </cfRule>
    <cfRule type="containsText" dxfId="948" priority="2">
      <formula>NOT(ISERROR(SEARCH("No; explanation in comments",G13)))</formula>
    </cfRule>
  </conditionalFormatting>
  <conditionalFormatting sqref="$J$13">
    <cfRule type="containsText" dxfId="949" priority="1">
      <formula>NOT(ISERROR(SEARCH("Yes",J13)))</formula>
    </cfRule>
  </conditionalFormatting>
  <conditionalFormatting sqref="$K$13">
    <cfRule type="containsText" dxfId="950" priority="1">
      <formula>NOT(ISERROR(SEARCH("Mitigated",K13)))</formula>
    </cfRule>
    <cfRule type="containsText" dxfId="951" priority="2">
      <formula>NOT(ISERROR(SEARCH("Not Mitigated",K13)))</formula>
    </cfRule>
  </conditionalFormatting>
  <conditionalFormatting sqref="$F$14">
    <cfRule type="containsText" dxfId="952" priority="1">
      <formula>NOT(ISERROR(SEARCH("Yes",F14)))</formula>
    </cfRule>
  </conditionalFormatting>
  <conditionalFormatting sqref="$G$14">
    <cfRule type="containsText" dxfId="953" priority="1">
      <formula>NOT(ISERROR(SEARCH("Yes",G14)))</formula>
    </cfRule>
    <cfRule type="containsText" dxfId="954" priority="2">
      <formula>NOT(ISERROR(SEARCH("No; explanation in comments",G14)))</formula>
    </cfRule>
  </conditionalFormatting>
  <conditionalFormatting sqref="$J$14">
    <cfRule type="containsText" dxfId="955" priority="1">
      <formula>NOT(ISERROR(SEARCH("Yes",J14)))</formula>
    </cfRule>
  </conditionalFormatting>
  <conditionalFormatting sqref="$K$14">
    <cfRule type="containsText" dxfId="956" priority="1">
      <formula>NOT(ISERROR(SEARCH("Mitigated",K14)))</formula>
    </cfRule>
    <cfRule type="containsText" dxfId="957" priority="2">
      <formula>NOT(ISERROR(SEARCH("Not Mitigated",K14)))</formula>
    </cfRule>
  </conditionalFormatting>
  <conditionalFormatting sqref="$F$15">
    <cfRule type="containsText" dxfId="958" priority="1">
      <formula>NOT(ISERROR(SEARCH("Yes",F15)))</formula>
    </cfRule>
  </conditionalFormatting>
  <conditionalFormatting sqref="$G$15">
    <cfRule type="containsText" dxfId="959" priority="1">
      <formula>NOT(ISERROR(SEARCH("Yes",G15)))</formula>
    </cfRule>
    <cfRule type="containsText" dxfId="960" priority="2">
      <formula>NOT(ISERROR(SEARCH("No; explanation in comments",G15)))</formula>
    </cfRule>
  </conditionalFormatting>
  <conditionalFormatting sqref="$J$15">
    <cfRule type="containsText" dxfId="961" priority="1">
      <formula>NOT(ISERROR(SEARCH("Yes",J15)))</formula>
    </cfRule>
  </conditionalFormatting>
  <conditionalFormatting sqref="$K$15">
    <cfRule type="containsText" dxfId="962" priority="1">
      <formula>NOT(ISERROR(SEARCH("Mitigated",K15)))</formula>
    </cfRule>
    <cfRule type="containsText" dxfId="963" priority="2">
      <formula>NOT(ISERROR(SEARCH("Not Mitigated",K15)))</formula>
    </cfRule>
  </conditionalFormatting>
  <conditionalFormatting sqref="$F$16">
    <cfRule type="containsText" dxfId="964" priority="1">
      <formula>NOT(ISERROR(SEARCH("Yes",F16)))</formula>
    </cfRule>
  </conditionalFormatting>
  <conditionalFormatting sqref="$G$16">
    <cfRule type="containsText" dxfId="965" priority="1">
      <formula>NOT(ISERROR(SEARCH("Yes",G16)))</formula>
    </cfRule>
    <cfRule type="containsText" dxfId="966" priority="2">
      <formula>NOT(ISERROR(SEARCH("No; explanation in comments",G16)))</formula>
    </cfRule>
  </conditionalFormatting>
  <conditionalFormatting sqref="$J$16">
    <cfRule type="containsText" dxfId="967" priority="1">
      <formula>NOT(ISERROR(SEARCH("Yes",J16)))</formula>
    </cfRule>
  </conditionalFormatting>
  <conditionalFormatting sqref="$K$16">
    <cfRule type="containsText" dxfId="968" priority="1">
      <formula>NOT(ISERROR(SEARCH("Mitigated",K16)))</formula>
    </cfRule>
    <cfRule type="containsText" dxfId="969" priority="2">
      <formula>NOT(ISERROR(SEARCH("Not Mitigated",K16)))</formula>
    </cfRule>
  </conditionalFormatting>
  <conditionalFormatting sqref="$F$17">
    <cfRule type="containsText" dxfId="970" priority="1">
      <formula>NOT(ISERROR(SEARCH("Yes",F17)))</formula>
    </cfRule>
  </conditionalFormatting>
  <conditionalFormatting sqref="$G$17">
    <cfRule type="containsText" dxfId="971" priority="1">
      <formula>NOT(ISERROR(SEARCH("Yes",G17)))</formula>
    </cfRule>
    <cfRule type="containsText" dxfId="972" priority="2">
      <formula>NOT(ISERROR(SEARCH("No; explanation in comments",G17)))</formula>
    </cfRule>
  </conditionalFormatting>
  <conditionalFormatting sqref="$J$17">
    <cfRule type="containsText" dxfId="973" priority="1">
      <formula>NOT(ISERROR(SEARCH("Yes",J17)))</formula>
    </cfRule>
  </conditionalFormatting>
  <conditionalFormatting sqref="$K$17">
    <cfRule type="containsText" dxfId="974" priority="1">
      <formula>NOT(ISERROR(SEARCH("Mitigated",K17)))</formula>
    </cfRule>
    <cfRule type="containsText" dxfId="975" priority="2">
      <formula>NOT(ISERROR(SEARCH("Not Mitigated",K17)))</formula>
    </cfRule>
  </conditionalFormatting>
  <conditionalFormatting sqref="$F$18">
    <cfRule type="containsText" dxfId="976" priority="1">
      <formula>NOT(ISERROR(SEARCH("Yes",F18)))</formula>
    </cfRule>
  </conditionalFormatting>
  <conditionalFormatting sqref="$G$18">
    <cfRule type="containsText" dxfId="977" priority="1">
      <formula>NOT(ISERROR(SEARCH("Yes",G18)))</formula>
    </cfRule>
    <cfRule type="containsText" dxfId="978" priority="2">
      <formula>NOT(ISERROR(SEARCH("No; explanation in comments",G18)))</formula>
    </cfRule>
  </conditionalFormatting>
  <conditionalFormatting sqref="$J$18">
    <cfRule type="containsText" dxfId="979" priority="1">
      <formula>NOT(ISERROR(SEARCH("Yes",J18)))</formula>
    </cfRule>
  </conditionalFormatting>
  <conditionalFormatting sqref="$K$18">
    <cfRule type="containsText" dxfId="980" priority="1">
      <formula>NOT(ISERROR(SEARCH("Mitigated",K18)))</formula>
    </cfRule>
    <cfRule type="containsText" dxfId="981" priority="2">
      <formula>NOT(ISERROR(SEARCH("Not Mitigated",K18)))</formula>
    </cfRule>
  </conditionalFormatting>
  <conditionalFormatting sqref="$F$19">
    <cfRule type="containsText" dxfId="982" priority="1">
      <formula>NOT(ISERROR(SEARCH("Yes",F19)))</formula>
    </cfRule>
  </conditionalFormatting>
  <conditionalFormatting sqref="$G$19">
    <cfRule type="containsText" dxfId="983" priority="1">
      <formula>NOT(ISERROR(SEARCH("Yes",G19)))</formula>
    </cfRule>
    <cfRule type="containsText" dxfId="984" priority="2">
      <formula>NOT(ISERROR(SEARCH("No; explanation in comments",G19)))</formula>
    </cfRule>
  </conditionalFormatting>
  <conditionalFormatting sqref="$J$19">
    <cfRule type="containsText" dxfId="985" priority="1">
      <formula>NOT(ISERROR(SEARCH("Yes",J19)))</formula>
    </cfRule>
  </conditionalFormatting>
  <conditionalFormatting sqref="$K$19">
    <cfRule type="containsText" dxfId="986" priority="1">
      <formula>NOT(ISERROR(SEARCH("Mitigated",K19)))</formula>
    </cfRule>
    <cfRule type="containsText" dxfId="987" priority="2">
      <formula>NOT(ISERROR(SEARCH("Not Mitigated",K19)))</formula>
    </cfRule>
  </conditionalFormatting>
  <conditionalFormatting sqref="$F$20">
    <cfRule type="containsText" dxfId="988" priority="1">
      <formula>NOT(ISERROR(SEARCH("Yes",F20)))</formula>
    </cfRule>
  </conditionalFormatting>
  <conditionalFormatting sqref="$G$20">
    <cfRule type="containsText" dxfId="989" priority="1">
      <formula>NOT(ISERROR(SEARCH("Yes",G20)))</formula>
    </cfRule>
    <cfRule type="containsText" dxfId="990" priority="2">
      <formula>NOT(ISERROR(SEARCH("No; explanation in comments",G20)))</formula>
    </cfRule>
  </conditionalFormatting>
  <conditionalFormatting sqref="$J$20">
    <cfRule type="containsText" dxfId="991" priority="1">
      <formula>NOT(ISERROR(SEARCH("Yes",J20)))</formula>
    </cfRule>
  </conditionalFormatting>
  <conditionalFormatting sqref="$K$20">
    <cfRule type="containsText" dxfId="992" priority="1">
      <formula>NOT(ISERROR(SEARCH("Mitigated",K20)))</formula>
    </cfRule>
    <cfRule type="containsText" dxfId="993" priority="2">
      <formula>NOT(ISERROR(SEARCH("Not Mitigated",K20)))</formula>
    </cfRule>
  </conditionalFormatting>
  <conditionalFormatting sqref="$F$21">
    <cfRule type="containsText" dxfId="994" priority="1">
      <formula>NOT(ISERROR(SEARCH("Yes",F21)))</formula>
    </cfRule>
  </conditionalFormatting>
  <conditionalFormatting sqref="$G$21">
    <cfRule type="containsText" dxfId="995" priority="1">
      <formula>NOT(ISERROR(SEARCH("Yes",G21)))</formula>
    </cfRule>
    <cfRule type="containsText" dxfId="996" priority="2">
      <formula>NOT(ISERROR(SEARCH("No; explanation in comments",G21)))</formula>
    </cfRule>
  </conditionalFormatting>
  <conditionalFormatting sqref="$J$21">
    <cfRule type="containsText" dxfId="997" priority="1">
      <formula>NOT(ISERROR(SEARCH("Yes",J21)))</formula>
    </cfRule>
  </conditionalFormatting>
  <conditionalFormatting sqref="$K$21">
    <cfRule type="containsText" dxfId="998" priority="1">
      <formula>NOT(ISERROR(SEARCH("Mitigated",K21)))</formula>
    </cfRule>
    <cfRule type="containsText" dxfId="999" priority="2">
      <formula>NOT(ISERROR(SEARCH("Not Mitigated",K21)))</formula>
    </cfRule>
  </conditionalFormatting>
  <conditionalFormatting sqref="$F$22">
    <cfRule type="containsText" dxfId="1000" priority="1">
      <formula>NOT(ISERROR(SEARCH("Yes",F22)))</formula>
    </cfRule>
  </conditionalFormatting>
  <conditionalFormatting sqref="$G$22">
    <cfRule type="containsText" dxfId="1001" priority="1">
      <formula>NOT(ISERROR(SEARCH("Yes",G22)))</formula>
    </cfRule>
    <cfRule type="containsText" dxfId="1002" priority="2">
      <formula>NOT(ISERROR(SEARCH("No; explanation in comments",G22)))</formula>
    </cfRule>
  </conditionalFormatting>
  <conditionalFormatting sqref="$J$22">
    <cfRule type="containsText" dxfId="1003" priority="1">
      <formula>NOT(ISERROR(SEARCH("Yes",J22)))</formula>
    </cfRule>
  </conditionalFormatting>
  <conditionalFormatting sqref="$K$22">
    <cfRule type="containsText" dxfId="1004" priority="1">
      <formula>NOT(ISERROR(SEARCH("Mitigated",K22)))</formula>
    </cfRule>
    <cfRule type="containsText" dxfId="1005" priority="2">
      <formula>NOT(ISERROR(SEARCH("Not Mitigated",K22)))</formula>
    </cfRule>
  </conditionalFormatting>
  <conditionalFormatting sqref="$F$23">
    <cfRule type="containsText" dxfId="1006" priority="1">
      <formula>NOT(ISERROR(SEARCH("Yes",F23)))</formula>
    </cfRule>
  </conditionalFormatting>
  <conditionalFormatting sqref="$G$23">
    <cfRule type="containsText" dxfId="1007" priority="1">
      <formula>NOT(ISERROR(SEARCH("Yes",G23)))</formula>
    </cfRule>
    <cfRule type="containsText" dxfId="1008" priority="2">
      <formula>NOT(ISERROR(SEARCH("No; explanation in comments",G23)))</formula>
    </cfRule>
  </conditionalFormatting>
  <conditionalFormatting sqref="$J$23">
    <cfRule type="containsText" dxfId="1009" priority="1">
      <formula>NOT(ISERROR(SEARCH("Yes",J23)))</formula>
    </cfRule>
  </conditionalFormatting>
  <conditionalFormatting sqref="$K$23">
    <cfRule type="containsText" dxfId="1010" priority="1">
      <formula>NOT(ISERROR(SEARCH("Mitigated",K23)))</formula>
    </cfRule>
    <cfRule type="containsText" dxfId="1011" priority="2">
      <formula>NOT(ISERROR(SEARCH("Not Mitigated",K23)))</formula>
    </cfRule>
  </conditionalFormatting>
  <conditionalFormatting sqref="$F$24">
    <cfRule type="containsText" dxfId="1012" priority="1">
      <formula>NOT(ISERROR(SEARCH("Yes",F24)))</formula>
    </cfRule>
  </conditionalFormatting>
  <conditionalFormatting sqref="$G$24">
    <cfRule type="containsText" dxfId="1013" priority="1">
      <formula>NOT(ISERROR(SEARCH("Yes",G24)))</formula>
    </cfRule>
    <cfRule type="containsText" dxfId="1014" priority="2">
      <formula>NOT(ISERROR(SEARCH("No; explanation in comments",G24)))</formula>
    </cfRule>
  </conditionalFormatting>
  <conditionalFormatting sqref="$J$24">
    <cfRule type="containsText" dxfId="1015" priority="1">
      <formula>NOT(ISERROR(SEARCH("Yes",J24)))</formula>
    </cfRule>
  </conditionalFormatting>
  <conditionalFormatting sqref="$K$24">
    <cfRule type="containsText" dxfId="1016" priority="1">
      <formula>NOT(ISERROR(SEARCH("Mitigated",K24)))</formula>
    </cfRule>
    <cfRule type="containsText" dxfId="1017" priority="2">
      <formula>NOT(ISERROR(SEARCH("Not Mitigated",K24)))</formula>
    </cfRule>
  </conditionalFormatting>
  <conditionalFormatting sqref="$F$25">
    <cfRule type="containsText" dxfId="1018" priority="1">
      <formula>NOT(ISERROR(SEARCH("Yes",F25)))</formula>
    </cfRule>
  </conditionalFormatting>
  <conditionalFormatting sqref="$G$25">
    <cfRule type="containsText" dxfId="1019" priority="1">
      <formula>NOT(ISERROR(SEARCH("Yes",G25)))</formula>
    </cfRule>
    <cfRule type="containsText" dxfId="1020" priority="2">
      <formula>NOT(ISERROR(SEARCH("No; explanation in comments",G25)))</formula>
    </cfRule>
  </conditionalFormatting>
  <conditionalFormatting sqref="$J$25">
    <cfRule type="containsText" dxfId="1021" priority="1">
      <formula>NOT(ISERROR(SEARCH("Yes",J25)))</formula>
    </cfRule>
  </conditionalFormatting>
  <conditionalFormatting sqref="$K$25">
    <cfRule type="containsText" dxfId="1022" priority="1">
      <formula>NOT(ISERROR(SEARCH("Mitigated",K25)))</formula>
    </cfRule>
    <cfRule type="containsText" dxfId="1023" priority="2">
      <formula>NOT(ISERROR(SEARCH("Not Mitigated",K25)))</formula>
    </cfRule>
  </conditionalFormatting>
  <conditionalFormatting sqref="$F$26">
    <cfRule type="containsText" dxfId="1024" priority="1">
      <formula>NOT(ISERROR(SEARCH("Yes",F26)))</formula>
    </cfRule>
  </conditionalFormatting>
  <conditionalFormatting sqref="$G$26">
    <cfRule type="containsText" dxfId="1025" priority="1">
      <formula>NOT(ISERROR(SEARCH("Yes",G26)))</formula>
    </cfRule>
    <cfRule type="containsText" dxfId="1026" priority="2">
      <formula>NOT(ISERROR(SEARCH("No; explanation in comments",G26)))</formula>
    </cfRule>
  </conditionalFormatting>
  <conditionalFormatting sqref="$J$26">
    <cfRule type="containsText" dxfId="1027" priority="1">
      <formula>NOT(ISERROR(SEARCH("Yes",J26)))</formula>
    </cfRule>
  </conditionalFormatting>
  <conditionalFormatting sqref="$K$26">
    <cfRule type="containsText" dxfId="1028" priority="1">
      <formula>NOT(ISERROR(SEARCH("Mitigated",K26)))</formula>
    </cfRule>
    <cfRule type="containsText" dxfId="1029" priority="2">
      <formula>NOT(ISERROR(SEARCH("Not Mitigated",K26)))</formula>
    </cfRule>
  </conditionalFormatting>
  <conditionalFormatting sqref="$F$27">
    <cfRule type="containsText" dxfId="1030" priority="1">
      <formula>NOT(ISERROR(SEARCH("Yes",F27)))</formula>
    </cfRule>
  </conditionalFormatting>
  <conditionalFormatting sqref="$G$27">
    <cfRule type="containsText" dxfId="1031" priority="1">
      <formula>NOT(ISERROR(SEARCH("Yes",G27)))</formula>
    </cfRule>
    <cfRule type="containsText" dxfId="1032" priority="2">
      <formula>NOT(ISERROR(SEARCH("No; explanation in comments",G27)))</formula>
    </cfRule>
  </conditionalFormatting>
  <conditionalFormatting sqref="$J$27">
    <cfRule type="containsText" dxfId="1033" priority="1">
      <formula>NOT(ISERROR(SEARCH("Yes",J27)))</formula>
    </cfRule>
  </conditionalFormatting>
  <conditionalFormatting sqref="$K$27">
    <cfRule type="containsText" dxfId="1034" priority="1">
      <formula>NOT(ISERROR(SEARCH("Mitigated",K27)))</formula>
    </cfRule>
    <cfRule type="containsText" dxfId="1035" priority="2">
      <formula>NOT(ISERROR(SEARCH("Not Mitigated",K27)))</formula>
    </cfRule>
  </conditionalFormatting>
  <conditionalFormatting sqref="$F$28">
    <cfRule type="containsText" dxfId="1036" priority="1">
      <formula>NOT(ISERROR(SEARCH("Yes",F28)))</formula>
    </cfRule>
  </conditionalFormatting>
  <conditionalFormatting sqref="$G$28">
    <cfRule type="containsText" dxfId="1037" priority="1">
      <formula>NOT(ISERROR(SEARCH("Yes",G28)))</formula>
    </cfRule>
    <cfRule type="containsText" dxfId="1038" priority="2">
      <formula>NOT(ISERROR(SEARCH("No; explanation in comments",G28)))</formula>
    </cfRule>
  </conditionalFormatting>
  <conditionalFormatting sqref="$J$28">
    <cfRule type="containsText" dxfId="1039" priority="1">
      <formula>NOT(ISERROR(SEARCH("Yes",J28)))</formula>
    </cfRule>
  </conditionalFormatting>
  <conditionalFormatting sqref="$K$28">
    <cfRule type="containsText" dxfId="1040" priority="1">
      <formula>NOT(ISERROR(SEARCH("Mitigated",K28)))</formula>
    </cfRule>
    <cfRule type="containsText" dxfId="1041" priority="2">
      <formula>NOT(ISERROR(SEARCH("Not Mitigated",K28)))</formula>
    </cfRule>
  </conditionalFormatting>
  <conditionalFormatting sqref="$F$29">
    <cfRule type="containsText" dxfId="1042" priority="1">
      <formula>NOT(ISERROR(SEARCH("Yes",F29)))</formula>
    </cfRule>
  </conditionalFormatting>
  <conditionalFormatting sqref="$G$29">
    <cfRule type="containsText" dxfId="1043" priority="1">
      <formula>NOT(ISERROR(SEARCH("Yes",G29)))</formula>
    </cfRule>
    <cfRule type="containsText" dxfId="1044" priority="2">
      <formula>NOT(ISERROR(SEARCH("No; explanation in comments",G29)))</formula>
    </cfRule>
  </conditionalFormatting>
  <conditionalFormatting sqref="$J$29">
    <cfRule type="containsText" dxfId="1045" priority="1">
      <formula>NOT(ISERROR(SEARCH("Yes",J29)))</formula>
    </cfRule>
  </conditionalFormatting>
  <conditionalFormatting sqref="$K$29">
    <cfRule type="containsText" dxfId="1046" priority="1">
      <formula>NOT(ISERROR(SEARCH("Mitigated",K29)))</formula>
    </cfRule>
    <cfRule type="containsText" dxfId="1047" priority="2">
      <formula>NOT(ISERROR(SEARCH("Not Mitigated",K29)))</formula>
    </cfRule>
  </conditionalFormatting>
  <conditionalFormatting sqref="$F$30">
    <cfRule type="containsText" dxfId="1048" priority="1">
      <formula>NOT(ISERROR(SEARCH("Yes",F30)))</formula>
    </cfRule>
  </conditionalFormatting>
  <conditionalFormatting sqref="$G$30">
    <cfRule type="containsText" dxfId="1049" priority="1">
      <formula>NOT(ISERROR(SEARCH("Yes",G30)))</formula>
    </cfRule>
    <cfRule type="containsText" dxfId="1050" priority="2">
      <formula>NOT(ISERROR(SEARCH("No; explanation in comments",G30)))</formula>
    </cfRule>
  </conditionalFormatting>
  <conditionalFormatting sqref="$J$30">
    <cfRule type="containsText" dxfId="1051" priority="1">
      <formula>NOT(ISERROR(SEARCH("Yes",J30)))</formula>
    </cfRule>
  </conditionalFormatting>
  <conditionalFormatting sqref="$K$30">
    <cfRule type="containsText" dxfId="1052" priority="1">
      <formula>NOT(ISERROR(SEARCH("Mitigated",K30)))</formula>
    </cfRule>
    <cfRule type="containsText" dxfId="1053" priority="2">
      <formula>NOT(ISERROR(SEARCH("Not Mitigated",K30)))</formula>
    </cfRule>
  </conditionalFormatting>
  <conditionalFormatting sqref="$F$31">
    <cfRule type="containsText" dxfId="1054" priority="1">
      <formula>NOT(ISERROR(SEARCH("Yes",F31)))</formula>
    </cfRule>
  </conditionalFormatting>
  <conditionalFormatting sqref="$G$31">
    <cfRule type="containsText" dxfId="1055" priority="1">
      <formula>NOT(ISERROR(SEARCH("Yes",G31)))</formula>
    </cfRule>
    <cfRule type="containsText" dxfId="1056" priority="2">
      <formula>NOT(ISERROR(SEARCH("No; explanation in comments",G31)))</formula>
    </cfRule>
  </conditionalFormatting>
  <conditionalFormatting sqref="$J$31">
    <cfRule type="containsText" dxfId="1057" priority="1">
      <formula>NOT(ISERROR(SEARCH("Yes",J31)))</formula>
    </cfRule>
  </conditionalFormatting>
  <conditionalFormatting sqref="$K$31">
    <cfRule type="containsText" dxfId="1058" priority="1">
      <formula>NOT(ISERROR(SEARCH("Mitigated",K31)))</formula>
    </cfRule>
    <cfRule type="containsText" dxfId="1059" priority="2">
      <formula>NOT(ISERROR(SEARCH("Not Mitigated",K31)))</formula>
    </cfRule>
  </conditionalFormatting>
  <conditionalFormatting sqref="$F$32">
    <cfRule type="containsText" dxfId="1060" priority="1">
      <formula>NOT(ISERROR(SEARCH("Yes",F32)))</formula>
    </cfRule>
  </conditionalFormatting>
  <conditionalFormatting sqref="$G$32">
    <cfRule type="containsText" dxfId="1061" priority="1">
      <formula>NOT(ISERROR(SEARCH("Yes",G32)))</formula>
    </cfRule>
    <cfRule type="containsText" dxfId="1062" priority="2">
      <formula>NOT(ISERROR(SEARCH("No; explanation in comments",G32)))</formula>
    </cfRule>
  </conditionalFormatting>
  <conditionalFormatting sqref="$J$32">
    <cfRule type="containsText" dxfId="1063" priority="1">
      <formula>NOT(ISERROR(SEARCH("Yes",J32)))</formula>
    </cfRule>
  </conditionalFormatting>
  <conditionalFormatting sqref="$K$32">
    <cfRule type="containsText" dxfId="1064" priority="1">
      <formula>NOT(ISERROR(SEARCH("Mitigated",K32)))</formula>
    </cfRule>
    <cfRule type="containsText" dxfId="1065" priority="2">
      <formula>NOT(ISERROR(SEARCH("Not Mitigated",K32)))</formula>
    </cfRule>
  </conditionalFormatting>
  <conditionalFormatting sqref="$F$33">
    <cfRule type="containsText" dxfId="1066" priority="1">
      <formula>NOT(ISERROR(SEARCH("Yes",F33)))</formula>
    </cfRule>
  </conditionalFormatting>
  <conditionalFormatting sqref="$G$33">
    <cfRule type="containsText" dxfId="1067" priority="1">
      <formula>NOT(ISERROR(SEARCH("Yes",G33)))</formula>
    </cfRule>
    <cfRule type="containsText" dxfId="1068" priority="2">
      <formula>NOT(ISERROR(SEARCH("No; explanation in comments",G33)))</formula>
    </cfRule>
  </conditionalFormatting>
  <conditionalFormatting sqref="$J$33">
    <cfRule type="containsText" dxfId="1069" priority="1">
      <formula>NOT(ISERROR(SEARCH("Yes",J33)))</formula>
    </cfRule>
  </conditionalFormatting>
  <conditionalFormatting sqref="$K$33">
    <cfRule type="containsText" dxfId="1070" priority="1">
      <formula>NOT(ISERROR(SEARCH("Mitigated",K33)))</formula>
    </cfRule>
    <cfRule type="containsText" dxfId="1071" priority="2">
      <formula>NOT(ISERROR(SEARCH("Not Mitigated",K33)))</formula>
    </cfRule>
  </conditionalFormatting>
  <conditionalFormatting sqref="$F$34">
    <cfRule type="containsText" dxfId="1072" priority="1">
      <formula>NOT(ISERROR(SEARCH("Yes",F34)))</formula>
    </cfRule>
  </conditionalFormatting>
  <conditionalFormatting sqref="$G$34">
    <cfRule type="containsText" dxfId="1073" priority="1">
      <formula>NOT(ISERROR(SEARCH("Yes",G34)))</formula>
    </cfRule>
    <cfRule type="containsText" dxfId="1074" priority="2">
      <formula>NOT(ISERROR(SEARCH("No; explanation in comments",G34)))</formula>
    </cfRule>
  </conditionalFormatting>
  <conditionalFormatting sqref="$J$34">
    <cfRule type="containsText" dxfId="1075" priority="1">
      <formula>NOT(ISERROR(SEARCH("Yes",J34)))</formula>
    </cfRule>
  </conditionalFormatting>
  <conditionalFormatting sqref="$K$34">
    <cfRule type="containsText" dxfId="1076" priority="1">
      <formula>NOT(ISERROR(SEARCH("Mitigated",K34)))</formula>
    </cfRule>
    <cfRule type="containsText" dxfId="1077" priority="2">
      <formula>NOT(ISERROR(SEARCH("Not Mitigated",K34)))</formula>
    </cfRule>
  </conditionalFormatting>
  <conditionalFormatting sqref="$F$35">
    <cfRule type="containsText" dxfId="1078" priority="1">
      <formula>NOT(ISERROR(SEARCH("Yes",F35)))</formula>
    </cfRule>
  </conditionalFormatting>
  <conditionalFormatting sqref="$G$35">
    <cfRule type="containsText" dxfId="1079" priority="1">
      <formula>NOT(ISERROR(SEARCH("Yes",G35)))</formula>
    </cfRule>
    <cfRule type="containsText" dxfId="1080" priority="2">
      <formula>NOT(ISERROR(SEARCH("No; explanation in comments",G35)))</formula>
    </cfRule>
  </conditionalFormatting>
  <conditionalFormatting sqref="$J$35">
    <cfRule type="containsText" dxfId="1081" priority="1">
      <formula>NOT(ISERROR(SEARCH("Yes",J35)))</formula>
    </cfRule>
  </conditionalFormatting>
  <conditionalFormatting sqref="$K$35">
    <cfRule type="containsText" dxfId="1082" priority="1">
      <formula>NOT(ISERROR(SEARCH("Mitigated",K35)))</formula>
    </cfRule>
    <cfRule type="containsText" dxfId="1083" priority="2">
      <formula>NOT(ISERROR(SEARCH("Not Mitigated",K35)))</formula>
    </cfRule>
  </conditionalFormatting>
  <conditionalFormatting sqref="$F$36">
    <cfRule type="containsText" dxfId="1084" priority="1">
      <formula>NOT(ISERROR(SEARCH("Yes",F36)))</formula>
    </cfRule>
  </conditionalFormatting>
  <conditionalFormatting sqref="$G$36">
    <cfRule type="containsText" dxfId="1085" priority="1">
      <formula>NOT(ISERROR(SEARCH("Yes",G36)))</formula>
    </cfRule>
    <cfRule type="containsText" dxfId="1086" priority="2">
      <formula>NOT(ISERROR(SEARCH("No; explanation in comments",G36)))</formula>
    </cfRule>
  </conditionalFormatting>
  <conditionalFormatting sqref="$J$36">
    <cfRule type="containsText" dxfId="1087" priority="1">
      <formula>NOT(ISERROR(SEARCH("Yes",J36)))</formula>
    </cfRule>
  </conditionalFormatting>
  <conditionalFormatting sqref="$K$36">
    <cfRule type="containsText" dxfId="1088" priority="1">
      <formula>NOT(ISERROR(SEARCH("Mitigated",K36)))</formula>
    </cfRule>
    <cfRule type="containsText" dxfId="1089" priority="2">
      <formula>NOT(ISERROR(SEARCH("Not Mitigated",K36)))</formula>
    </cfRule>
  </conditionalFormatting>
  <conditionalFormatting sqref="$F$37">
    <cfRule type="containsText" dxfId="1090" priority="1">
      <formula>NOT(ISERROR(SEARCH("Yes",F37)))</formula>
    </cfRule>
  </conditionalFormatting>
  <conditionalFormatting sqref="$G$37">
    <cfRule type="containsText" dxfId="1091" priority="1">
      <formula>NOT(ISERROR(SEARCH("Yes",G37)))</formula>
    </cfRule>
    <cfRule type="containsText" dxfId="1092" priority="2">
      <formula>NOT(ISERROR(SEARCH("No; explanation in comments",G37)))</formula>
    </cfRule>
  </conditionalFormatting>
  <conditionalFormatting sqref="$J$37">
    <cfRule type="containsText" dxfId="1093" priority="1">
      <formula>NOT(ISERROR(SEARCH("Yes",J37)))</formula>
    </cfRule>
  </conditionalFormatting>
  <conditionalFormatting sqref="$K$37">
    <cfRule type="containsText" dxfId="1094" priority="1">
      <formula>NOT(ISERROR(SEARCH("Mitigated",K37)))</formula>
    </cfRule>
    <cfRule type="containsText" dxfId="1095" priority="2">
      <formula>NOT(ISERROR(SEARCH("Not Mitigated",K37)))</formula>
    </cfRule>
  </conditionalFormatting>
  <conditionalFormatting sqref="$F$38">
    <cfRule type="containsText" dxfId="1096" priority="1">
      <formula>NOT(ISERROR(SEARCH("Yes",F38)))</formula>
    </cfRule>
  </conditionalFormatting>
  <conditionalFormatting sqref="$G$38">
    <cfRule type="containsText" dxfId="1097" priority="1">
      <formula>NOT(ISERROR(SEARCH("Yes",G38)))</formula>
    </cfRule>
    <cfRule type="containsText" dxfId="1098" priority="2">
      <formula>NOT(ISERROR(SEARCH("No; explanation in comments",G38)))</formula>
    </cfRule>
  </conditionalFormatting>
  <conditionalFormatting sqref="$J$38">
    <cfRule type="containsText" dxfId="1099" priority="1">
      <formula>NOT(ISERROR(SEARCH("Yes",J38)))</formula>
    </cfRule>
  </conditionalFormatting>
  <conditionalFormatting sqref="$K$38">
    <cfRule type="containsText" dxfId="1100" priority="1">
      <formula>NOT(ISERROR(SEARCH("Mitigated",K38)))</formula>
    </cfRule>
    <cfRule type="containsText" dxfId="1101" priority="2">
      <formula>NOT(ISERROR(SEARCH("Not Mitigated",K38)))</formula>
    </cfRule>
  </conditionalFormatting>
  <conditionalFormatting sqref="$F$39">
    <cfRule type="containsText" dxfId="1102" priority="1">
      <formula>NOT(ISERROR(SEARCH("Yes",F39)))</formula>
    </cfRule>
  </conditionalFormatting>
  <conditionalFormatting sqref="$G$39">
    <cfRule type="containsText" dxfId="1103" priority="1">
      <formula>NOT(ISERROR(SEARCH("Yes",G39)))</formula>
    </cfRule>
    <cfRule type="containsText" dxfId="1104" priority="2">
      <formula>NOT(ISERROR(SEARCH("No; explanation in comments",G39)))</formula>
    </cfRule>
  </conditionalFormatting>
  <conditionalFormatting sqref="$J$39">
    <cfRule type="containsText" dxfId="1105" priority="1">
      <formula>NOT(ISERROR(SEARCH("Yes",J39)))</formula>
    </cfRule>
  </conditionalFormatting>
  <conditionalFormatting sqref="$K$39">
    <cfRule type="containsText" dxfId="1106" priority="1">
      <formula>NOT(ISERROR(SEARCH("Mitigated",K39)))</formula>
    </cfRule>
    <cfRule type="containsText" dxfId="1107" priority="2">
      <formula>NOT(ISERROR(SEARCH("Not Mitigated",K39)))</formula>
    </cfRule>
  </conditionalFormatting>
  <dataValidations count="4">
    <dataValidation type="list" sqref="G10:G39">
      <formula1>"-,Yes,No; explanation in comments"</formula1>
    </dataValidation>
    <dataValidation type="list" sqref="G2:G39">
      <formula1>"-,Yes,No; explanation in comments"</formula1>
    </dataValidation>
    <dataValidation type="list" sqref="K10:K39">
      <formula1>"Mitigated,Not Mitigated,Not Assessed Yet,N/A"</formula1>
    </dataValidation>
    <dataValidation type="list" sqref="K2:K39">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workbookViewId="0">
      <pane ySplit="1" topLeftCell="A2" activePane="bottomLeft" state="frozen"/>
      <selection pane="bottomLeft"/>
    </sheetView>
  </sheetViews>
  <sheetFormatPr defaultRowHeight="15" outlineLevelRow="0" outlineLevelCol="0" x14ac:dyDescent="55"/>
  <cols>
    <col min="1" max="1" width="15" customWidth="1"/>
    <col min="2" max="2" width="10" customWidth="1"/>
    <col min="3" max="3"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 min="22" max="27" customWidth="1"/>
  </cols>
  <sheetData>
    <row r="1" spans="1:27" s="51" customFormat="1" x14ac:dyDescent="0.25">
      <c r="A1" s="52" t="s">
        <v>206</v>
      </c>
      <c r="B1" s="52" t="s">
        <v>207</v>
      </c>
      <c r="C1" s="52" t="s">
        <v>208</v>
      </c>
      <c r="D1" s="52" t="s">
        <v>209</v>
      </c>
      <c r="E1" s="52" t="s">
        <v>210</v>
      </c>
      <c r="F1" s="52" t="s">
        <v>211</v>
      </c>
      <c r="G1" s="52" t="s">
        <v>212</v>
      </c>
      <c r="H1" s="52" t="s">
        <v>213</v>
      </c>
      <c r="I1" s="52" t="s">
        <v>214</v>
      </c>
      <c r="J1" s="52" t="s">
        <v>215</v>
      </c>
      <c r="K1" s="52" t="s">
        <v>216</v>
      </c>
      <c r="L1" s="52" t="s">
        <v>217</v>
      </c>
      <c r="M1" s="52" t="s">
        <v>5</v>
      </c>
      <c r="N1" s="52" t="s">
        <v>5</v>
      </c>
      <c r="O1" s="52" t="s">
        <v>5</v>
      </c>
      <c r="P1" s="52" t="s">
        <v>5</v>
      </c>
      <c r="Q1" s="52" t="s">
        <v>5</v>
      </c>
      <c r="R1" s="52" t="s">
        <v>5</v>
      </c>
      <c r="S1" s="52" t="s">
        <v>5</v>
      </c>
      <c r="T1" s="52" t="s">
        <v>5</v>
      </c>
      <c r="U1" s="52" t="s">
        <v>5</v>
      </c>
      <c r="V1" s="52" t="s">
        <v>218</v>
      </c>
      <c r="W1" s="52" t="s">
        <v>219</v>
      </c>
      <c r="X1" s="52" t="s">
        <v>220</v>
      </c>
      <c r="Y1" s="52" t="s">
        <v>221</v>
      </c>
      <c r="Z1" s="52" t="s">
        <v>222</v>
      </c>
      <c r="AA1" s="52" t="s">
        <v>223</v>
      </c>
    </row>
    <row r="2" ht="50" customHeight="1" spans="1:27" s="53" customFormat="1" x14ac:dyDescent="0.25">
      <c r="A2" s="73" t="s">
        <v>38</v>
      </c>
      <c r="B2" s="74" t="s">
        <v>704</v>
      </c>
      <c r="C2" s="56">
        <f>=IF(VPCInUse="Yes","Yes","No")</f>
      </c>
      <c r="D2" s="56" t="s">
        <v>705</v>
      </c>
      <c r="E2" s="56" t="s">
        <v>706</v>
      </c>
      <c r="F2" s="56">
        <f>=IF(AND(C2="Yes",G2="-"), "Yes", "No")</f>
      </c>
      <c r="G2" s="56" t="s">
        <v>13</v>
      </c>
      <c r="H2" s="56" t="s">
        <v>5</v>
      </c>
      <c r="I2" s="56" t="s">
        <v>229</v>
      </c>
      <c r="J2" s="56" t="s">
        <v>226</v>
      </c>
      <c r="K2" s="56" t="s">
        <v>230</v>
      </c>
      <c r="L2" s="56" t="s">
        <v>5</v>
      </c>
      <c r="M2" s="56" t="s">
        <v>5</v>
      </c>
      <c r="N2" s="56" t="s">
        <v>5</v>
      </c>
      <c r="O2" s="56" t="s">
        <v>5</v>
      </c>
      <c r="P2" s="56" t="s">
        <v>5</v>
      </c>
      <c r="Q2" s="56" t="s">
        <v>5</v>
      </c>
      <c r="R2" s="56" t="s">
        <v>5</v>
      </c>
      <c r="S2" s="56" t="s">
        <v>5</v>
      </c>
      <c r="T2" s="56" t="s">
        <v>7</v>
      </c>
      <c r="U2" s="56">
        <f>=COUNTIFS(C2:C23,"Yes")</f>
      </c>
      <c r="V2" s="56">
        <f>=IF(AND(C2="Yes",G2="-"), 1, 0)</f>
      </c>
      <c r="W2" s="56">
        <f>=IF(AND(C2="Yes",G2="Yes"), 1, 0)</f>
      </c>
      <c r="X2" s="56">
        <f>=IF(AND(C2="Yes",G2="No; explanation in comments"), 1, 0)</f>
      </c>
      <c r="Y2" s="56">
        <f>=IF(AND(C2="Yes",K2="Not Assessed Yet"), 1, 0)</f>
      </c>
      <c r="Z2" s="56">
        <f>=IF(AND(C2="Yes",AND(G2&lt;&gt;"-",K2="Mitigated")), 1, 0)</f>
      </c>
      <c r="AA2" s="56">
        <f>=IF(AND(C2="Yes",AND(G2&lt;&gt;"-",K2="Not Mitigated")), 1, 0)</f>
      </c>
    </row>
    <row r="3" ht="50" customHeight="1" spans="1:27" s="53" customFormat="1" x14ac:dyDescent="0.25">
      <c r="A3" s="73" t="s">
        <v>38</v>
      </c>
      <c r="B3" s="74" t="s">
        <v>707</v>
      </c>
      <c r="C3" s="56">
        <f>=IF(VPCInUse="Yes","Yes","No")</f>
      </c>
      <c r="D3" s="56" t="s">
        <v>708</v>
      </c>
      <c r="E3" s="56" t="s">
        <v>709</v>
      </c>
      <c r="F3" s="56">
        <f>=IF(AND(C3="Yes",G3="-"), "Yes", "No")</f>
      </c>
      <c r="G3" s="56" t="s">
        <v>13</v>
      </c>
      <c r="H3" s="56" t="s">
        <v>5</v>
      </c>
      <c r="I3" s="56" t="s">
        <v>229</v>
      </c>
      <c r="J3" s="56" t="s">
        <v>226</v>
      </c>
      <c r="K3" s="56" t="s">
        <v>230</v>
      </c>
      <c r="L3" s="56" t="s">
        <v>5</v>
      </c>
      <c r="M3" s="56" t="s">
        <v>5</v>
      </c>
      <c r="N3" s="56" t="s">
        <v>5</v>
      </c>
      <c r="O3" s="56" t="s">
        <v>5</v>
      </c>
      <c r="P3" s="56" t="s">
        <v>5</v>
      </c>
      <c r="Q3" s="56" t="s">
        <v>5</v>
      </c>
      <c r="R3" s="56" t="s">
        <v>5</v>
      </c>
      <c r="S3" s="56" t="s">
        <v>5</v>
      </c>
      <c r="T3" s="56" t="s">
        <v>34</v>
      </c>
      <c r="U3" s="56">
        <f>=U4+U5</f>
      </c>
      <c r="V3" s="56">
        <f>=IF(AND(C3="Yes",G3="-"), 1, 0)</f>
      </c>
      <c r="W3" s="56">
        <f>=IF(AND(C3="Yes",G3="Yes"), 1, 0)</f>
      </c>
      <c r="X3" s="56">
        <f>=IF(AND(C3="Yes",G3="No; explanation in comments"), 1, 0)</f>
      </c>
      <c r="Y3" s="56">
        <f>=IF(AND(C3="Yes",K3="Not Assessed Yet"), 1, 0)</f>
      </c>
      <c r="Z3" s="56">
        <f>=IF(AND(C3="Yes",AND(G3&lt;&gt;"-",K3="Mitigated")), 1, 0)</f>
      </c>
      <c r="AA3" s="56">
        <f>=IF(AND(C3="Yes",AND(G3&lt;&gt;"-",K3="Not Mitigated")), 1, 0)</f>
      </c>
    </row>
    <row r="4" ht="65" customHeight="1" spans="1:27" s="53" customFormat="1" x14ac:dyDescent="0.25">
      <c r="A4" s="73" t="s">
        <v>38</v>
      </c>
      <c r="B4" s="74" t="s">
        <v>710</v>
      </c>
      <c r="C4" s="56">
        <f>=IF(VPCInUse="Yes","Yes","No")</f>
      </c>
      <c r="D4" s="56" t="s">
        <v>711</v>
      </c>
      <c r="E4" s="56" t="s">
        <v>712</v>
      </c>
      <c r="F4" s="56">
        <f>=IF(AND(C4="Yes",G4="-"), "Yes", "No")</f>
      </c>
      <c r="G4" s="56" t="s">
        <v>13</v>
      </c>
      <c r="H4" s="56" t="s">
        <v>5</v>
      </c>
      <c r="I4" s="56" t="s">
        <v>229</v>
      </c>
      <c r="J4" s="56" t="s">
        <v>226</v>
      </c>
      <c r="K4" s="56" t="s">
        <v>230</v>
      </c>
      <c r="L4" s="56" t="s">
        <v>5</v>
      </c>
      <c r="M4" s="56" t="s">
        <v>5</v>
      </c>
      <c r="N4" s="56" t="s">
        <v>5</v>
      </c>
      <c r="O4" s="56" t="s">
        <v>5</v>
      </c>
      <c r="P4" s="56" t="s">
        <v>5</v>
      </c>
      <c r="Q4" s="56" t="s">
        <v>5</v>
      </c>
      <c r="R4" s="56" t="s">
        <v>5</v>
      </c>
      <c r="S4" s="56" t="s">
        <v>5</v>
      </c>
      <c r="T4" s="56" t="s">
        <v>237</v>
      </c>
      <c r="U4" s="56">
        <f>=SUM(W2:W23)</f>
      </c>
      <c r="V4" s="56">
        <f>=IF(AND(C4="Yes",G4="-"), 1, 0)</f>
      </c>
      <c r="W4" s="56">
        <f>=IF(AND(C4="Yes",G4="Yes"), 1, 0)</f>
      </c>
      <c r="X4" s="56">
        <f>=IF(AND(C4="Yes",G4="No; explanation in comments"), 1, 0)</f>
      </c>
      <c r="Y4" s="56">
        <f>=IF(AND(C4="Yes",K4="Not Assessed Yet"), 1, 0)</f>
      </c>
      <c r="Z4" s="56">
        <f>=IF(AND(C4="Yes",AND(G4&lt;&gt;"-",K4="Mitigated")), 1, 0)</f>
      </c>
      <c r="AA4" s="56">
        <f>=IF(AND(C4="Yes",AND(G4&lt;&gt;"-",K4="Not Mitigated")), 1, 0)</f>
      </c>
    </row>
    <row r="5" ht="50" customHeight="1" spans="1:27" s="53" customFormat="1" x14ac:dyDescent="0.25">
      <c r="A5" s="75" t="s">
        <v>43</v>
      </c>
      <c r="B5" s="76" t="s">
        <v>713</v>
      </c>
      <c r="C5" s="56">
        <f>=IF(CLOUDFRONTInUse="Yes","Yes","No")</f>
      </c>
      <c r="D5" s="56" t="s">
        <v>714</v>
      </c>
      <c r="E5" s="56" t="s">
        <v>715</v>
      </c>
      <c r="F5" s="56">
        <f>=IF(AND(C5="Yes",G5="-"), "Yes", "No")</f>
      </c>
      <c r="G5" s="56" t="s">
        <v>13</v>
      </c>
      <c r="H5" s="56" t="s">
        <v>5</v>
      </c>
      <c r="I5" s="56" t="s">
        <v>242</v>
      </c>
      <c r="J5" s="56" t="s">
        <v>32</v>
      </c>
      <c r="K5" s="56" t="s">
        <v>230</v>
      </c>
      <c r="L5" s="56" t="s">
        <v>5</v>
      </c>
      <c r="M5" s="56" t="s">
        <v>5</v>
      </c>
      <c r="N5" s="56" t="s">
        <v>5</v>
      </c>
      <c r="O5" s="56" t="s">
        <v>5</v>
      </c>
      <c r="P5" s="56" t="s">
        <v>5</v>
      </c>
      <c r="Q5" s="56" t="s">
        <v>5</v>
      </c>
      <c r="R5" s="56" t="s">
        <v>5</v>
      </c>
      <c r="S5" s="56" t="s">
        <v>5</v>
      </c>
      <c r="T5" s="56" t="s">
        <v>243</v>
      </c>
      <c r="U5" s="56">
        <f>=SUM(X2:X23)</f>
      </c>
      <c r="V5" s="56">
        <f>=IF(AND(C5="Yes",G5="-"), 1, 0)</f>
      </c>
      <c r="W5" s="56">
        <f>=IF(AND(C5="Yes",G5="Yes"), 1, 0)</f>
      </c>
      <c r="X5" s="56">
        <f>=IF(AND(C5="Yes",G5="No; explanation in comments"), 1, 0)</f>
      </c>
      <c r="Y5" s="56">
        <f>=IF(AND(C5="Yes",K5="Not Assessed Yet"), 1, 0)</f>
      </c>
      <c r="Z5" s="56">
        <f>=IF(AND(C5="Yes",AND(G5&lt;&gt;"-",K5="Mitigated")), 1, 0)</f>
      </c>
      <c r="AA5" s="56">
        <f>=IF(AND(C5="Yes",AND(G5&lt;&gt;"-",K5="Not Mitigated")), 1, 0)</f>
      </c>
    </row>
    <row r="6" ht="35" customHeight="1" spans="1:27" s="53" customFormat="1" x14ac:dyDescent="0.25">
      <c r="A6" s="75" t="s">
        <v>43</v>
      </c>
      <c r="B6" s="76" t="s">
        <v>716</v>
      </c>
      <c r="C6" s="56">
        <f>=IF(CLOUDFRONTInUse="Yes","Yes","No")</f>
      </c>
      <c r="D6" s="56" t="s">
        <v>717</v>
      </c>
      <c r="E6" s="56" t="s">
        <v>718</v>
      </c>
      <c r="F6" s="56">
        <f>=IF(AND(C6="Yes",G6="-"), "Yes", "No")</f>
      </c>
      <c r="G6" s="56" t="s">
        <v>13</v>
      </c>
      <c r="H6" s="56" t="s">
        <v>5</v>
      </c>
      <c r="I6" s="56" t="s">
        <v>242</v>
      </c>
      <c r="J6" s="56" t="s">
        <v>32</v>
      </c>
      <c r="K6" s="56" t="s">
        <v>230</v>
      </c>
      <c r="L6" s="56" t="s">
        <v>5</v>
      </c>
      <c r="M6" s="56" t="s">
        <v>5</v>
      </c>
      <c r="N6" s="56" t="s">
        <v>5</v>
      </c>
      <c r="O6" s="56" t="s">
        <v>5</v>
      </c>
      <c r="P6" s="56" t="s">
        <v>5</v>
      </c>
      <c r="Q6" s="56" t="s">
        <v>5</v>
      </c>
      <c r="R6" s="56" t="s">
        <v>5</v>
      </c>
      <c r="S6" s="56" t="s">
        <v>5</v>
      </c>
      <c r="T6" s="56" t="s">
        <v>8</v>
      </c>
      <c r="U6" s="56">
        <f>=SUM(Z2:Z23)</f>
      </c>
      <c r="V6" s="56">
        <f>=IF(AND(C6="Yes",G6="-"), 1, 0)</f>
      </c>
      <c r="W6" s="56">
        <f>=IF(AND(C6="Yes",G6="Yes"), 1, 0)</f>
      </c>
      <c r="X6" s="56">
        <f>=IF(AND(C6="Yes",G6="No; explanation in comments"), 1, 0)</f>
      </c>
      <c r="Y6" s="56">
        <f>=IF(AND(C6="Yes",K6="Not Assessed Yet"), 1, 0)</f>
      </c>
      <c r="Z6" s="56">
        <f>=IF(AND(C6="Yes",AND(G6&lt;&gt;"-",K6="Mitigated")), 1, 0)</f>
      </c>
      <c r="AA6" s="56">
        <f>=IF(AND(C6="Yes",AND(G6&lt;&gt;"-",K6="Not Mitigated")), 1, 0)</f>
      </c>
    </row>
    <row r="7" ht="50" customHeight="1" spans="1:27" s="53" customFormat="1" x14ac:dyDescent="0.25">
      <c r="A7" s="75" t="s">
        <v>43</v>
      </c>
      <c r="B7" s="76" t="s">
        <v>719</v>
      </c>
      <c r="C7" s="56">
        <f>=IF(CLOUDFRONTInUse="Yes","Yes","No")</f>
      </c>
      <c r="D7" s="56" t="s">
        <v>720</v>
      </c>
      <c r="E7" s="56" t="s">
        <v>721</v>
      </c>
      <c r="F7" s="56">
        <f>=IF(AND(C7="Yes",G7="-"), "Yes", "No")</f>
      </c>
      <c r="G7" s="56" t="s">
        <v>13</v>
      </c>
      <c r="H7" s="56" t="s">
        <v>5</v>
      </c>
      <c r="I7" s="56" t="s">
        <v>229</v>
      </c>
      <c r="J7" s="56" t="s">
        <v>226</v>
      </c>
      <c r="K7" s="56" t="s">
        <v>230</v>
      </c>
      <c r="L7" s="56" t="s">
        <v>5</v>
      </c>
      <c r="M7" s="56" t="s">
        <v>5</v>
      </c>
      <c r="N7" s="56" t="s">
        <v>5</v>
      </c>
      <c r="O7" s="56" t="s">
        <v>5</v>
      </c>
      <c r="P7" s="56" t="s">
        <v>5</v>
      </c>
      <c r="Q7" s="56" t="s">
        <v>5</v>
      </c>
      <c r="R7" s="56" t="s">
        <v>5</v>
      </c>
      <c r="S7" s="56" t="s">
        <v>5</v>
      </c>
      <c r="T7" s="56" t="s">
        <v>9</v>
      </c>
      <c r="U7" s="56">
        <f>=SUM(AA2:AA23)</f>
      </c>
      <c r="V7" s="56">
        <f>=IF(AND(C7="Yes",G7="-"), 1, 0)</f>
      </c>
      <c r="W7" s="56">
        <f>=IF(AND(C7="Yes",G7="Yes"), 1, 0)</f>
      </c>
      <c r="X7" s="56">
        <f>=IF(AND(C7="Yes",G7="No; explanation in comments"), 1, 0)</f>
      </c>
      <c r="Y7" s="56">
        <f>=IF(AND(C7="Yes",K7="Not Assessed Yet"), 1, 0)</f>
      </c>
      <c r="Z7" s="56">
        <f>=IF(AND(C7="Yes",AND(G7&lt;&gt;"-",K7="Mitigated")), 1, 0)</f>
      </c>
      <c r="AA7" s="56">
        <f>=IF(AND(C7="Yes",AND(G7&lt;&gt;"-",K7="Not Mitigated")), 1, 0)</f>
      </c>
    </row>
    <row r="8" ht="80" customHeight="1" spans="1:27" s="53" customFormat="1" x14ac:dyDescent="0.25">
      <c r="A8" s="75" t="s">
        <v>43</v>
      </c>
      <c r="B8" s="76" t="s">
        <v>722</v>
      </c>
      <c r="C8" s="56">
        <f>=IF(CLOUDFRONTInUse="Yes","Yes","No")</f>
      </c>
      <c r="D8" s="56" t="s">
        <v>723</v>
      </c>
      <c r="E8" s="56" t="s">
        <v>724</v>
      </c>
      <c r="F8" s="56">
        <f>=IF(AND(C8="Yes",G8="-"), "Yes", "No")</f>
      </c>
      <c r="G8" s="56" t="s">
        <v>13</v>
      </c>
      <c r="H8" s="56" t="s">
        <v>5</v>
      </c>
      <c r="I8" s="56" t="s">
        <v>229</v>
      </c>
      <c r="J8" s="56" t="s">
        <v>226</v>
      </c>
      <c r="K8" s="56" t="s">
        <v>230</v>
      </c>
      <c r="L8" s="56" t="s">
        <v>5</v>
      </c>
      <c r="M8" s="56" t="s">
        <v>5</v>
      </c>
      <c r="N8" s="56" t="s">
        <v>5</v>
      </c>
      <c r="O8" s="56" t="s">
        <v>5</v>
      </c>
      <c r="P8" s="56" t="s">
        <v>5</v>
      </c>
      <c r="Q8" s="56" t="s">
        <v>5</v>
      </c>
      <c r="R8" s="56" t="s">
        <v>5</v>
      </c>
      <c r="S8" s="56" t="s">
        <v>5</v>
      </c>
      <c r="T8" s="56" t="s">
        <v>5</v>
      </c>
      <c r="U8" s="56" t="s">
        <v>5</v>
      </c>
      <c r="V8" s="56">
        <f>=IF(AND(C8="Yes",G8="-"), 1, 0)</f>
      </c>
      <c r="W8" s="56">
        <f>=IF(AND(C8="Yes",G8="Yes"), 1, 0)</f>
      </c>
      <c r="X8" s="56">
        <f>=IF(AND(C8="Yes",G8="No; explanation in comments"), 1, 0)</f>
      </c>
      <c r="Y8" s="56">
        <f>=IF(AND(C8="Yes",K8="Not Assessed Yet"), 1, 0)</f>
      </c>
      <c r="Z8" s="56">
        <f>=IF(AND(C8="Yes",AND(G8&lt;&gt;"-",K8="Mitigated")), 1, 0)</f>
      </c>
      <c r="AA8" s="56">
        <f>=IF(AND(C8="Yes",AND(G8&lt;&gt;"-",K8="Not Mitigated")), 1, 0)</f>
      </c>
    </row>
    <row r="9" ht="65" customHeight="1" spans="1:27" s="53" customFormat="1" x14ac:dyDescent="0.25">
      <c r="A9" s="75" t="s">
        <v>43</v>
      </c>
      <c r="B9" s="76" t="s">
        <v>725</v>
      </c>
      <c r="C9" s="56">
        <f>=IF(CLOUDFRONTInUse="Yes","Yes","No")</f>
      </c>
      <c r="D9" s="56" t="s">
        <v>726</v>
      </c>
      <c r="E9" s="56" t="s">
        <v>724</v>
      </c>
      <c r="F9" s="56">
        <f>=IF(AND(C9="Yes",G9="-"), "Yes", "No")</f>
      </c>
      <c r="G9" s="56" t="s">
        <v>13</v>
      </c>
      <c r="H9" s="56" t="s">
        <v>5</v>
      </c>
      <c r="I9" s="56" t="s">
        <v>229</v>
      </c>
      <c r="J9" s="56" t="s">
        <v>226</v>
      </c>
      <c r="K9" s="56" t="s">
        <v>230</v>
      </c>
      <c r="L9" s="56" t="s">
        <v>5</v>
      </c>
      <c r="M9" s="56" t="s">
        <v>5</v>
      </c>
      <c r="N9" s="56" t="s">
        <v>5</v>
      </c>
      <c r="O9" s="56" t="s">
        <v>5</v>
      </c>
      <c r="P9" s="56" t="s">
        <v>5</v>
      </c>
      <c r="Q9" s="56" t="s">
        <v>5</v>
      </c>
      <c r="R9" s="56" t="s">
        <v>5</v>
      </c>
      <c r="S9" s="56" t="s">
        <v>5</v>
      </c>
      <c r="T9" s="56" t="s">
        <v>5</v>
      </c>
      <c r="U9" s="56" t="s">
        <v>5</v>
      </c>
      <c r="V9" s="56">
        <f>=IF(AND(C9="Yes",G9="-"), 1, 0)</f>
      </c>
      <c r="W9" s="56">
        <f>=IF(AND(C9="Yes",G9="Yes"), 1, 0)</f>
      </c>
      <c r="X9" s="56">
        <f>=IF(AND(C9="Yes",G9="No; explanation in comments"), 1, 0)</f>
      </c>
      <c r="Y9" s="56">
        <f>=IF(AND(C9="Yes",K9="Not Assessed Yet"), 1, 0)</f>
      </c>
      <c r="Z9" s="56">
        <f>=IF(AND(C9="Yes",AND(G9&lt;&gt;"-",K9="Mitigated")), 1, 0)</f>
      </c>
      <c r="AA9" s="56">
        <f>=IF(AND(C9="Yes",AND(G9&lt;&gt;"-",K9="Not Mitigated")), 1, 0)</f>
      </c>
    </row>
    <row r="10" ht="50" customHeight="1" spans="1:27" s="53" customFormat="1" x14ac:dyDescent="0.25">
      <c r="A10" s="75" t="s">
        <v>43</v>
      </c>
      <c r="B10" s="76" t="s">
        <v>727</v>
      </c>
      <c r="C10" s="56">
        <f>=IF(CLOUDFRONTInUse="Yes","Yes","No")</f>
      </c>
      <c r="D10" s="56" t="s">
        <v>728</v>
      </c>
      <c r="E10" s="56" t="s">
        <v>729</v>
      </c>
      <c r="F10" s="56">
        <f>=IF(AND(C10="Yes",G10="-"), "Yes", "No")</f>
      </c>
      <c r="G10" s="56" t="s">
        <v>13</v>
      </c>
      <c r="H10" s="56" t="s">
        <v>5</v>
      </c>
      <c r="I10" s="56" t="s">
        <v>229</v>
      </c>
      <c r="J10" s="56" t="s">
        <v>226</v>
      </c>
      <c r="K10" s="56" t="s">
        <v>230</v>
      </c>
      <c r="L10" s="56" t="s">
        <v>5</v>
      </c>
      <c r="M10" s="56" t="s">
        <v>5</v>
      </c>
      <c r="N10" s="56" t="s">
        <v>5</v>
      </c>
      <c r="O10" s="56" t="s">
        <v>5</v>
      </c>
      <c r="P10" s="56" t="s">
        <v>5</v>
      </c>
      <c r="Q10" s="56" t="s">
        <v>5</v>
      </c>
      <c r="R10" s="56" t="s">
        <v>5</v>
      </c>
      <c r="S10" s="56" t="s">
        <v>5</v>
      </c>
      <c r="T10" s="56" t="s">
        <v>5</v>
      </c>
      <c r="U10" s="56" t="s">
        <v>5</v>
      </c>
      <c r="V10" s="56">
        <f>=IF(AND(C10="Yes",G10="-"), 1, 0)</f>
      </c>
      <c r="W10" s="56">
        <f>=IF(AND(C10="Yes",G10="Yes"), 1, 0)</f>
      </c>
      <c r="X10" s="56">
        <f>=IF(AND(C10="Yes",G10="No; explanation in comments"), 1, 0)</f>
      </c>
      <c r="Y10" s="56">
        <f>=IF(AND(C10="Yes",K10="Not Assessed Yet"), 1, 0)</f>
      </c>
      <c r="Z10" s="56">
        <f>=IF(AND(C10="Yes",AND(G10&lt;&gt;"-",K10="Mitigated")), 1, 0)</f>
      </c>
      <c r="AA10" s="56">
        <f>=IF(AND(C10="Yes",AND(G10&lt;&gt;"-",K10="Not Mitigated")), 1, 0)</f>
      </c>
    </row>
    <row r="11" ht="65" customHeight="1" spans="1:27" s="53" customFormat="1" x14ac:dyDescent="0.25">
      <c r="A11" s="73" t="s">
        <v>47</v>
      </c>
      <c r="B11" s="74" t="s">
        <v>730</v>
      </c>
      <c r="C11" s="56">
        <f>=IF(API_GATEWAYInUse="Yes","Yes","No")</f>
      </c>
      <c r="D11" s="56" t="s">
        <v>731</v>
      </c>
      <c r="E11" s="56" t="s">
        <v>732</v>
      </c>
      <c r="F11" s="56">
        <f>=IF(AND(C11="Yes",G11="-"), "Yes", "No")</f>
      </c>
      <c r="G11" s="56" t="s">
        <v>13</v>
      </c>
      <c r="H11" s="56" t="s">
        <v>5</v>
      </c>
      <c r="I11" s="56" t="s">
        <v>229</v>
      </c>
      <c r="J11" s="56" t="s">
        <v>226</v>
      </c>
      <c r="K11" s="56" t="s">
        <v>230</v>
      </c>
      <c r="L11" s="56" t="s">
        <v>5</v>
      </c>
      <c r="M11" s="56" t="s">
        <v>5</v>
      </c>
      <c r="N11" s="56" t="s">
        <v>5</v>
      </c>
      <c r="O11" s="56" t="s">
        <v>5</v>
      </c>
      <c r="P11" s="56" t="s">
        <v>5</v>
      </c>
      <c r="Q11" s="56" t="s">
        <v>5</v>
      </c>
      <c r="R11" s="56" t="s">
        <v>5</v>
      </c>
      <c r="S11" s="56" t="s">
        <v>5</v>
      </c>
      <c r="T11" s="56" t="s">
        <v>5</v>
      </c>
      <c r="U11" s="56" t="s">
        <v>5</v>
      </c>
      <c r="V11" s="56">
        <f>=IF(AND(C11="Yes",G11="-"), 1, 0)</f>
      </c>
      <c r="W11" s="56">
        <f>=IF(AND(C11="Yes",G11="Yes"), 1, 0)</f>
      </c>
      <c r="X11" s="56">
        <f>=IF(AND(C11="Yes",G11="No; explanation in comments"), 1, 0)</f>
      </c>
      <c r="Y11" s="56">
        <f>=IF(AND(C11="Yes",K11="Not Assessed Yet"), 1, 0)</f>
      </c>
      <c r="Z11" s="56">
        <f>=IF(AND(C11="Yes",AND(G11&lt;&gt;"-",K11="Mitigated")), 1, 0)</f>
      </c>
      <c r="AA11" s="56">
        <f>=IF(AND(C11="Yes",AND(G11&lt;&gt;"-",K11="Not Mitigated")), 1, 0)</f>
      </c>
    </row>
    <row r="12" ht="50" customHeight="1" spans="1:27" s="53" customFormat="1" x14ac:dyDescent="0.25">
      <c r="A12" s="73" t="s">
        <v>47</v>
      </c>
      <c r="B12" s="74" t="s">
        <v>733</v>
      </c>
      <c r="C12" s="56">
        <f>=IF(API_GATEWAYInUse="Yes","Yes","No")</f>
      </c>
      <c r="D12" s="56" t="s">
        <v>734</v>
      </c>
      <c r="E12" s="56" t="s">
        <v>735</v>
      </c>
      <c r="F12" s="56">
        <f>=IF(AND(C12="Yes",G12="-"), "Yes", "No")</f>
      </c>
      <c r="G12" s="56" t="s">
        <v>13</v>
      </c>
      <c r="H12" s="56" t="s">
        <v>5</v>
      </c>
      <c r="I12" s="56" t="s">
        <v>229</v>
      </c>
      <c r="J12" s="56" t="s">
        <v>226</v>
      </c>
      <c r="K12" s="56" t="s">
        <v>230</v>
      </c>
      <c r="L12" s="56" t="s">
        <v>5</v>
      </c>
      <c r="M12" s="56" t="s">
        <v>5</v>
      </c>
      <c r="N12" s="56" t="s">
        <v>5</v>
      </c>
      <c r="O12" s="56" t="s">
        <v>5</v>
      </c>
      <c r="P12" s="56" t="s">
        <v>5</v>
      </c>
      <c r="Q12" s="56" t="s">
        <v>5</v>
      </c>
      <c r="R12" s="56" t="s">
        <v>5</v>
      </c>
      <c r="S12" s="56" t="s">
        <v>5</v>
      </c>
      <c r="T12" s="56" t="s">
        <v>5</v>
      </c>
      <c r="U12" s="56" t="s">
        <v>5</v>
      </c>
      <c r="V12" s="56">
        <f>=IF(AND(C12="Yes",G12="-"), 1, 0)</f>
      </c>
      <c r="W12" s="56">
        <f>=IF(AND(C12="Yes",G12="Yes"), 1, 0)</f>
      </c>
      <c r="X12" s="56">
        <f>=IF(AND(C12="Yes",G12="No; explanation in comments"), 1, 0)</f>
      </c>
      <c r="Y12" s="56">
        <f>=IF(AND(C12="Yes",K12="Not Assessed Yet"), 1, 0)</f>
      </c>
      <c r="Z12" s="56">
        <f>=IF(AND(C12="Yes",AND(G12&lt;&gt;"-",K12="Mitigated")), 1, 0)</f>
      </c>
      <c r="AA12" s="56">
        <f>=IF(AND(C12="Yes",AND(G12&lt;&gt;"-",K12="Not Mitigated")), 1, 0)</f>
      </c>
    </row>
    <row r="13" ht="50" customHeight="1" spans="1:27" s="53" customFormat="1" x14ac:dyDescent="0.25">
      <c r="A13" s="73" t="s">
        <v>47</v>
      </c>
      <c r="B13" s="74" t="s">
        <v>736</v>
      </c>
      <c r="C13" s="56">
        <f>=IF(API_GATEWAYInUse="Yes","Yes","No")</f>
      </c>
      <c r="D13" s="56" t="s">
        <v>737</v>
      </c>
      <c r="E13" s="56" t="s">
        <v>738</v>
      </c>
      <c r="F13" s="56">
        <f>=IF(AND(C13="Yes",G13="-"), "Yes", "No")</f>
      </c>
      <c r="G13" s="56" t="s">
        <v>13</v>
      </c>
      <c r="H13" s="56" t="s">
        <v>5</v>
      </c>
      <c r="I13" s="56" t="s">
        <v>242</v>
      </c>
      <c r="J13" s="56" t="s">
        <v>32</v>
      </c>
      <c r="K13" s="56" t="s">
        <v>230</v>
      </c>
      <c r="L13" s="56" t="s">
        <v>5</v>
      </c>
      <c r="M13" s="56" t="s">
        <v>5</v>
      </c>
      <c r="N13" s="56" t="s">
        <v>5</v>
      </c>
      <c r="O13" s="56" t="s">
        <v>5</v>
      </c>
      <c r="P13" s="56" t="s">
        <v>5</v>
      </c>
      <c r="Q13" s="56" t="s">
        <v>5</v>
      </c>
      <c r="R13" s="56" t="s">
        <v>5</v>
      </c>
      <c r="S13" s="56" t="s">
        <v>5</v>
      </c>
      <c r="T13" s="56" t="s">
        <v>5</v>
      </c>
      <c r="U13" s="56" t="s">
        <v>5</v>
      </c>
      <c r="V13" s="56">
        <f>=IF(AND(C13="Yes",G13="-"), 1, 0)</f>
      </c>
      <c r="W13" s="56">
        <f>=IF(AND(C13="Yes",G13="Yes"), 1, 0)</f>
      </c>
      <c r="X13" s="56">
        <f>=IF(AND(C13="Yes",G13="No; explanation in comments"), 1, 0)</f>
      </c>
      <c r="Y13" s="56">
        <f>=IF(AND(C13="Yes",K13="Not Assessed Yet"), 1, 0)</f>
      </c>
      <c r="Z13" s="56">
        <f>=IF(AND(C13="Yes",AND(G13&lt;&gt;"-",K13="Mitigated")), 1, 0)</f>
      </c>
      <c r="AA13" s="56">
        <f>=IF(AND(C13="Yes",AND(G13&lt;&gt;"-",K13="Not Mitigated")), 1, 0)</f>
      </c>
    </row>
    <row r="14" ht="35" customHeight="1" spans="1:27" s="53" customFormat="1" x14ac:dyDescent="0.25">
      <c r="A14" s="73" t="s">
        <v>47</v>
      </c>
      <c r="B14" s="74" t="s">
        <v>739</v>
      </c>
      <c r="C14" s="56">
        <f>=IF(API_GATEWAYInUse="Yes","Yes","No")</f>
      </c>
      <c r="D14" s="56" t="s">
        <v>740</v>
      </c>
      <c r="E14" s="56" t="s">
        <v>741</v>
      </c>
      <c r="F14" s="56">
        <f>=IF(AND(C14="Yes",G14="-"), "Yes", "No")</f>
      </c>
      <c r="G14" s="56" t="s">
        <v>13</v>
      </c>
      <c r="H14" s="56" t="s">
        <v>5</v>
      </c>
      <c r="I14" s="56" t="s">
        <v>229</v>
      </c>
      <c r="J14" s="56" t="s">
        <v>226</v>
      </c>
      <c r="K14" s="56" t="s">
        <v>230</v>
      </c>
      <c r="L14" s="56" t="s">
        <v>5</v>
      </c>
      <c r="M14" s="56" t="s">
        <v>5</v>
      </c>
      <c r="N14" s="56" t="s">
        <v>5</v>
      </c>
      <c r="O14" s="56" t="s">
        <v>5</v>
      </c>
      <c r="P14" s="56" t="s">
        <v>5</v>
      </c>
      <c r="Q14" s="56" t="s">
        <v>5</v>
      </c>
      <c r="R14" s="56" t="s">
        <v>5</v>
      </c>
      <c r="S14" s="56" t="s">
        <v>5</v>
      </c>
      <c r="T14" s="56" t="s">
        <v>5</v>
      </c>
      <c r="U14" s="56" t="s">
        <v>5</v>
      </c>
      <c r="V14" s="56">
        <f>=IF(AND(C14="Yes",G14="-"), 1, 0)</f>
      </c>
      <c r="W14" s="56">
        <f>=IF(AND(C14="Yes",G14="Yes"), 1, 0)</f>
      </c>
      <c r="X14" s="56">
        <f>=IF(AND(C14="Yes",G14="No; explanation in comments"), 1, 0)</f>
      </c>
      <c r="Y14" s="56">
        <f>=IF(AND(C14="Yes",K14="Not Assessed Yet"), 1, 0)</f>
      </c>
      <c r="Z14" s="56">
        <f>=IF(AND(C14="Yes",AND(G14&lt;&gt;"-",K14="Mitigated")), 1, 0)</f>
      </c>
      <c r="AA14" s="56">
        <f>=IF(AND(C14="Yes",AND(G14&lt;&gt;"-",K14="Not Mitigated")), 1, 0)</f>
      </c>
    </row>
    <row r="15" ht="50" customHeight="1" spans="1:27" s="53" customFormat="1" x14ac:dyDescent="0.25">
      <c r="A15" s="73" t="s">
        <v>47</v>
      </c>
      <c r="B15" s="74" t="s">
        <v>742</v>
      </c>
      <c r="C15" s="56">
        <f>=IF(API_GATEWAYInUse="Yes","Yes","No")</f>
      </c>
      <c r="D15" s="56" t="s">
        <v>743</v>
      </c>
      <c r="E15" s="56" t="s">
        <v>744</v>
      </c>
      <c r="F15" s="56">
        <f>=IF(AND(C15="Yes",G15="-"), "Yes", "No")</f>
      </c>
      <c r="G15" s="56" t="s">
        <v>13</v>
      </c>
      <c r="H15" s="56" t="s">
        <v>5</v>
      </c>
      <c r="I15" s="56" t="s">
        <v>242</v>
      </c>
      <c r="J15" s="56" t="s">
        <v>32</v>
      </c>
      <c r="K15" s="56" t="s">
        <v>230</v>
      </c>
      <c r="L15" s="56" t="s">
        <v>5</v>
      </c>
      <c r="M15" s="56" t="s">
        <v>5</v>
      </c>
      <c r="N15" s="56" t="s">
        <v>5</v>
      </c>
      <c r="O15" s="56" t="s">
        <v>5</v>
      </c>
      <c r="P15" s="56" t="s">
        <v>5</v>
      </c>
      <c r="Q15" s="56" t="s">
        <v>5</v>
      </c>
      <c r="R15" s="56" t="s">
        <v>5</v>
      </c>
      <c r="S15" s="56" t="s">
        <v>5</v>
      </c>
      <c r="T15" s="56" t="s">
        <v>5</v>
      </c>
      <c r="U15" s="56" t="s">
        <v>5</v>
      </c>
      <c r="V15" s="56">
        <f>=IF(AND(C15="Yes",G15="-"), 1, 0)</f>
      </c>
      <c r="W15" s="56">
        <f>=IF(AND(C15="Yes",G15="Yes"), 1, 0)</f>
      </c>
      <c r="X15" s="56">
        <f>=IF(AND(C15="Yes",G15="No; explanation in comments"), 1, 0)</f>
      </c>
      <c r="Y15" s="56">
        <f>=IF(AND(C15="Yes",K15="Not Assessed Yet"), 1, 0)</f>
      </c>
      <c r="Z15" s="56">
        <f>=IF(AND(C15="Yes",AND(G15&lt;&gt;"-",K15="Mitigated")), 1, 0)</f>
      </c>
      <c r="AA15" s="56">
        <f>=IF(AND(C15="Yes",AND(G15&lt;&gt;"-",K15="Not Mitigated")), 1, 0)</f>
      </c>
    </row>
    <row r="16" ht="35" customHeight="1" spans="1:27" s="53" customFormat="1" x14ac:dyDescent="0.25">
      <c r="A16" s="73" t="s">
        <v>47</v>
      </c>
      <c r="B16" s="74" t="s">
        <v>745</v>
      </c>
      <c r="C16" s="56">
        <f>=IF(API_GATEWAYInUse="Yes","Yes","No")</f>
      </c>
      <c r="D16" s="56" t="s">
        <v>746</v>
      </c>
      <c r="E16" s="56" t="s">
        <v>747</v>
      </c>
      <c r="F16" s="56">
        <f>=IF(AND(C16="Yes",G16="-"), "Yes", "No")</f>
      </c>
      <c r="G16" s="56" t="s">
        <v>13</v>
      </c>
      <c r="H16" s="56" t="s">
        <v>5</v>
      </c>
      <c r="I16" s="56" t="s">
        <v>229</v>
      </c>
      <c r="J16" s="56" t="s">
        <v>226</v>
      </c>
      <c r="K16" s="56" t="s">
        <v>230</v>
      </c>
      <c r="L16" s="56" t="s">
        <v>5</v>
      </c>
      <c r="M16" s="56" t="s">
        <v>5</v>
      </c>
      <c r="N16" s="56" t="s">
        <v>5</v>
      </c>
      <c r="O16" s="56" t="s">
        <v>5</v>
      </c>
      <c r="P16" s="56" t="s">
        <v>5</v>
      </c>
      <c r="Q16" s="56" t="s">
        <v>5</v>
      </c>
      <c r="R16" s="56" t="s">
        <v>5</v>
      </c>
      <c r="S16" s="56" t="s">
        <v>5</v>
      </c>
      <c r="T16" s="56" t="s">
        <v>5</v>
      </c>
      <c r="U16" s="56" t="s">
        <v>5</v>
      </c>
      <c r="V16" s="56">
        <f>=IF(AND(C16="Yes",G16="-"), 1, 0)</f>
      </c>
      <c r="W16" s="56">
        <f>=IF(AND(C16="Yes",G16="Yes"), 1, 0)</f>
      </c>
      <c r="X16" s="56">
        <f>=IF(AND(C16="Yes",G16="No; explanation in comments"), 1, 0)</f>
      </c>
      <c r="Y16" s="56">
        <f>=IF(AND(C16="Yes",K16="Not Assessed Yet"), 1, 0)</f>
      </c>
      <c r="Z16" s="56">
        <f>=IF(AND(C16="Yes",AND(G16&lt;&gt;"-",K16="Mitigated")), 1, 0)</f>
      </c>
      <c r="AA16" s="56">
        <f>=IF(AND(C16="Yes",AND(G16&lt;&gt;"-",K16="Not Mitigated")), 1, 0)</f>
      </c>
    </row>
    <row r="17" ht="50" customHeight="1" spans="1:27" s="53" customFormat="1" x14ac:dyDescent="0.25">
      <c r="A17" s="73" t="s">
        <v>47</v>
      </c>
      <c r="B17" s="74" t="s">
        <v>748</v>
      </c>
      <c r="C17" s="56">
        <f>=IF(API_GATEWAYInUse="Yes","Yes","No")</f>
      </c>
      <c r="D17" s="56" t="s">
        <v>749</v>
      </c>
      <c r="E17" s="56" t="s">
        <v>750</v>
      </c>
      <c r="F17" s="56">
        <f>=IF(AND(C17="Yes",G17="-"), "Yes", "No")</f>
      </c>
      <c r="G17" s="56" t="s">
        <v>13</v>
      </c>
      <c r="H17" s="56" t="s">
        <v>5</v>
      </c>
      <c r="I17" s="56" t="s">
        <v>229</v>
      </c>
      <c r="J17" s="56" t="s">
        <v>226</v>
      </c>
      <c r="K17" s="56" t="s">
        <v>230</v>
      </c>
      <c r="L17" s="56" t="s">
        <v>5</v>
      </c>
      <c r="M17" s="56" t="s">
        <v>5</v>
      </c>
      <c r="N17" s="56" t="s">
        <v>5</v>
      </c>
      <c r="O17" s="56" t="s">
        <v>5</v>
      </c>
      <c r="P17" s="56" t="s">
        <v>5</v>
      </c>
      <c r="Q17" s="56" t="s">
        <v>5</v>
      </c>
      <c r="R17" s="56" t="s">
        <v>5</v>
      </c>
      <c r="S17" s="56" t="s">
        <v>5</v>
      </c>
      <c r="T17" s="56" t="s">
        <v>5</v>
      </c>
      <c r="U17" s="56" t="s">
        <v>5</v>
      </c>
      <c r="V17" s="56">
        <f>=IF(AND(C17="Yes",G17="-"), 1, 0)</f>
      </c>
      <c r="W17" s="56">
        <f>=IF(AND(C17="Yes",G17="Yes"), 1, 0)</f>
      </c>
      <c r="X17" s="56">
        <f>=IF(AND(C17="Yes",G17="No; explanation in comments"), 1, 0)</f>
      </c>
      <c r="Y17" s="56">
        <f>=IF(AND(C17="Yes",K17="Not Assessed Yet"), 1, 0)</f>
      </c>
      <c r="Z17" s="56">
        <f>=IF(AND(C17="Yes",AND(G17&lt;&gt;"-",K17="Mitigated")), 1, 0)</f>
      </c>
      <c r="AA17" s="56">
        <f>=IF(AND(C17="Yes",AND(G17&lt;&gt;"-",K17="Not Mitigated")), 1, 0)</f>
      </c>
    </row>
    <row r="18" ht="20" customHeight="1" spans="1:27" s="53" customFormat="1" x14ac:dyDescent="0.25">
      <c r="A18" s="73" t="s">
        <v>47</v>
      </c>
      <c r="B18" s="74" t="s">
        <v>751</v>
      </c>
      <c r="C18" s="56">
        <f>=IF(API_GATEWAYInUse="Yes","Yes","No")</f>
      </c>
      <c r="D18" s="56" t="s">
        <v>752</v>
      </c>
      <c r="E18" s="56" t="s">
        <v>753</v>
      </c>
      <c r="F18" s="56">
        <f>=IF(AND(C18="Yes",G18="-"), "Yes", "No")</f>
      </c>
      <c r="G18" s="56" t="s">
        <v>13</v>
      </c>
      <c r="H18" s="56" t="s">
        <v>5</v>
      </c>
      <c r="I18" s="56" t="s">
        <v>229</v>
      </c>
      <c r="J18" s="56" t="s">
        <v>226</v>
      </c>
      <c r="K18" s="56" t="s">
        <v>230</v>
      </c>
      <c r="L18" s="56" t="s">
        <v>5</v>
      </c>
      <c r="M18" s="56" t="s">
        <v>5</v>
      </c>
      <c r="N18" s="56" t="s">
        <v>5</v>
      </c>
      <c r="O18" s="56" t="s">
        <v>5</v>
      </c>
      <c r="P18" s="56" t="s">
        <v>5</v>
      </c>
      <c r="Q18" s="56" t="s">
        <v>5</v>
      </c>
      <c r="R18" s="56" t="s">
        <v>5</v>
      </c>
      <c r="S18" s="56" t="s">
        <v>5</v>
      </c>
      <c r="T18" s="56" t="s">
        <v>5</v>
      </c>
      <c r="U18" s="56" t="s">
        <v>5</v>
      </c>
      <c r="V18" s="56">
        <f>=IF(AND(C18="Yes",G18="-"), 1, 0)</f>
      </c>
      <c r="W18" s="56">
        <f>=IF(AND(C18="Yes",G18="Yes"), 1, 0)</f>
      </c>
      <c r="X18" s="56">
        <f>=IF(AND(C18="Yes",G18="No; explanation in comments"), 1, 0)</f>
      </c>
      <c r="Y18" s="56">
        <f>=IF(AND(C18="Yes",K18="Not Assessed Yet"), 1, 0)</f>
      </c>
      <c r="Z18" s="56">
        <f>=IF(AND(C18="Yes",AND(G18&lt;&gt;"-",K18="Mitigated")), 1, 0)</f>
      </c>
      <c r="AA18" s="56">
        <f>=IF(AND(C18="Yes",AND(G18&lt;&gt;"-",K18="Not Mitigated")), 1, 0)</f>
      </c>
    </row>
    <row r="19" ht="35" customHeight="1" spans="1:27" s="53" customFormat="1" x14ac:dyDescent="0.25">
      <c r="A19" s="73" t="s">
        <v>47</v>
      </c>
      <c r="B19" s="74" t="s">
        <v>754</v>
      </c>
      <c r="C19" s="56">
        <f>=IF(API_GATEWAYInUse="Yes","Yes","No")</f>
      </c>
      <c r="D19" s="56" t="s">
        <v>755</v>
      </c>
      <c r="E19" s="56" t="s">
        <v>756</v>
      </c>
      <c r="F19" s="56">
        <f>=IF(AND(C19="Yes",G19="-"), "Yes", "No")</f>
      </c>
      <c r="G19" s="56" t="s">
        <v>13</v>
      </c>
      <c r="H19" s="56" t="s">
        <v>5</v>
      </c>
      <c r="I19" s="56" t="s">
        <v>229</v>
      </c>
      <c r="J19" s="56" t="s">
        <v>226</v>
      </c>
      <c r="K19" s="56" t="s">
        <v>230</v>
      </c>
      <c r="L19" s="56" t="s">
        <v>5</v>
      </c>
      <c r="M19" s="56" t="s">
        <v>5</v>
      </c>
      <c r="N19" s="56" t="s">
        <v>5</v>
      </c>
      <c r="O19" s="56" t="s">
        <v>5</v>
      </c>
      <c r="P19" s="56" t="s">
        <v>5</v>
      </c>
      <c r="Q19" s="56" t="s">
        <v>5</v>
      </c>
      <c r="R19" s="56" t="s">
        <v>5</v>
      </c>
      <c r="S19" s="56" t="s">
        <v>5</v>
      </c>
      <c r="T19" s="56" t="s">
        <v>5</v>
      </c>
      <c r="U19" s="56" t="s">
        <v>5</v>
      </c>
      <c r="V19" s="56">
        <f>=IF(AND(C19="Yes",G19="-"), 1, 0)</f>
      </c>
      <c r="W19" s="56">
        <f>=IF(AND(C19="Yes",G19="Yes"), 1, 0)</f>
      </c>
      <c r="X19" s="56">
        <f>=IF(AND(C19="Yes",G19="No; explanation in comments"), 1, 0)</f>
      </c>
      <c r="Y19" s="56">
        <f>=IF(AND(C19="Yes",K19="Not Assessed Yet"), 1, 0)</f>
      </c>
      <c r="Z19" s="56">
        <f>=IF(AND(C19="Yes",AND(G19&lt;&gt;"-",K19="Mitigated")), 1, 0)</f>
      </c>
      <c r="AA19" s="56">
        <f>=IF(AND(C19="Yes",AND(G19&lt;&gt;"-",K19="Not Mitigated")), 1, 0)</f>
      </c>
    </row>
    <row r="20" ht="50" customHeight="1" spans="1:27" s="53" customFormat="1" x14ac:dyDescent="0.25">
      <c r="A20" s="73" t="s">
        <v>47</v>
      </c>
      <c r="B20" s="74" t="s">
        <v>757</v>
      </c>
      <c r="C20" s="56">
        <f>=IF(API_GATEWAYInUse="Yes","Yes","No")</f>
      </c>
      <c r="D20" s="56" t="s">
        <v>758</v>
      </c>
      <c r="E20" s="56" t="s">
        <v>759</v>
      </c>
      <c r="F20" s="56">
        <f>=IF(AND(C20="Yes",G20="-"), "Yes", "No")</f>
      </c>
      <c r="G20" s="56" t="s">
        <v>13</v>
      </c>
      <c r="H20" s="56" t="s">
        <v>5</v>
      </c>
      <c r="I20" s="56" t="s">
        <v>229</v>
      </c>
      <c r="J20" s="56" t="s">
        <v>226</v>
      </c>
      <c r="K20" s="56" t="s">
        <v>230</v>
      </c>
      <c r="L20" s="56" t="s">
        <v>5</v>
      </c>
      <c r="M20" s="56" t="s">
        <v>5</v>
      </c>
      <c r="N20" s="56" t="s">
        <v>5</v>
      </c>
      <c r="O20" s="56" t="s">
        <v>5</v>
      </c>
      <c r="P20" s="56" t="s">
        <v>5</v>
      </c>
      <c r="Q20" s="56" t="s">
        <v>5</v>
      </c>
      <c r="R20" s="56" t="s">
        <v>5</v>
      </c>
      <c r="S20" s="56" t="s">
        <v>5</v>
      </c>
      <c r="T20" s="56" t="s">
        <v>5</v>
      </c>
      <c r="U20" s="56" t="s">
        <v>5</v>
      </c>
      <c r="V20" s="56">
        <f>=IF(AND(C20="Yes",G20="-"), 1, 0)</f>
      </c>
      <c r="W20" s="56">
        <f>=IF(AND(C20="Yes",G20="Yes"), 1, 0)</f>
      </c>
      <c r="X20" s="56">
        <f>=IF(AND(C20="Yes",G20="No; explanation in comments"), 1, 0)</f>
      </c>
      <c r="Y20" s="56">
        <f>=IF(AND(C20="Yes",K20="Not Assessed Yet"), 1, 0)</f>
      </c>
      <c r="Z20" s="56">
        <f>=IF(AND(C20="Yes",AND(G20&lt;&gt;"-",K20="Mitigated")), 1, 0)</f>
      </c>
      <c r="AA20" s="56">
        <f>=IF(AND(C20="Yes",AND(G20&lt;&gt;"-",K20="Not Mitigated")), 1, 0)</f>
      </c>
    </row>
    <row r="21" ht="35" customHeight="1" spans="1:27" s="53" customFormat="1" x14ac:dyDescent="0.25">
      <c r="A21" s="75" t="s">
        <v>51</v>
      </c>
      <c r="B21" s="76" t="s">
        <v>760</v>
      </c>
      <c r="C21" s="56">
        <f>=IF(TRANSIT_GATEWAYInUse="Yes","Yes","No")</f>
      </c>
      <c r="D21" s="56" t="s">
        <v>761</v>
      </c>
      <c r="E21" s="56" t="s">
        <v>762</v>
      </c>
      <c r="F21" s="56">
        <f>=IF(AND(C21="Yes",G21="-"), "Yes", "No")</f>
      </c>
      <c r="G21" s="56" t="s">
        <v>13</v>
      </c>
      <c r="H21" s="56" t="s">
        <v>5</v>
      </c>
      <c r="I21" s="56" t="s">
        <v>229</v>
      </c>
      <c r="J21" s="56" t="s">
        <v>226</v>
      </c>
      <c r="K21" s="56" t="s">
        <v>230</v>
      </c>
      <c r="L21" s="56" t="s">
        <v>5</v>
      </c>
      <c r="M21" s="56" t="s">
        <v>5</v>
      </c>
      <c r="N21" s="56" t="s">
        <v>5</v>
      </c>
      <c r="O21" s="56" t="s">
        <v>5</v>
      </c>
      <c r="P21" s="56" t="s">
        <v>5</v>
      </c>
      <c r="Q21" s="56" t="s">
        <v>5</v>
      </c>
      <c r="R21" s="56" t="s">
        <v>5</v>
      </c>
      <c r="S21" s="56" t="s">
        <v>5</v>
      </c>
      <c r="T21" s="56" t="s">
        <v>5</v>
      </c>
      <c r="U21" s="56" t="s">
        <v>5</v>
      </c>
      <c r="V21" s="56">
        <f>=IF(AND(C21="Yes",G21="-"), 1, 0)</f>
      </c>
      <c r="W21" s="56">
        <f>=IF(AND(C21="Yes",G21="Yes"), 1, 0)</f>
      </c>
      <c r="X21" s="56">
        <f>=IF(AND(C21="Yes",G21="No; explanation in comments"), 1, 0)</f>
      </c>
      <c r="Y21" s="56">
        <f>=IF(AND(C21="Yes",K21="Not Assessed Yet"), 1, 0)</f>
      </c>
      <c r="Z21" s="56">
        <f>=IF(AND(C21="Yes",AND(G21&lt;&gt;"-",K21="Mitigated")), 1, 0)</f>
      </c>
      <c r="AA21" s="56">
        <f>=IF(AND(C21="Yes",AND(G21&lt;&gt;"-",K21="Not Mitigated")), 1, 0)</f>
      </c>
    </row>
    <row r="22" ht="80" customHeight="1" spans="1:27" s="53" customFormat="1" x14ac:dyDescent="0.25">
      <c r="A22" s="73" t="s">
        <v>54</v>
      </c>
      <c r="B22" s="74" t="s">
        <v>763</v>
      </c>
      <c r="C22" s="56">
        <f>=IF(NETWORK_FIREWALLInUse="Yes","Yes","No")</f>
      </c>
      <c r="D22" s="56" t="s">
        <v>764</v>
      </c>
      <c r="E22" s="56" t="s">
        <v>765</v>
      </c>
      <c r="F22" s="56">
        <f>=IF(AND(C22="Yes",G22="-"), "Yes", "No")</f>
      </c>
      <c r="G22" s="56" t="s">
        <v>13</v>
      </c>
      <c r="H22" s="56" t="s">
        <v>5</v>
      </c>
      <c r="I22" s="56" t="s">
        <v>229</v>
      </c>
      <c r="J22" s="56" t="s">
        <v>226</v>
      </c>
      <c r="K22" s="56" t="s">
        <v>230</v>
      </c>
      <c r="L22" s="56" t="s">
        <v>5</v>
      </c>
      <c r="M22" s="56" t="s">
        <v>5</v>
      </c>
      <c r="N22" s="56" t="s">
        <v>5</v>
      </c>
      <c r="O22" s="56" t="s">
        <v>5</v>
      </c>
      <c r="P22" s="56" t="s">
        <v>5</v>
      </c>
      <c r="Q22" s="56" t="s">
        <v>5</v>
      </c>
      <c r="R22" s="56" t="s">
        <v>5</v>
      </c>
      <c r="S22" s="56" t="s">
        <v>5</v>
      </c>
      <c r="T22" s="56" t="s">
        <v>5</v>
      </c>
      <c r="U22" s="56" t="s">
        <v>5</v>
      </c>
      <c r="V22" s="56">
        <f>=IF(AND(C22="Yes",G22="-"), 1, 0)</f>
      </c>
      <c r="W22" s="56">
        <f>=IF(AND(C22="Yes",G22="Yes"), 1, 0)</f>
      </c>
      <c r="X22" s="56">
        <f>=IF(AND(C22="Yes",G22="No; explanation in comments"), 1, 0)</f>
      </c>
      <c r="Y22" s="56">
        <f>=IF(AND(C22="Yes",K22="Not Assessed Yet"), 1, 0)</f>
      </c>
      <c r="Z22" s="56">
        <f>=IF(AND(C22="Yes",AND(G22&lt;&gt;"-",K22="Mitigated")), 1, 0)</f>
      </c>
      <c r="AA22" s="56">
        <f>=IF(AND(C22="Yes",AND(G22&lt;&gt;"-",K22="Not Mitigated")), 1, 0)</f>
      </c>
    </row>
    <row r="23" ht="35" customHeight="1" spans="1:27" s="53" customFormat="1" x14ac:dyDescent="0.25">
      <c r="A23" s="75" t="s">
        <v>57</v>
      </c>
      <c r="B23" s="76" t="s">
        <v>766</v>
      </c>
      <c r="C23" s="56">
        <f>=IF(AWS_NETWORK_MANAGERInUse="Yes","Yes","No")</f>
      </c>
      <c r="D23" s="56" t="s">
        <v>767</v>
      </c>
      <c r="E23" s="56" t="s">
        <v>768</v>
      </c>
      <c r="F23" s="56">
        <f>=IF(AND(C23="Yes",G23="-"), "Yes", "No")</f>
      </c>
      <c r="G23" s="56" t="s">
        <v>13</v>
      </c>
      <c r="H23" s="56" t="s">
        <v>5</v>
      </c>
      <c r="I23" s="56" t="s">
        <v>242</v>
      </c>
      <c r="J23" s="56" t="s">
        <v>32</v>
      </c>
      <c r="K23" s="56" t="s">
        <v>230</v>
      </c>
      <c r="L23" s="56" t="s">
        <v>5</v>
      </c>
      <c r="M23" s="56" t="s">
        <v>5</v>
      </c>
      <c r="N23" s="56" t="s">
        <v>5</v>
      </c>
      <c r="O23" s="56" t="s">
        <v>5</v>
      </c>
      <c r="P23" s="56" t="s">
        <v>5</v>
      </c>
      <c r="Q23" s="56" t="s">
        <v>5</v>
      </c>
      <c r="R23" s="56" t="s">
        <v>5</v>
      </c>
      <c r="S23" s="56" t="s">
        <v>5</v>
      </c>
      <c r="T23" s="56" t="s">
        <v>5</v>
      </c>
      <c r="U23" s="56" t="s">
        <v>5</v>
      </c>
      <c r="V23" s="56">
        <f>=IF(AND(C23="Yes",G23="-"), 1, 0)</f>
      </c>
      <c r="W23" s="56">
        <f>=IF(AND(C23="Yes",G23="Yes"), 1, 0)</f>
      </c>
      <c r="X23" s="56">
        <f>=IF(AND(C23="Yes",G23="No; explanation in comments"), 1, 0)</f>
      </c>
      <c r="Y23" s="56">
        <f>=IF(AND(C23="Yes",K23="Not Assessed Yet"), 1, 0)</f>
      </c>
      <c r="Z23" s="56">
        <f>=IF(AND(C23="Yes",AND(G23&lt;&gt;"-",K23="Mitigated")), 1, 0)</f>
      </c>
      <c r="AA23" s="56">
        <f>=IF(AND(C23="Yes",AND(G23&lt;&gt;"-",K23="Not Mitigated")), 1, 0)</f>
      </c>
    </row>
  </sheetData>
  <autoFilter ref="A1:L1"/>
  <conditionalFormatting sqref="$F$2">
    <cfRule type="containsText" dxfId="1108" priority="1">
      <formula>NOT(ISERROR(SEARCH("Yes",F2)))</formula>
    </cfRule>
  </conditionalFormatting>
  <conditionalFormatting sqref="$G$2">
    <cfRule type="containsText" dxfId="1109" priority="1">
      <formula>NOT(ISERROR(SEARCH("Yes",G2)))</formula>
    </cfRule>
    <cfRule type="containsText" dxfId="1110" priority="2">
      <formula>NOT(ISERROR(SEARCH("No; explanation in comments",G2)))</formula>
    </cfRule>
  </conditionalFormatting>
  <conditionalFormatting sqref="$J$2">
    <cfRule type="containsText" dxfId="1111" priority="1">
      <formula>NOT(ISERROR(SEARCH("Yes",J2)))</formula>
    </cfRule>
  </conditionalFormatting>
  <conditionalFormatting sqref="$K$2">
    <cfRule type="containsText" dxfId="1112" priority="1">
      <formula>NOT(ISERROR(SEARCH("Mitigated",K2)))</formula>
    </cfRule>
    <cfRule type="containsText" dxfId="1113" priority="2">
      <formula>NOT(ISERROR(SEARCH("Not Mitigated",K2)))</formula>
    </cfRule>
  </conditionalFormatting>
  <conditionalFormatting sqref="$F$3">
    <cfRule type="containsText" dxfId="1114" priority="1">
      <formula>NOT(ISERROR(SEARCH("Yes",F3)))</formula>
    </cfRule>
  </conditionalFormatting>
  <conditionalFormatting sqref="$G$3">
    <cfRule type="containsText" dxfId="1115" priority="1">
      <formula>NOT(ISERROR(SEARCH("Yes",G3)))</formula>
    </cfRule>
    <cfRule type="containsText" dxfId="1116" priority="2">
      <formula>NOT(ISERROR(SEARCH("No; explanation in comments",G3)))</formula>
    </cfRule>
  </conditionalFormatting>
  <conditionalFormatting sqref="$J$3">
    <cfRule type="containsText" dxfId="1117" priority="1">
      <formula>NOT(ISERROR(SEARCH("Yes",J3)))</formula>
    </cfRule>
  </conditionalFormatting>
  <conditionalFormatting sqref="$K$3">
    <cfRule type="containsText" dxfId="1118" priority="1">
      <formula>NOT(ISERROR(SEARCH("Mitigated",K3)))</formula>
    </cfRule>
    <cfRule type="containsText" dxfId="1119" priority="2">
      <formula>NOT(ISERROR(SEARCH("Not Mitigated",K3)))</formula>
    </cfRule>
  </conditionalFormatting>
  <conditionalFormatting sqref="$F$4">
    <cfRule type="containsText" dxfId="1120" priority="1">
      <formula>NOT(ISERROR(SEARCH("Yes",F4)))</formula>
    </cfRule>
  </conditionalFormatting>
  <conditionalFormatting sqref="$G$4">
    <cfRule type="containsText" dxfId="1121" priority="1">
      <formula>NOT(ISERROR(SEARCH("Yes",G4)))</formula>
    </cfRule>
    <cfRule type="containsText" dxfId="1122" priority="2">
      <formula>NOT(ISERROR(SEARCH("No; explanation in comments",G4)))</formula>
    </cfRule>
  </conditionalFormatting>
  <conditionalFormatting sqref="$J$4">
    <cfRule type="containsText" dxfId="1123" priority="1">
      <formula>NOT(ISERROR(SEARCH("Yes",J4)))</formula>
    </cfRule>
  </conditionalFormatting>
  <conditionalFormatting sqref="$K$4">
    <cfRule type="containsText" dxfId="1124" priority="1">
      <formula>NOT(ISERROR(SEARCH("Mitigated",K4)))</formula>
    </cfRule>
    <cfRule type="containsText" dxfId="1125" priority="2">
      <formula>NOT(ISERROR(SEARCH("Not Mitigated",K4)))</formula>
    </cfRule>
  </conditionalFormatting>
  <conditionalFormatting sqref="$F$5">
    <cfRule type="containsText" dxfId="1126" priority="1">
      <formula>NOT(ISERROR(SEARCH("Yes",F5)))</formula>
    </cfRule>
  </conditionalFormatting>
  <conditionalFormatting sqref="$G$5">
    <cfRule type="containsText" dxfId="1127" priority="1">
      <formula>NOT(ISERROR(SEARCH("Yes",G5)))</formula>
    </cfRule>
    <cfRule type="containsText" dxfId="1128" priority="2">
      <formula>NOT(ISERROR(SEARCH("No; explanation in comments",G5)))</formula>
    </cfRule>
  </conditionalFormatting>
  <conditionalFormatting sqref="$J$5">
    <cfRule type="containsText" dxfId="1129" priority="1">
      <formula>NOT(ISERROR(SEARCH("Yes",J5)))</formula>
    </cfRule>
  </conditionalFormatting>
  <conditionalFormatting sqref="$K$5">
    <cfRule type="containsText" dxfId="1130" priority="1">
      <formula>NOT(ISERROR(SEARCH("Mitigated",K5)))</formula>
    </cfRule>
    <cfRule type="containsText" dxfId="1131" priority="2">
      <formula>NOT(ISERROR(SEARCH("Not Mitigated",K5)))</formula>
    </cfRule>
  </conditionalFormatting>
  <conditionalFormatting sqref="$F$6">
    <cfRule type="containsText" dxfId="1132" priority="1">
      <formula>NOT(ISERROR(SEARCH("Yes",F6)))</formula>
    </cfRule>
  </conditionalFormatting>
  <conditionalFormatting sqref="$G$6">
    <cfRule type="containsText" dxfId="1133" priority="1">
      <formula>NOT(ISERROR(SEARCH("Yes",G6)))</formula>
    </cfRule>
    <cfRule type="containsText" dxfId="1134" priority="2">
      <formula>NOT(ISERROR(SEARCH("No; explanation in comments",G6)))</formula>
    </cfRule>
  </conditionalFormatting>
  <conditionalFormatting sqref="$J$6">
    <cfRule type="containsText" dxfId="1135" priority="1">
      <formula>NOT(ISERROR(SEARCH("Yes",J6)))</formula>
    </cfRule>
  </conditionalFormatting>
  <conditionalFormatting sqref="$K$6">
    <cfRule type="containsText" dxfId="1136" priority="1">
      <formula>NOT(ISERROR(SEARCH("Mitigated",K6)))</formula>
    </cfRule>
    <cfRule type="containsText" dxfId="1137" priority="2">
      <formula>NOT(ISERROR(SEARCH("Not Mitigated",K6)))</formula>
    </cfRule>
  </conditionalFormatting>
  <conditionalFormatting sqref="$F$7">
    <cfRule type="containsText" dxfId="1138" priority="1">
      <formula>NOT(ISERROR(SEARCH("Yes",F7)))</formula>
    </cfRule>
  </conditionalFormatting>
  <conditionalFormatting sqref="$G$7">
    <cfRule type="containsText" dxfId="1139" priority="1">
      <formula>NOT(ISERROR(SEARCH("Yes",G7)))</formula>
    </cfRule>
    <cfRule type="containsText" dxfId="1140" priority="2">
      <formula>NOT(ISERROR(SEARCH("No; explanation in comments",G7)))</formula>
    </cfRule>
  </conditionalFormatting>
  <conditionalFormatting sqref="$J$7">
    <cfRule type="containsText" dxfId="1141" priority="1">
      <formula>NOT(ISERROR(SEARCH("Yes",J7)))</formula>
    </cfRule>
  </conditionalFormatting>
  <conditionalFormatting sqref="$K$7">
    <cfRule type="containsText" dxfId="1142" priority="1">
      <formula>NOT(ISERROR(SEARCH("Mitigated",K7)))</formula>
    </cfRule>
    <cfRule type="containsText" dxfId="1143" priority="2">
      <formula>NOT(ISERROR(SEARCH("Not Mitigated",K7)))</formula>
    </cfRule>
  </conditionalFormatting>
  <conditionalFormatting sqref="$F$8">
    <cfRule type="containsText" dxfId="1144" priority="1">
      <formula>NOT(ISERROR(SEARCH("Yes",F8)))</formula>
    </cfRule>
  </conditionalFormatting>
  <conditionalFormatting sqref="$G$8">
    <cfRule type="containsText" dxfId="1145" priority="1">
      <formula>NOT(ISERROR(SEARCH("Yes",G8)))</formula>
    </cfRule>
    <cfRule type="containsText" dxfId="1146" priority="2">
      <formula>NOT(ISERROR(SEARCH("No; explanation in comments",G8)))</formula>
    </cfRule>
  </conditionalFormatting>
  <conditionalFormatting sqref="$J$8">
    <cfRule type="containsText" dxfId="1147" priority="1">
      <formula>NOT(ISERROR(SEARCH("Yes",J8)))</formula>
    </cfRule>
  </conditionalFormatting>
  <conditionalFormatting sqref="$K$8">
    <cfRule type="containsText" dxfId="1148" priority="1">
      <formula>NOT(ISERROR(SEARCH("Mitigated",K8)))</formula>
    </cfRule>
    <cfRule type="containsText" dxfId="1149" priority="2">
      <formula>NOT(ISERROR(SEARCH("Not Mitigated",K8)))</formula>
    </cfRule>
  </conditionalFormatting>
  <conditionalFormatting sqref="$F$9">
    <cfRule type="containsText" dxfId="1150" priority="1">
      <formula>NOT(ISERROR(SEARCH("Yes",F9)))</formula>
    </cfRule>
  </conditionalFormatting>
  <conditionalFormatting sqref="$G$9">
    <cfRule type="containsText" dxfId="1151" priority="1">
      <formula>NOT(ISERROR(SEARCH("Yes",G9)))</formula>
    </cfRule>
    <cfRule type="containsText" dxfId="1152" priority="2">
      <formula>NOT(ISERROR(SEARCH("No; explanation in comments",G9)))</formula>
    </cfRule>
  </conditionalFormatting>
  <conditionalFormatting sqref="$J$9">
    <cfRule type="containsText" dxfId="1153" priority="1">
      <formula>NOT(ISERROR(SEARCH("Yes",J9)))</formula>
    </cfRule>
  </conditionalFormatting>
  <conditionalFormatting sqref="$K$9">
    <cfRule type="containsText" dxfId="1154" priority="1">
      <formula>NOT(ISERROR(SEARCH("Mitigated",K9)))</formula>
    </cfRule>
    <cfRule type="containsText" dxfId="1155" priority="2">
      <formula>NOT(ISERROR(SEARCH("Not Mitigated",K9)))</formula>
    </cfRule>
  </conditionalFormatting>
  <conditionalFormatting sqref="$F$10">
    <cfRule type="containsText" dxfId="1156" priority="1">
      <formula>NOT(ISERROR(SEARCH("Yes",F10)))</formula>
    </cfRule>
  </conditionalFormatting>
  <conditionalFormatting sqref="$G$10">
    <cfRule type="containsText" dxfId="1157" priority="1">
      <formula>NOT(ISERROR(SEARCH("Yes",G10)))</formula>
    </cfRule>
    <cfRule type="containsText" dxfId="1158" priority="2">
      <formula>NOT(ISERROR(SEARCH("No; explanation in comments",G10)))</formula>
    </cfRule>
  </conditionalFormatting>
  <conditionalFormatting sqref="$J$10">
    <cfRule type="containsText" dxfId="1159" priority="1">
      <formula>NOT(ISERROR(SEARCH("Yes",J10)))</formula>
    </cfRule>
  </conditionalFormatting>
  <conditionalFormatting sqref="$K$10">
    <cfRule type="containsText" dxfId="1160" priority="1">
      <formula>NOT(ISERROR(SEARCH("Mitigated",K10)))</formula>
    </cfRule>
    <cfRule type="containsText" dxfId="1161" priority="2">
      <formula>NOT(ISERROR(SEARCH("Not Mitigated",K10)))</formula>
    </cfRule>
  </conditionalFormatting>
  <conditionalFormatting sqref="$F$11">
    <cfRule type="containsText" dxfId="1162" priority="1">
      <formula>NOT(ISERROR(SEARCH("Yes",F11)))</formula>
    </cfRule>
  </conditionalFormatting>
  <conditionalFormatting sqref="$G$11">
    <cfRule type="containsText" dxfId="1163" priority="1">
      <formula>NOT(ISERROR(SEARCH("Yes",G11)))</formula>
    </cfRule>
    <cfRule type="containsText" dxfId="1164" priority="2">
      <formula>NOT(ISERROR(SEARCH("No; explanation in comments",G11)))</formula>
    </cfRule>
  </conditionalFormatting>
  <conditionalFormatting sqref="$J$11">
    <cfRule type="containsText" dxfId="1165" priority="1">
      <formula>NOT(ISERROR(SEARCH("Yes",J11)))</formula>
    </cfRule>
  </conditionalFormatting>
  <conditionalFormatting sqref="$K$11">
    <cfRule type="containsText" dxfId="1166" priority="1">
      <formula>NOT(ISERROR(SEARCH("Mitigated",K11)))</formula>
    </cfRule>
    <cfRule type="containsText" dxfId="1167" priority="2">
      <formula>NOT(ISERROR(SEARCH("Not Mitigated",K11)))</formula>
    </cfRule>
  </conditionalFormatting>
  <conditionalFormatting sqref="$F$12">
    <cfRule type="containsText" dxfId="1168" priority="1">
      <formula>NOT(ISERROR(SEARCH("Yes",F12)))</formula>
    </cfRule>
  </conditionalFormatting>
  <conditionalFormatting sqref="$G$12">
    <cfRule type="containsText" dxfId="1169" priority="1">
      <formula>NOT(ISERROR(SEARCH("Yes",G12)))</formula>
    </cfRule>
    <cfRule type="containsText" dxfId="1170" priority="2">
      <formula>NOT(ISERROR(SEARCH("No; explanation in comments",G12)))</formula>
    </cfRule>
  </conditionalFormatting>
  <conditionalFormatting sqref="$J$12">
    <cfRule type="containsText" dxfId="1171" priority="1">
      <formula>NOT(ISERROR(SEARCH("Yes",J12)))</formula>
    </cfRule>
  </conditionalFormatting>
  <conditionalFormatting sqref="$K$12">
    <cfRule type="containsText" dxfId="1172" priority="1">
      <formula>NOT(ISERROR(SEARCH("Mitigated",K12)))</formula>
    </cfRule>
    <cfRule type="containsText" dxfId="1173" priority="2">
      <formula>NOT(ISERROR(SEARCH("Not Mitigated",K12)))</formula>
    </cfRule>
  </conditionalFormatting>
  <conditionalFormatting sqref="$F$13">
    <cfRule type="containsText" dxfId="1174" priority="1">
      <formula>NOT(ISERROR(SEARCH("Yes",F13)))</formula>
    </cfRule>
  </conditionalFormatting>
  <conditionalFormatting sqref="$G$13">
    <cfRule type="containsText" dxfId="1175" priority="1">
      <formula>NOT(ISERROR(SEARCH("Yes",G13)))</formula>
    </cfRule>
    <cfRule type="containsText" dxfId="1176" priority="2">
      <formula>NOT(ISERROR(SEARCH("No; explanation in comments",G13)))</formula>
    </cfRule>
  </conditionalFormatting>
  <conditionalFormatting sqref="$J$13">
    <cfRule type="containsText" dxfId="1177" priority="1">
      <formula>NOT(ISERROR(SEARCH("Yes",J13)))</formula>
    </cfRule>
  </conditionalFormatting>
  <conditionalFormatting sqref="$K$13">
    <cfRule type="containsText" dxfId="1178" priority="1">
      <formula>NOT(ISERROR(SEARCH("Mitigated",K13)))</formula>
    </cfRule>
    <cfRule type="containsText" dxfId="1179" priority="2">
      <formula>NOT(ISERROR(SEARCH("Not Mitigated",K13)))</formula>
    </cfRule>
  </conditionalFormatting>
  <conditionalFormatting sqref="$F$14">
    <cfRule type="containsText" dxfId="1180" priority="1">
      <formula>NOT(ISERROR(SEARCH("Yes",F14)))</formula>
    </cfRule>
  </conditionalFormatting>
  <conditionalFormatting sqref="$G$14">
    <cfRule type="containsText" dxfId="1181" priority="1">
      <formula>NOT(ISERROR(SEARCH("Yes",G14)))</formula>
    </cfRule>
    <cfRule type="containsText" dxfId="1182" priority="2">
      <formula>NOT(ISERROR(SEARCH("No; explanation in comments",G14)))</formula>
    </cfRule>
  </conditionalFormatting>
  <conditionalFormatting sqref="$J$14">
    <cfRule type="containsText" dxfId="1183" priority="1">
      <formula>NOT(ISERROR(SEARCH("Yes",J14)))</formula>
    </cfRule>
  </conditionalFormatting>
  <conditionalFormatting sqref="$K$14">
    <cfRule type="containsText" dxfId="1184" priority="1">
      <formula>NOT(ISERROR(SEARCH("Mitigated",K14)))</formula>
    </cfRule>
    <cfRule type="containsText" dxfId="1185" priority="2">
      <formula>NOT(ISERROR(SEARCH("Not Mitigated",K14)))</formula>
    </cfRule>
  </conditionalFormatting>
  <conditionalFormatting sqref="$F$15">
    <cfRule type="containsText" dxfId="1186" priority="1">
      <formula>NOT(ISERROR(SEARCH("Yes",F15)))</formula>
    </cfRule>
  </conditionalFormatting>
  <conditionalFormatting sqref="$G$15">
    <cfRule type="containsText" dxfId="1187" priority="1">
      <formula>NOT(ISERROR(SEARCH("Yes",G15)))</formula>
    </cfRule>
    <cfRule type="containsText" dxfId="1188" priority="2">
      <formula>NOT(ISERROR(SEARCH("No; explanation in comments",G15)))</formula>
    </cfRule>
  </conditionalFormatting>
  <conditionalFormatting sqref="$J$15">
    <cfRule type="containsText" dxfId="1189" priority="1">
      <formula>NOT(ISERROR(SEARCH("Yes",J15)))</formula>
    </cfRule>
  </conditionalFormatting>
  <conditionalFormatting sqref="$K$15">
    <cfRule type="containsText" dxfId="1190" priority="1">
      <formula>NOT(ISERROR(SEARCH("Mitigated",K15)))</formula>
    </cfRule>
    <cfRule type="containsText" dxfId="1191" priority="2">
      <formula>NOT(ISERROR(SEARCH("Not Mitigated",K15)))</formula>
    </cfRule>
  </conditionalFormatting>
  <conditionalFormatting sqref="$F$16">
    <cfRule type="containsText" dxfId="1192" priority="1">
      <formula>NOT(ISERROR(SEARCH("Yes",F16)))</formula>
    </cfRule>
  </conditionalFormatting>
  <conditionalFormatting sqref="$G$16">
    <cfRule type="containsText" dxfId="1193" priority="1">
      <formula>NOT(ISERROR(SEARCH("Yes",G16)))</formula>
    </cfRule>
    <cfRule type="containsText" dxfId="1194" priority="2">
      <formula>NOT(ISERROR(SEARCH("No; explanation in comments",G16)))</formula>
    </cfRule>
  </conditionalFormatting>
  <conditionalFormatting sqref="$J$16">
    <cfRule type="containsText" dxfId="1195" priority="1">
      <formula>NOT(ISERROR(SEARCH("Yes",J16)))</formula>
    </cfRule>
  </conditionalFormatting>
  <conditionalFormatting sqref="$K$16">
    <cfRule type="containsText" dxfId="1196" priority="1">
      <formula>NOT(ISERROR(SEARCH("Mitigated",K16)))</formula>
    </cfRule>
    <cfRule type="containsText" dxfId="1197" priority="2">
      <formula>NOT(ISERROR(SEARCH("Not Mitigated",K16)))</formula>
    </cfRule>
  </conditionalFormatting>
  <conditionalFormatting sqref="$F$17">
    <cfRule type="containsText" dxfId="1198" priority="1">
      <formula>NOT(ISERROR(SEARCH("Yes",F17)))</formula>
    </cfRule>
  </conditionalFormatting>
  <conditionalFormatting sqref="$G$17">
    <cfRule type="containsText" dxfId="1199" priority="1">
      <formula>NOT(ISERROR(SEARCH("Yes",G17)))</formula>
    </cfRule>
    <cfRule type="containsText" dxfId="1200" priority="2">
      <formula>NOT(ISERROR(SEARCH("No; explanation in comments",G17)))</formula>
    </cfRule>
  </conditionalFormatting>
  <conditionalFormatting sqref="$J$17">
    <cfRule type="containsText" dxfId="1201" priority="1">
      <formula>NOT(ISERROR(SEARCH("Yes",J17)))</formula>
    </cfRule>
  </conditionalFormatting>
  <conditionalFormatting sqref="$K$17">
    <cfRule type="containsText" dxfId="1202" priority="1">
      <formula>NOT(ISERROR(SEARCH("Mitigated",K17)))</formula>
    </cfRule>
    <cfRule type="containsText" dxfId="1203" priority="2">
      <formula>NOT(ISERROR(SEARCH("Not Mitigated",K17)))</formula>
    </cfRule>
  </conditionalFormatting>
  <conditionalFormatting sqref="$F$18">
    <cfRule type="containsText" dxfId="1204" priority="1">
      <formula>NOT(ISERROR(SEARCH("Yes",F18)))</formula>
    </cfRule>
  </conditionalFormatting>
  <conditionalFormatting sqref="$G$18">
    <cfRule type="containsText" dxfId="1205" priority="1">
      <formula>NOT(ISERROR(SEARCH("Yes",G18)))</formula>
    </cfRule>
    <cfRule type="containsText" dxfId="1206" priority="2">
      <formula>NOT(ISERROR(SEARCH("No; explanation in comments",G18)))</formula>
    </cfRule>
  </conditionalFormatting>
  <conditionalFormatting sqref="$J$18">
    <cfRule type="containsText" dxfId="1207" priority="1">
      <formula>NOT(ISERROR(SEARCH("Yes",J18)))</formula>
    </cfRule>
  </conditionalFormatting>
  <conditionalFormatting sqref="$K$18">
    <cfRule type="containsText" dxfId="1208" priority="1">
      <formula>NOT(ISERROR(SEARCH("Mitigated",K18)))</formula>
    </cfRule>
    <cfRule type="containsText" dxfId="1209" priority="2">
      <formula>NOT(ISERROR(SEARCH("Not Mitigated",K18)))</formula>
    </cfRule>
  </conditionalFormatting>
  <conditionalFormatting sqref="$F$19">
    <cfRule type="containsText" dxfId="1210" priority="1">
      <formula>NOT(ISERROR(SEARCH("Yes",F19)))</formula>
    </cfRule>
  </conditionalFormatting>
  <conditionalFormatting sqref="$G$19">
    <cfRule type="containsText" dxfId="1211" priority="1">
      <formula>NOT(ISERROR(SEARCH("Yes",G19)))</formula>
    </cfRule>
    <cfRule type="containsText" dxfId="1212" priority="2">
      <formula>NOT(ISERROR(SEARCH("No; explanation in comments",G19)))</formula>
    </cfRule>
  </conditionalFormatting>
  <conditionalFormatting sqref="$J$19">
    <cfRule type="containsText" dxfId="1213" priority="1">
      <formula>NOT(ISERROR(SEARCH("Yes",J19)))</formula>
    </cfRule>
  </conditionalFormatting>
  <conditionalFormatting sqref="$K$19">
    <cfRule type="containsText" dxfId="1214" priority="1">
      <formula>NOT(ISERROR(SEARCH("Mitigated",K19)))</formula>
    </cfRule>
    <cfRule type="containsText" dxfId="1215" priority="2">
      <formula>NOT(ISERROR(SEARCH("Not Mitigated",K19)))</formula>
    </cfRule>
  </conditionalFormatting>
  <conditionalFormatting sqref="$F$20">
    <cfRule type="containsText" dxfId="1216" priority="1">
      <formula>NOT(ISERROR(SEARCH("Yes",F20)))</formula>
    </cfRule>
  </conditionalFormatting>
  <conditionalFormatting sqref="$G$20">
    <cfRule type="containsText" dxfId="1217" priority="1">
      <formula>NOT(ISERROR(SEARCH("Yes",G20)))</formula>
    </cfRule>
    <cfRule type="containsText" dxfId="1218" priority="2">
      <formula>NOT(ISERROR(SEARCH("No; explanation in comments",G20)))</formula>
    </cfRule>
  </conditionalFormatting>
  <conditionalFormatting sqref="$J$20">
    <cfRule type="containsText" dxfId="1219" priority="1">
      <formula>NOT(ISERROR(SEARCH("Yes",J20)))</formula>
    </cfRule>
  </conditionalFormatting>
  <conditionalFormatting sqref="$K$20">
    <cfRule type="containsText" dxfId="1220" priority="1">
      <formula>NOT(ISERROR(SEARCH("Mitigated",K20)))</formula>
    </cfRule>
    <cfRule type="containsText" dxfId="1221" priority="2">
      <formula>NOT(ISERROR(SEARCH("Not Mitigated",K20)))</formula>
    </cfRule>
  </conditionalFormatting>
  <conditionalFormatting sqref="$F$21">
    <cfRule type="containsText" dxfId="1222" priority="1">
      <formula>NOT(ISERROR(SEARCH("Yes",F21)))</formula>
    </cfRule>
  </conditionalFormatting>
  <conditionalFormatting sqref="$G$21">
    <cfRule type="containsText" dxfId="1223" priority="1">
      <formula>NOT(ISERROR(SEARCH("Yes",G21)))</formula>
    </cfRule>
    <cfRule type="containsText" dxfId="1224" priority="2">
      <formula>NOT(ISERROR(SEARCH("No; explanation in comments",G21)))</formula>
    </cfRule>
  </conditionalFormatting>
  <conditionalFormatting sqref="$J$21">
    <cfRule type="containsText" dxfId="1225" priority="1">
      <formula>NOT(ISERROR(SEARCH("Yes",J21)))</formula>
    </cfRule>
  </conditionalFormatting>
  <conditionalFormatting sqref="$K$21">
    <cfRule type="containsText" dxfId="1226" priority="1">
      <formula>NOT(ISERROR(SEARCH("Mitigated",K21)))</formula>
    </cfRule>
    <cfRule type="containsText" dxfId="1227" priority="2">
      <formula>NOT(ISERROR(SEARCH("Not Mitigated",K21)))</formula>
    </cfRule>
  </conditionalFormatting>
  <conditionalFormatting sqref="$F$22">
    <cfRule type="containsText" dxfId="1228" priority="1">
      <formula>NOT(ISERROR(SEARCH("Yes",F22)))</formula>
    </cfRule>
  </conditionalFormatting>
  <conditionalFormatting sqref="$G$22">
    <cfRule type="containsText" dxfId="1229" priority="1">
      <formula>NOT(ISERROR(SEARCH("Yes",G22)))</formula>
    </cfRule>
    <cfRule type="containsText" dxfId="1230" priority="2">
      <formula>NOT(ISERROR(SEARCH("No; explanation in comments",G22)))</formula>
    </cfRule>
  </conditionalFormatting>
  <conditionalFormatting sqref="$J$22">
    <cfRule type="containsText" dxfId="1231" priority="1">
      <formula>NOT(ISERROR(SEARCH("Yes",J22)))</formula>
    </cfRule>
  </conditionalFormatting>
  <conditionalFormatting sqref="$K$22">
    <cfRule type="containsText" dxfId="1232" priority="1">
      <formula>NOT(ISERROR(SEARCH("Mitigated",K22)))</formula>
    </cfRule>
    <cfRule type="containsText" dxfId="1233" priority="2">
      <formula>NOT(ISERROR(SEARCH("Not Mitigated",K22)))</formula>
    </cfRule>
  </conditionalFormatting>
  <conditionalFormatting sqref="$F$23">
    <cfRule type="containsText" dxfId="1234" priority="1">
      <formula>NOT(ISERROR(SEARCH("Yes",F23)))</formula>
    </cfRule>
  </conditionalFormatting>
  <conditionalFormatting sqref="$G$23">
    <cfRule type="containsText" dxfId="1235" priority="1">
      <formula>NOT(ISERROR(SEARCH("Yes",G23)))</formula>
    </cfRule>
    <cfRule type="containsText" dxfId="1236" priority="2">
      <formula>NOT(ISERROR(SEARCH("No; explanation in comments",G23)))</formula>
    </cfRule>
  </conditionalFormatting>
  <conditionalFormatting sqref="$J$23">
    <cfRule type="containsText" dxfId="1237" priority="1">
      <formula>NOT(ISERROR(SEARCH("Yes",J23)))</formula>
    </cfRule>
  </conditionalFormatting>
  <conditionalFormatting sqref="$K$23">
    <cfRule type="containsText" dxfId="1238" priority="1">
      <formula>NOT(ISERROR(SEARCH("Mitigated",K23)))</formula>
    </cfRule>
    <cfRule type="containsText" dxfId="1239" priority="2">
      <formula>NOT(ISERROR(SEARCH("Not Mitigated",K23)))</formula>
    </cfRule>
  </conditionalFormatting>
  <dataValidations count="4">
    <dataValidation type="list" sqref="G10:G23">
      <formula1>"-,Yes,No; explanation in comments"</formula1>
    </dataValidation>
    <dataValidation type="list" sqref="G2:G23">
      <formula1>"-,Yes,No; explanation in comments"</formula1>
    </dataValidation>
    <dataValidation type="list" sqref="K10:K23">
      <formula1>"Mitigated,Not Mitigated,Not Assessed Yet,N/A"</formula1>
    </dataValidation>
    <dataValidation type="list" sqref="K2:K23">
      <formula1>"Mitigated,Not Mitigated,Not Assessed Yet,N/A"</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Summary</vt:lpstr>
      <vt:lpstr>List of Services</vt:lpstr>
      <vt:lpstr>Code Scanning Tools</vt:lpstr>
      <vt:lpstr>I. General</vt:lpstr>
      <vt:lpstr>II. Compute</vt:lpstr>
      <vt:lpstr>III. Storage</vt:lpstr>
      <vt:lpstr>IV. Databases</vt:lpstr>
      <vt:lpstr>V. Network &amp; Delivery</vt:lpstr>
      <vt:lpstr>VI. Management &amp; Governance</vt:lpstr>
      <vt:lpstr>VII. Machine Learning</vt:lpstr>
      <vt:lpstr>VIII. Analytics</vt:lpstr>
      <vt:lpstr>IX. Security &amp; Compliance</vt:lpstr>
      <vt:lpstr>X. Serverless</vt:lpstr>
      <vt:lpstr>XI. Application Integration</vt:lpstr>
      <vt:lpstr>XII. Media Services</vt:lpstr>
      <vt:lpstr>XIII. Developer Tools</vt:lpstr>
      <vt:lpstr>XIV. Internet of Things</vt:lpstr>
      <vt:lpstr>Release Notes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NeoLifter</dc:creator>
  <dc:title/>
  <dc:subject/>
  <dc:description/>
  <cp:keywords/>
  <cp:category/>
  <cp:lastModifiedBy>NeoLifter</cp:lastModifiedBy>
  <cp:lastPrinted>2025-05-23T15:53:30Z</cp:lastPrinted>
  <dcterms:created xsi:type="dcterms:W3CDTF">2025-05-23T15:53:30Z</dcterms:created>
  <dcterms:modified xsi:type="dcterms:W3CDTF">2025-05-23T15:53:30Z</dcterms:modified>
</cp:coreProperties>
</file>