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hu\OneDrive - University of Cincinnati\"/>
    </mc:Choice>
  </mc:AlternateContent>
  <xr:revisionPtr revIDLastSave="0" documentId="13_ncr:1_{95215986-3610-40BB-9B24-8A71BDB3A241}" xr6:coauthVersionLast="47" xr6:coauthVersionMax="47" xr10:uidLastSave="{00000000-0000-0000-0000-000000000000}"/>
  <bookViews>
    <workbookView xWindow="-110" yWindow="-110" windowWidth="19420" windowHeight="10420" xr2:uid="{048D79B5-ECE3-4792-9ABC-F13CB6E438B1}"/>
  </bookViews>
  <sheets>
    <sheet name="Total" sheetId="7" r:id="rId1"/>
    <sheet name="Traditional" sheetId="1" r:id="rId2"/>
    <sheet name="LowEnd" sheetId="2" r:id="rId3"/>
    <sheet name="HighEnd" sheetId="3" r:id="rId4"/>
    <sheet name="Performance" sheetId="4" r:id="rId5"/>
    <sheet name="Size" sheetId="5" r:id="rId6"/>
    <sheet name="TQM" sheetId="12" r:id="rId7"/>
    <sheet name="Accessibility" sheetId="13" r:id="rId8"/>
    <sheet name="Sheet3" sheetId="10" r:id="rId9"/>
    <sheet name="Sheet4" sheetId="11" r:id="rId10"/>
  </sheets>
  <definedNames>
    <definedName name="production" localSheetId="8">Sheet3!$A$1</definedName>
    <definedName name="solver_adj" localSheetId="7" hidden="1">Accessibility!$J$7</definedName>
    <definedName name="solver_cvg" localSheetId="7" hidden="1">0.0001</definedName>
    <definedName name="solver_drv" localSheetId="7" hidden="1">2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0</definedName>
    <definedName name="solver_nwt" localSheetId="7" hidden="1">1</definedName>
    <definedName name="solver_opt" localSheetId="7" hidden="1">Accessibility!$L$7</definedName>
    <definedName name="solver_pre" localSheetId="7" hidden="1">0.000001</definedName>
    <definedName name="solver_rbv" localSheetId="7" hidden="1">2</definedName>
    <definedName name="solver_rlx" localSheetId="7" hidden="1">2</definedName>
    <definedName name="solver_rsd" localSheetId="7" hidden="1">0</definedName>
    <definedName name="solver_scl" localSheetId="7" hidden="1">2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3</definedName>
    <definedName name="solver_val" localSheetId="7" hidden="1">1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" i="13" l="1"/>
  <c r="P7" i="13"/>
  <c r="P8" i="13"/>
  <c r="P9" i="13"/>
  <c r="P10" i="13"/>
  <c r="P11" i="13"/>
  <c r="P12" i="13"/>
  <c r="P13" i="13"/>
  <c r="P5" i="13"/>
  <c r="I10" i="13"/>
  <c r="K9" i="13"/>
  <c r="P4" i="13"/>
  <c r="P3" i="13"/>
  <c r="M12" i="13"/>
  <c r="J12" i="13"/>
  <c r="I9" i="13" l="1"/>
  <c r="L9" i="13" s="1"/>
  <c r="K4" i="13"/>
  <c r="K5" i="13"/>
  <c r="K6" i="13"/>
  <c r="K7" i="13"/>
  <c r="K8" i="13"/>
  <c r="K3" i="13"/>
  <c r="F19" i="13"/>
  <c r="F20" i="13"/>
  <c r="F21" i="13"/>
  <c r="F22" i="13"/>
  <c r="F23" i="13"/>
  <c r="F24" i="13"/>
  <c r="E19" i="13"/>
  <c r="E20" i="13"/>
  <c r="E21" i="13"/>
  <c r="E22" i="13"/>
  <c r="E23" i="13"/>
  <c r="E24" i="13"/>
  <c r="D19" i="13"/>
  <c r="D20" i="13"/>
  <c r="D21" i="13"/>
  <c r="D22" i="13"/>
  <c r="D23" i="13"/>
  <c r="D24" i="13"/>
  <c r="C19" i="13"/>
  <c r="C20" i="13"/>
  <c r="C21" i="13"/>
  <c r="C22" i="13"/>
  <c r="C23" i="13"/>
  <c r="C24" i="13"/>
  <c r="F18" i="13"/>
  <c r="E18" i="13"/>
  <c r="D18" i="13"/>
  <c r="C18" i="13"/>
  <c r="B19" i="13"/>
  <c r="B20" i="13"/>
  <c r="B21" i="13"/>
  <c r="B22" i="13"/>
  <c r="B23" i="13"/>
  <c r="B24" i="13"/>
  <c r="B18" i="13"/>
  <c r="H24" i="13"/>
  <c r="I24" i="13" s="1"/>
  <c r="L24" i="13" s="1"/>
  <c r="H23" i="13"/>
  <c r="I23" i="13" s="1"/>
  <c r="L23" i="13" s="1"/>
  <c r="H22" i="13"/>
  <c r="I22" i="13" s="1"/>
  <c r="L22" i="13" s="1"/>
  <c r="H21" i="13"/>
  <c r="I21" i="13" s="1"/>
  <c r="H20" i="13"/>
  <c r="I20" i="13" s="1"/>
  <c r="L20" i="13" s="1"/>
  <c r="H19" i="13"/>
  <c r="I19" i="13" s="1"/>
  <c r="L19" i="13" s="1"/>
  <c r="H18" i="13"/>
  <c r="I18" i="13" s="1"/>
  <c r="L18" i="13" s="1"/>
  <c r="F4" i="13"/>
  <c r="F5" i="13"/>
  <c r="F6" i="13"/>
  <c r="F7" i="13"/>
  <c r="F8" i="13"/>
  <c r="E4" i="13"/>
  <c r="E5" i="13"/>
  <c r="E6" i="13"/>
  <c r="E7" i="13"/>
  <c r="E8" i="13"/>
  <c r="D4" i="13"/>
  <c r="D5" i="13"/>
  <c r="D6" i="13"/>
  <c r="D7" i="13"/>
  <c r="D8" i="13"/>
  <c r="C4" i="13"/>
  <c r="C5" i="13"/>
  <c r="C6" i="13"/>
  <c r="C7" i="13"/>
  <c r="C8" i="13"/>
  <c r="F3" i="13"/>
  <c r="E3" i="13"/>
  <c r="D3" i="13"/>
  <c r="C3" i="13"/>
  <c r="B4" i="13"/>
  <c r="B5" i="13"/>
  <c r="B6" i="13"/>
  <c r="B7" i="13"/>
  <c r="B8" i="13"/>
  <c r="B3" i="13"/>
  <c r="H4" i="13"/>
  <c r="I4" i="13" s="1"/>
  <c r="H5" i="13"/>
  <c r="I5" i="13" s="1"/>
  <c r="L5" i="13" s="1"/>
  <c r="H6" i="13"/>
  <c r="I6" i="13" s="1"/>
  <c r="H7" i="13"/>
  <c r="I7" i="13" s="1"/>
  <c r="H8" i="13"/>
  <c r="I8" i="13" s="1"/>
  <c r="H3" i="13"/>
  <c r="I3" i="13" s="1"/>
  <c r="D13" i="12"/>
  <c r="E13" i="12"/>
  <c r="F13" i="12"/>
  <c r="G13" i="12"/>
  <c r="H13" i="12"/>
  <c r="C13" i="12"/>
  <c r="B4" i="12"/>
  <c r="B5" i="12"/>
  <c r="B6" i="12"/>
  <c r="B7" i="12"/>
  <c r="B8" i="12"/>
  <c r="B9" i="12"/>
  <c r="B10" i="12"/>
  <c r="B11" i="12"/>
  <c r="B12" i="12"/>
  <c r="B3" i="12"/>
  <c r="P13" i="2"/>
  <c r="P14" i="2"/>
  <c r="F8" i="7"/>
  <c r="D8" i="7"/>
  <c r="C8" i="7"/>
  <c r="B8" i="7"/>
  <c r="F4" i="7"/>
  <c r="E4" i="7"/>
  <c r="C4" i="7"/>
  <c r="P11" i="3"/>
  <c r="P12" i="3"/>
  <c r="P13" i="3"/>
  <c r="P14" i="3"/>
  <c r="P9" i="4"/>
  <c r="P10" i="4"/>
  <c r="P11" i="4"/>
  <c r="P11" i="5"/>
  <c r="P12" i="5"/>
  <c r="P13" i="5"/>
  <c r="P14" i="5"/>
  <c r="O15" i="2"/>
  <c r="K3" i="11"/>
  <c r="K4" i="11"/>
  <c r="K5" i="11"/>
  <c r="K6" i="11"/>
  <c r="K2" i="11"/>
  <c r="J3" i="11"/>
  <c r="J4" i="11"/>
  <c r="J5" i="11"/>
  <c r="J6" i="11"/>
  <c r="J2" i="11"/>
  <c r="I3" i="11"/>
  <c r="I4" i="11"/>
  <c r="I5" i="11"/>
  <c r="I6" i="11"/>
  <c r="I2" i="11"/>
  <c r="H6" i="11"/>
  <c r="H3" i="11"/>
  <c r="H4" i="11"/>
  <c r="H5" i="11"/>
  <c r="H2" i="11"/>
  <c r="U19" i="10"/>
  <c r="U18" i="10"/>
  <c r="T19" i="10"/>
  <c r="T18" i="10"/>
  <c r="S19" i="10"/>
  <c r="S20" i="10"/>
  <c r="S21" i="10"/>
  <c r="S22" i="10"/>
  <c r="S18" i="10"/>
  <c r="R19" i="10"/>
  <c r="R18" i="10"/>
  <c r="C7" i="7"/>
  <c r="F7" i="7"/>
  <c r="F5" i="7"/>
  <c r="F3" i="7"/>
  <c r="E6" i="7"/>
  <c r="E3" i="7"/>
  <c r="D3" i="7"/>
  <c r="C6" i="7"/>
  <c r="P10" i="5"/>
  <c r="P9" i="5"/>
  <c r="P8" i="5"/>
  <c r="P7" i="5"/>
  <c r="P6" i="5"/>
  <c r="P5" i="5"/>
  <c r="P4" i="5"/>
  <c r="P3" i="5"/>
  <c r="P8" i="4"/>
  <c r="P7" i="4"/>
  <c r="P6" i="4"/>
  <c r="P5" i="4"/>
  <c r="P4" i="4"/>
  <c r="P3" i="4"/>
  <c r="P10" i="3"/>
  <c r="P9" i="3"/>
  <c r="P8" i="3"/>
  <c r="P7" i="3"/>
  <c r="P6" i="3"/>
  <c r="P5" i="3"/>
  <c r="P4" i="3"/>
  <c r="P3" i="3"/>
  <c r="P12" i="2"/>
  <c r="P11" i="2"/>
  <c r="P10" i="2"/>
  <c r="P9" i="2"/>
  <c r="P8" i="2"/>
  <c r="P7" i="2"/>
  <c r="P6" i="2"/>
  <c r="P5" i="2"/>
  <c r="P4" i="2"/>
  <c r="P3" i="2"/>
  <c r="P4" i="1"/>
  <c r="P5" i="1"/>
  <c r="P6" i="1"/>
  <c r="P7" i="1"/>
  <c r="P8" i="1"/>
  <c r="P9" i="1"/>
  <c r="P10" i="1"/>
  <c r="P11" i="1"/>
  <c r="P12" i="1"/>
  <c r="P13" i="1"/>
  <c r="P14" i="1"/>
  <c r="P3" i="1"/>
  <c r="O15" i="5"/>
  <c r="O15" i="4"/>
  <c r="O15" i="3"/>
  <c r="B26" i="5"/>
  <c r="B26" i="4"/>
  <c r="B26" i="3"/>
  <c r="B26" i="2"/>
  <c r="B26" i="1"/>
  <c r="O15" i="1"/>
  <c r="L3" i="13" l="1"/>
  <c r="L8" i="13"/>
  <c r="L7" i="13"/>
  <c r="L6" i="13"/>
  <c r="L4" i="13"/>
  <c r="Q13" i="2"/>
  <c r="Q14" i="2"/>
  <c r="R13" i="2"/>
  <c r="R14" i="2"/>
  <c r="Q9" i="4"/>
  <c r="Q10" i="4"/>
  <c r="Q11" i="4"/>
  <c r="R9" i="4"/>
  <c r="R10" i="4"/>
  <c r="R11" i="4"/>
  <c r="Q11" i="3"/>
  <c r="R11" i="3" s="1"/>
  <c r="Q12" i="3"/>
  <c r="R12" i="3" s="1"/>
  <c r="Q13" i="3"/>
  <c r="R13" i="3" s="1"/>
  <c r="Q14" i="3"/>
  <c r="R14" i="3" s="1"/>
  <c r="Q11" i="5"/>
  <c r="R11" i="5" s="1"/>
  <c r="Q12" i="5"/>
  <c r="R12" i="5" s="1"/>
  <c r="Q13" i="5"/>
  <c r="R13" i="5" s="1"/>
  <c r="Q14" i="5"/>
  <c r="R14" i="5" s="1"/>
  <c r="Q10" i="5"/>
  <c r="R10" i="5" s="1"/>
  <c r="Q9" i="5"/>
  <c r="R9" i="5" s="1"/>
  <c r="Q8" i="5"/>
  <c r="R8" i="5" s="1"/>
  <c r="Q7" i="5"/>
  <c r="R7" i="5" s="1"/>
  <c r="Q6" i="5"/>
  <c r="R6" i="5" s="1"/>
  <c r="Q5" i="5"/>
  <c r="R5" i="5" s="1"/>
  <c r="Q4" i="5"/>
  <c r="R4" i="5" s="1"/>
  <c r="Q3" i="5"/>
  <c r="R3" i="5" s="1"/>
  <c r="E2" i="7"/>
  <c r="Q8" i="4"/>
  <c r="R8" i="4" s="1"/>
  <c r="Q7" i="4"/>
  <c r="R7" i="4" s="1"/>
  <c r="Q6" i="4"/>
  <c r="R6" i="4" s="1"/>
  <c r="Q5" i="4"/>
  <c r="R5" i="4" s="1"/>
  <c r="Q4" i="4"/>
  <c r="R4" i="4" s="1"/>
  <c r="Q3" i="4"/>
  <c r="R3" i="4" s="1"/>
  <c r="D5" i="7"/>
  <c r="Q10" i="3"/>
  <c r="R10" i="3" s="1"/>
  <c r="Q9" i="3"/>
  <c r="R9" i="3" s="1"/>
  <c r="D6" i="7" s="1"/>
  <c r="Q8" i="3"/>
  <c r="R8" i="3" s="1"/>
  <c r="D4" i="7" s="1"/>
  <c r="Q7" i="3"/>
  <c r="R7" i="3" s="1"/>
  <c r="Q6" i="3"/>
  <c r="R6" i="3" s="1"/>
  <c r="D9" i="7" s="1"/>
  <c r="H9" i="7" s="1"/>
  <c r="K9" i="7" s="1"/>
  <c r="Q5" i="3"/>
  <c r="R5" i="3" s="1"/>
  <c r="D7" i="7" s="1"/>
  <c r="Q4" i="3"/>
  <c r="R4" i="3" s="1"/>
  <c r="Q3" i="3"/>
  <c r="R3" i="3" s="1"/>
  <c r="Q12" i="2"/>
  <c r="R12" i="2" s="1"/>
  <c r="C5" i="7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B7" i="7" s="1"/>
  <c r="Q13" i="1"/>
  <c r="R13" i="1" s="1"/>
  <c r="Q14" i="1"/>
  <c r="R14" i="1" s="1"/>
  <c r="Q3" i="1"/>
  <c r="R3" i="1" s="1"/>
  <c r="E7" i="7" l="1"/>
  <c r="H7" i="7" s="1"/>
  <c r="C3" i="7"/>
  <c r="K7" i="7"/>
  <c r="F6" i="7"/>
  <c r="E8" i="7"/>
  <c r="H8" i="7" s="1"/>
  <c r="K8" i="7" s="1"/>
  <c r="B6" i="7"/>
  <c r="B4" i="7"/>
  <c r="H4" i="7"/>
  <c r="K4" i="7" s="1"/>
  <c r="E5" i="7"/>
  <c r="B2" i="7"/>
  <c r="H6" i="7"/>
  <c r="K6" i="7" s="1"/>
  <c r="F2" i="7"/>
  <c r="B5" i="7"/>
  <c r="B3" i="7"/>
  <c r="H3" i="7"/>
  <c r="K3" i="7" s="1"/>
  <c r="D2" i="7"/>
  <c r="H5" i="7"/>
  <c r="K5" i="7" s="1"/>
  <c r="C2" i="7"/>
  <c r="H2" i="7" s="1"/>
  <c r="K2" i="7" s="1"/>
</calcChain>
</file>

<file path=xl/sharedStrings.xml><?xml version="1.0" encoding="utf-8"?>
<sst xmlns="http://schemas.openxmlformats.org/spreadsheetml/2006/main" count="423" uniqueCount="161">
  <si>
    <t>Traditional</t>
  </si>
  <si>
    <t>Name</t>
  </si>
  <si>
    <t>Market Share</t>
  </si>
  <si>
    <t>Units Sold to Seg</t>
  </si>
  <si>
    <t>Revision</t>
  </si>
  <si>
    <t>Date</t>
  </si>
  <si>
    <t>Stock Out</t>
  </si>
  <si>
    <t>Pfmn Coord</t>
  </si>
  <si>
    <t>Size Coord</t>
  </si>
  <si>
    <t>List</t>
  </si>
  <si>
    <t>Price</t>
  </si>
  <si>
    <t>MTBF</t>
  </si>
  <si>
    <t>Age Dec.31</t>
  </si>
  <si>
    <t>Promo</t>
  </si>
  <si>
    <t>Budget</t>
  </si>
  <si>
    <t>Cust. Aware-</t>
  </si>
  <si>
    <t>ness</t>
  </si>
  <si>
    <t>Sales Budget</t>
  </si>
  <si>
    <t>Cust. Access-</t>
  </si>
  <si>
    <t>ibility</t>
  </si>
  <si>
    <t>Dec. Cust. Survey</t>
  </si>
  <si>
    <t>Able</t>
  </si>
  <si>
    <t>Fast</t>
  </si>
  <si>
    <t>YES</t>
  </si>
  <si>
    <t>Daze</t>
  </si>
  <si>
    <t>Eat</t>
  </si>
  <si>
    <t>Cake</t>
  </si>
  <si>
    <t>Baker</t>
  </si>
  <si>
    <t>Dell</t>
  </si>
  <si>
    <t>Feat</t>
  </si>
  <si>
    <t>Ebb</t>
  </si>
  <si>
    <t>Cedar</t>
  </si>
  <si>
    <t>Bead</t>
  </si>
  <si>
    <t>Acre</t>
  </si>
  <si>
    <t>Projection</t>
  </si>
  <si>
    <t>Traditional Statistics</t>
  </si>
  <si>
    <t>Total Industry Unit Demand</t>
  </si>
  <si>
    <t>Actual Industry Unit Sales</t>
  </si>
  <si>
    <t>Segment % of Total Industry</t>
  </si>
  <si>
    <t>Next Year's Segment Growth Rate</t>
  </si>
  <si>
    <t>Traditional Customer Buying Criteria</t>
  </si>
  <si>
    <t>Expectations</t>
  </si>
  <si>
    <t>Importance</t>
  </si>
  <si>
    <t>Age</t>
  </si>
  <si>
    <t>Ideal Age = 2.0</t>
  </si>
  <si>
    <t>$19.50 - 29.50</t>
  </si>
  <si>
    <t>Ideal Position</t>
  </si>
  <si>
    <t>Pfmn 5.1 Size 14.7</t>
  </si>
  <si>
    <t>Reliability</t>
  </si>
  <si>
    <t>MTBF 14000-19000</t>
  </si>
  <si>
    <t>Next Year's Segment</t>
  </si>
  <si>
    <t>DS Projection</t>
  </si>
  <si>
    <t>Total</t>
  </si>
  <si>
    <t>Bid</t>
  </si>
  <si>
    <t>Fist</t>
  </si>
  <si>
    <t>Duck</t>
  </si>
  <si>
    <t>Echo</t>
  </si>
  <si>
    <t>Adam</t>
  </si>
  <si>
    <t>Aft</t>
  </si>
  <si>
    <t>Foam</t>
  </si>
  <si>
    <t>Edge</t>
  </si>
  <si>
    <t>Bold</t>
  </si>
  <si>
    <t>Coat</t>
  </si>
  <si>
    <t>Dot</t>
  </si>
  <si>
    <t>Buddy</t>
  </si>
  <si>
    <t>Agape</t>
  </si>
  <si>
    <t>Fume</t>
  </si>
  <si>
    <t>Egg</t>
  </si>
  <si>
    <t>Dune</t>
  </si>
  <si>
    <t>Cure</t>
  </si>
  <si>
    <t>Size Statistics</t>
  </si>
  <si>
    <t>Size Customer Buying Criteria</t>
  </si>
  <si>
    <t>Pfmn 4.1 Size 10.0</t>
  </si>
  <si>
    <t>Ideal Age = 1.5</t>
  </si>
  <si>
    <t>MTBF 16000-21000</t>
  </si>
  <si>
    <t>$24.50 - 34.50</t>
  </si>
  <si>
    <t>Performance Statistics</t>
  </si>
  <si>
    <t>Performance Customer Buying Criteria</t>
  </si>
  <si>
    <t>MTBF 22000-27000</t>
  </si>
  <si>
    <t>Pfmn 9.8 Size 15.7</t>
  </si>
  <si>
    <t>Ideal Age = 1.0</t>
  </si>
  <si>
    <t>High End Statistics</t>
  </si>
  <si>
    <t>High End Customer Buying Criteria</t>
  </si>
  <si>
    <t>Pfmn 9.2 Size 10.6</t>
  </si>
  <si>
    <t>Ideal Age = 0.0</t>
  </si>
  <si>
    <t>MTBF 20000-25000</t>
  </si>
  <si>
    <t>$29.50 - 39.50</t>
  </si>
  <si>
    <t>Low End Statistics</t>
  </si>
  <si>
    <t>Low End Customer Buying Criteria</t>
  </si>
  <si>
    <t>$14.50 - 24.50</t>
  </si>
  <si>
    <t>Ideal Age = 7.0</t>
  </si>
  <si>
    <t>Pfmn 1.6 Size 18.2</t>
  </si>
  <si>
    <t>MTBF 12000-17000</t>
  </si>
  <si>
    <t>Last Year * Growth</t>
  </si>
  <si>
    <t>Low End</t>
  </si>
  <si>
    <t>High  End</t>
  </si>
  <si>
    <t>Performance</t>
  </si>
  <si>
    <t>Size</t>
  </si>
  <si>
    <t>Inventory On Hand</t>
  </si>
  <si>
    <t>Care</t>
  </si>
  <si>
    <t>Production</t>
  </si>
  <si>
    <t>High End</t>
  </si>
  <si>
    <t>Pfmn</t>
  </si>
  <si>
    <t>Primary Segment</t>
  </si>
  <si>
    <t>Units Sold</t>
  </si>
  <si>
    <t>Unit Inven tory</t>
  </si>
  <si>
    <t>Revision Date</t>
  </si>
  <si>
    <t>Material Cost</t>
  </si>
  <si>
    <t>Labor Cost</t>
  </si>
  <si>
    <t>Contr. Marg.</t>
  </si>
  <si>
    <t>2nd Shift &amp;</t>
  </si>
  <si>
    <t>Over-</t>
  </si>
  <si>
    <t>time</t>
  </si>
  <si>
    <t>Auto mation Next Round</t>
  </si>
  <si>
    <t>Capacity Next Round</t>
  </si>
  <si>
    <t>Plant Utiliz.</t>
  </si>
  <si>
    <t>Trad</t>
  </si>
  <si>
    <t>Low</t>
  </si>
  <si>
    <t>High</t>
  </si>
  <si>
    <t>Cid</t>
  </si>
  <si>
    <t>Segments</t>
  </si>
  <si>
    <t>Trailing Edge Material Cost</t>
  </si>
  <si>
    <t>Leading Edge Material Cost</t>
  </si>
  <si>
    <t>Lowest Acceptable MTBF</t>
  </si>
  <si>
    <t>Maximum Price</t>
  </si>
  <si>
    <t>Automation Level (out of 10)</t>
  </si>
  <si>
    <t>Min Material</t>
  </si>
  <si>
    <t>Min Labor</t>
  </si>
  <si>
    <t>Contribution Margin</t>
  </si>
  <si>
    <t>Count</t>
  </si>
  <si>
    <t>Dip</t>
  </si>
  <si>
    <t>Dog</t>
  </si>
  <si>
    <t>Cobalt</t>
  </si>
  <si>
    <t>Round</t>
  </si>
  <si>
    <t>CPI Systems</t>
  </si>
  <si>
    <t>Vendor/JIT</t>
  </si>
  <si>
    <t>Quality Initiative Training</t>
  </si>
  <si>
    <t>Channel Support Systems</t>
  </si>
  <si>
    <t>Concurrent Engineering</t>
  </si>
  <si>
    <t>UNEP Green Programs</t>
  </si>
  <si>
    <t>Benchmarking</t>
  </si>
  <si>
    <t>Quality Function Deployment Effort</t>
  </si>
  <si>
    <t>CCE/6 Sigma Training</t>
  </si>
  <si>
    <t>GEMI TQEM Sustainability Initiatives</t>
  </si>
  <si>
    <t>Projected Cumulative Impacts</t>
  </si>
  <si>
    <t>Worst Case</t>
  </si>
  <si>
    <t>Best Case</t>
  </si>
  <si>
    <t>Material Cost Reduction</t>
  </si>
  <si>
    <t>Labor Cost Reduction</t>
  </si>
  <si>
    <t>Reduction R&amp;D Cycle Time</t>
  </si>
  <si>
    <t>Reduction in Admin Costs</t>
  </si>
  <si>
    <t>Demand increase</t>
  </si>
  <si>
    <t>Accessibility</t>
  </si>
  <si>
    <t>Awareness</t>
  </si>
  <si>
    <t>After Decay</t>
  </si>
  <si>
    <t>After Addition</t>
  </si>
  <si>
    <t>Addition</t>
  </si>
  <si>
    <t>Above</t>
  </si>
  <si>
    <t>Chrome</t>
  </si>
  <si>
    <t>Bee</t>
  </si>
  <si>
    <t>Elmo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</si>
</sst>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i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5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5"/>
      <color theme="1"/>
      <name val="Aptos Narrow"/>
      <family val="2"/>
      <scheme val="minor"/>
    </font>
    <font>
      <sz val="5"/>
      <color rgb="FF000000"/>
      <name val="Arial"/>
      <family val="2"/>
    </font>
    <font>
      <b/>
      <sz val="6"/>
      <color rgb="FF000000"/>
      <name val="Tahoma"/>
      <family val="2"/>
    </font>
    <font>
      <sz val="6"/>
      <color rgb="FF000000"/>
      <name val="Tahoma"/>
      <family val="2"/>
    </font>
    <font>
      <b/>
      <sz val="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1F6F9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DDDDDD"/>
      </left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0" fontId="3" fillId="0" borderId="0" xfId="0" applyFont="1"/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10" fontId="3" fillId="0" borderId="0" xfId="1" applyNumberFormat="1" applyFont="1"/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5" xfId="0" applyFont="1" applyBorder="1"/>
    <xf numFmtId="0" fontId="3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right" vertical="center" wrapText="1"/>
    </xf>
    <xf numFmtId="0" fontId="2" fillId="0" borderId="0" xfId="0" applyFont="1" applyAlignment="1">
      <alignment horizontal="left" vertical="center" wrapText="1"/>
    </xf>
    <xf numFmtId="9" fontId="2" fillId="0" borderId="5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left" vertical="center" wrapText="1"/>
    </xf>
    <xf numFmtId="9" fontId="2" fillId="0" borderId="8" xfId="0" applyNumberFormat="1" applyFont="1" applyBorder="1" applyAlignment="1">
      <alignment horizontal="right" vertical="center" wrapText="1"/>
    </xf>
    <xf numFmtId="0" fontId="2" fillId="0" borderId="9" xfId="0" applyFont="1" applyBorder="1"/>
    <xf numFmtId="0" fontId="2" fillId="0" borderId="10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3" fontId="7" fillId="0" borderId="0" xfId="0" applyNumberFormat="1" applyFont="1" applyAlignment="1">
      <alignment horizontal="righ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14" fontId="7" fillId="0" borderId="0" xfId="0" applyNumberFormat="1" applyFont="1" applyAlignment="1">
      <alignment horizontal="right" vertical="center" wrapText="1"/>
    </xf>
    <xf numFmtId="8" fontId="7" fillId="0" borderId="0" xfId="0" applyNumberFormat="1" applyFont="1" applyAlignment="1">
      <alignment horizontal="right" vertical="center" wrapText="1"/>
    </xf>
    <xf numFmtId="9" fontId="7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7" fillId="0" borderId="13" xfId="0" applyFont="1" applyBorder="1" applyAlignment="1">
      <alignment horizontal="right" vertical="center" wrapText="1"/>
    </xf>
    <xf numFmtId="0" fontId="7" fillId="0" borderId="22" xfId="0" applyFont="1" applyBorder="1" applyAlignment="1">
      <alignment horizontal="left" vertical="center" wrapText="1"/>
    </xf>
    <xf numFmtId="0" fontId="0" fillId="0" borderId="23" xfId="0" applyBorder="1"/>
    <xf numFmtId="9" fontId="7" fillId="0" borderId="23" xfId="0" applyNumberFormat="1" applyFont="1" applyBorder="1" applyAlignment="1">
      <alignment horizontal="right" vertical="center" wrapText="1"/>
    </xf>
    <xf numFmtId="0" fontId="7" fillId="0" borderId="22" xfId="0" applyFont="1" applyBorder="1" applyAlignment="1">
      <alignment vertical="center" wrapText="1"/>
    </xf>
    <xf numFmtId="0" fontId="7" fillId="0" borderId="24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right" vertical="center" wrapText="1"/>
    </xf>
    <xf numFmtId="14" fontId="7" fillId="0" borderId="10" xfId="0" applyNumberFormat="1" applyFont="1" applyBorder="1" applyAlignment="1">
      <alignment horizontal="right" vertical="center" wrapText="1"/>
    </xf>
    <xf numFmtId="8" fontId="7" fillId="0" borderId="10" xfId="0" applyNumberFormat="1" applyFont="1" applyBorder="1" applyAlignment="1">
      <alignment horizontal="right" vertical="center" wrapText="1"/>
    </xf>
    <xf numFmtId="9" fontId="7" fillId="0" borderId="10" xfId="0" applyNumberFormat="1" applyFont="1" applyBorder="1" applyAlignment="1">
      <alignment horizontal="right" vertical="center" wrapText="1"/>
    </xf>
    <xf numFmtId="9" fontId="7" fillId="0" borderId="25" xfId="0" applyNumberFormat="1" applyFont="1" applyBorder="1" applyAlignment="1">
      <alignment horizontal="right" vertical="center" wrapText="1"/>
    </xf>
    <xf numFmtId="0" fontId="8" fillId="2" borderId="16" xfId="0" applyFont="1" applyFill="1" applyBorder="1" applyAlignment="1">
      <alignment horizontal="left" wrapText="1"/>
    </xf>
    <xf numFmtId="0" fontId="8" fillId="2" borderId="16" xfId="0" applyFont="1" applyFill="1" applyBorder="1" applyAlignment="1">
      <alignment horizontal="left" vertical="center" wrapText="1"/>
    </xf>
    <xf numFmtId="8" fontId="9" fillId="2" borderId="16" xfId="0" applyNumberFormat="1" applyFont="1" applyFill="1" applyBorder="1" applyAlignment="1">
      <alignment horizontal="center" vertical="center" wrapText="1"/>
    </xf>
    <xf numFmtId="3" fontId="9" fillId="2" borderId="16" xfId="0" applyNumberFormat="1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left" vertical="center" wrapText="1"/>
    </xf>
    <xf numFmtId="8" fontId="9" fillId="2" borderId="18" xfId="0" applyNumberFormat="1" applyFont="1" applyFill="1" applyBorder="1" applyAlignment="1">
      <alignment horizontal="center" vertical="center" wrapText="1"/>
    </xf>
    <xf numFmtId="3" fontId="9" fillId="2" borderId="18" xfId="0" applyNumberFormat="1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left" wrapText="1"/>
    </xf>
    <xf numFmtId="6" fontId="7" fillId="0" borderId="0" xfId="0" applyNumberFormat="1" applyFont="1" applyAlignment="1">
      <alignment horizontal="right" vertical="center" wrapText="1"/>
    </xf>
    <xf numFmtId="9" fontId="7" fillId="0" borderId="0" xfId="0" applyNumberFormat="1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9" fontId="7" fillId="0" borderId="7" xfId="0" applyNumberFormat="1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14" fontId="7" fillId="0" borderId="7" xfId="0" applyNumberFormat="1" applyFont="1" applyBorder="1" applyAlignment="1">
      <alignment horizontal="right" vertical="center" wrapText="1"/>
    </xf>
    <xf numFmtId="0" fontId="7" fillId="0" borderId="7" xfId="0" applyFont="1" applyBorder="1" applyAlignment="1">
      <alignment horizontal="center" vertical="center" wrapText="1"/>
    </xf>
    <xf numFmtId="8" fontId="7" fillId="0" borderId="7" xfId="0" applyNumberFormat="1" applyFont="1" applyBorder="1" applyAlignment="1">
      <alignment horizontal="right" vertical="center" wrapText="1"/>
    </xf>
    <xf numFmtId="6" fontId="7" fillId="0" borderId="7" xfId="0" applyNumberFormat="1" applyFont="1" applyBorder="1" applyAlignment="1">
      <alignment horizontal="right" vertical="center" wrapText="1"/>
    </xf>
    <xf numFmtId="9" fontId="7" fillId="0" borderId="7" xfId="0" applyNumberFormat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10" fontId="7" fillId="0" borderId="26" xfId="0" applyNumberFormat="1" applyFont="1" applyBorder="1" applyAlignment="1">
      <alignment horizontal="righ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center" vertical="center" wrapText="1"/>
    </xf>
    <xf numFmtId="9" fontId="7" fillId="2" borderId="0" xfId="0" applyNumberFormat="1" applyFont="1" applyFill="1" applyAlignment="1">
      <alignment horizontal="right" vertical="center" wrapText="1"/>
    </xf>
    <xf numFmtId="3" fontId="7" fillId="2" borderId="0" xfId="0" applyNumberFormat="1" applyFont="1" applyFill="1" applyAlignment="1">
      <alignment horizontal="right" vertical="center" wrapText="1"/>
    </xf>
    <xf numFmtId="14" fontId="7" fillId="2" borderId="0" xfId="0" applyNumberFormat="1" applyFont="1" applyFill="1" applyAlignment="1">
      <alignment horizontal="right" vertical="center" wrapText="1"/>
    </xf>
    <xf numFmtId="8" fontId="7" fillId="2" borderId="0" xfId="0" applyNumberFormat="1" applyFont="1" applyFill="1" applyAlignment="1">
      <alignment horizontal="right" vertical="center" wrapText="1"/>
    </xf>
    <xf numFmtId="6" fontId="7" fillId="2" borderId="0" xfId="0" applyNumberFormat="1" applyFont="1" applyFill="1" applyAlignment="1">
      <alignment horizontal="right" vertical="center" wrapText="1"/>
    </xf>
    <xf numFmtId="9" fontId="7" fillId="2" borderId="0" xfId="0" applyNumberFormat="1" applyFont="1" applyFill="1" applyAlignment="1">
      <alignment horizontal="center" vertical="center" wrapText="1"/>
    </xf>
    <xf numFmtId="10" fontId="7" fillId="2" borderId="0" xfId="0" applyNumberFormat="1" applyFont="1" applyFill="1" applyAlignment="1">
      <alignment horizontal="right" vertical="center" wrapText="1"/>
    </xf>
    <xf numFmtId="10" fontId="11" fillId="0" borderId="0" xfId="0" applyNumberFormat="1" applyFont="1"/>
    <xf numFmtId="0" fontId="6" fillId="0" borderId="0" xfId="0" applyFont="1"/>
    <xf numFmtId="0" fontId="12" fillId="2" borderId="16" xfId="0" applyFont="1" applyFill="1" applyBorder="1" applyAlignment="1">
      <alignment horizontal="left" vertical="center" wrapText="1"/>
    </xf>
    <xf numFmtId="10" fontId="13" fillId="2" borderId="16" xfId="0" applyNumberFormat="1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left" vertical="center" wrapText="1"/>
    </xf>
    <xf numFmtId="10" fontId="13" fillId="3" borderId="16" xfId="0" applyNumberFormat="1" applyFont="1" applyFill="1" applyBorder="1" applyAlignment="1">
      <alignment horizontal="left" vertical="center" wrapText="1"/>
    </xf>
    <xf numFmtId="0" fontId="12" fillId="3" borderId="17" xfId="0" applyFont="1" applyFill="1" applyBorder="1" applyAlignment="1">
      <alignment horizontal="left" vertical="center" wrapText="1"/>
    </xf>
    <xf numFmtId="10" fontId="13" fillId="2" borderId="17" xfId="0" applyNumberFormat="1" applyFont="1" applyFill="1" applyBorder="1" applyAlignment="1">
      <alignment horizontal="left" vertical="center" wrapText="1"/>
    </xf>
    <xf numFmtId="10" fontId="13" fillId="3" borderId="17" xfId="0" applyNumberFormat="1" applyFont="1" applyFill="1" applyBorder="1" applyAlignment="1">
      <alignment horizontal="left" vertical="center" wrapText="1"/>
    </xf>
    <xf numFmtId="0" fontId="12" fillId="2" borderId="18" xfId="0" applyFont="1" applyFill="1" applyBorder="1" applyAlignment="1">
      <alignment horizontal="left" vertical="center" wrapText="1"/>
    </xf>
    <xf numFmtId="10" fontId="13" fillId="2" borderId="18" xfId="0" applyNumberFormat="1" applyFont="1" applyFill="1" applyBorder="1" applyAlignment="1">
      <alignment horizontal="left" vertical="center" wrapText="1"/>
    </xf>
    <xf numFmtId="10" fontId="13" fillId="2" borderId="19" xfId="0" applyNumberFormat="1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right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4" xfId="0" applyFont="1" applyBorder="1" applyAlignment="1">
      <alignment horizontal="right" vertical="center" wrapText="1"/>
    </xf>
    <xf numFmtId="0" fontId="7" fillId="2" borderId="0" xfId="0" applyFont="1" applyFill="1" applyAlignment="1">
      <alignment horizontal="right" vertical="center" wrapText="1"/>
    </xf>
    <xf numFmtId="0" fontId="7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7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0" fillId="0" borderId="7" xfId="0" applyBorder="1"/>
    <xf numFmtId="0" fontId="0" fillId="0" borderId="23" xfId="0" applyBorder="1"/>
    <xf numFmtId="0" fontId="0" fillId="0" borderId="22" xfId="0" applyBorder="1"/>
    <xf numFmtId="0" fontId="7" fillId="0" borderId="21" xfId="0" applyFont="1" applyBorder="1" applyAlignment="1">
      <alignment horizontal="right" vertical="center" wrapText="1"/>
    </xf>
    <xf numFmtId="0" fontId="7" fillId="0" borderId="23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40000-2AA7-4649-8A29-87F39902008F}">
  <dimension ref="A1:K9"/>
  <sheetViews>
    <sheetView tabSelected="1" workbookViewId="0"/>
  </sheetViews>
  <sheetFormatPr defaultRowHeight="14.5" x14ac:dyDescent="0.35"/>
  <cols>
    <col min="10" max="10" width="15.6328125" bestFit="1" customWidth="1"/>
    <col min="11" max="11" width="17.36328125" bestFit="1" customWidth="1"/>
  </cols>
  <sheetData>
    <row r="1" spans="1:11" x14ac:dyDescent="0.35">
      <c r="B1" t="s">
        <v>0</v>
      </c>
      <c r="C1" t="s">
        <v>94</v>
      </c>
      <c r="D1" t="s">
        <v>95</v>
      </c>
      <c r="E1" t="s">
        <v>96</v>
      </c>
      <c r="F1" t="s">
        <v>97</v>
      </c>
      <c r="H1" t="s">
        <v>52</v>
      </c>
      <c r="J1" t="s">
        <v>98</v>
      </c>
      <c r="K1" t="s">
        <v>100</v>
      </c>
    </row>
    <row r="2" spans="1:11" x14ac:dyDescent="0.35">
      <c r="A2" t="s">
        <v>132</v>
      </c>
      <c r="B2">
        <f>_xlfn.XLOOKUP($A$2,Traditional!$A$2:$A$14,Traditional!$R$2:$R$14,0)</f>
        <v>0</v>
      </c>
      <c r="C2">
        <f>_xlfn.XLOOKUP($A$2,LowEnd!$A$2:$A$14,LowEnd!$R$2:$R$14,0)</f>
        <v>0</v>
      </c>
      <c r="D2">
        <f>_xlfn.XLOOKUP($A$2,HighEnd!$A$2:$A$14,HighEnd!$R$2:$R$14,0)</f>
        <v>386.40876404494372</v>
      </c>
      <c r="E2">
        <f>_xlfn.XLOOKUP($A$2,Performance!$A$2:$A$14,Performance!$R$2:$R$14,0)</f>
        <v>0</v>
      </c>
      <c r="F2">
        <f>_xlfn.XLOOKUP($A$2,Size!$A$2:$A$14,Size!$R$2:$R$14,0)</f>
        <v>0</v>
      </c>
      <c r="H2">
        <f>SUM(B2:F2)</f>
        <v>386.40876404494372</v>
      </c>
      <c r="J2">
        <v>0</v>
      </c>
      <c r="K2">
        <f>H2-J2</f>
        <v>386.40876404494372</v>
      </c>
    </row>
    <row r="3" spans="1:11" x14ac:dyDescent="0.35">
      <c r="A3" t="s">
        <v>31</v>
      </c>
      <c r="B3">
        <f>_xlfn.XLOOKUP($A$3,Traditional!$A$2:$A$14,Traditional!$R$2:$R$14,0)</f>
        <v>0</v>
      </c>
      <c r="C3">
        <f>_xlfn.XLOOKUP($A$3,LowEnd!$A$2:$A$14,LowEnd!$R$2:$R$14,0)</f>
        <v>2383.9390476190479</v>
      </c>
      <c r="D3">
        <f>_xlfn.XLOOKUP($A$3,HighEnd!$A$2:$A$14,HighEnd!$R$2:$R$14,0)</f>
        <v>0</v>
      </c>
      <c r="E3">
        <f>_xlfn.XLOOKUP($A$3,Performance!$A$2:$A$14,Performance!$R$2:$R$14,0)</f>
        <v>0</v>
      </c>
      <c r="F3">
        <f>_xlfn.XLOOKUP($A$3,Size!$A$2:$A$14,Size!$R$2:$R$14,0)</f>
        <v>0</v>
      </c>
      <c r="H3">
        <f t="shared" ref="H3:H9" si="0">SUM(B3:F3)</f>
        <v>2383.9390476190479</v>
      </c>
      <c r="J3">
        <v>0</v>
      </c>
      <c r="K3">
        <f t="shared" ref="K3:K9" si="1">H3-J3</f>
        <v>2383.9390476190479</v>
      </c>
    </row>
    <row r="4" spans="1:11" x14ac:dyDescent="0.35">
      <c r="A4" t="s">
        <v>119</v>
      </c>
      <c r="B4">
        <f>_xlfn.XLOOKUP($A$4,Traditional!$A$2:$A$14,Traditional!$R$2:$R$14,0)</f>
        <v>2863.9722857142856</v>
      </c>
      <c r="C4">
        <f>_xlfn.XLOOKUP($A$4,LowEnd!$A$2:$A$14,LowEnd!$R$2:$R$14,0)</f>
        <v>0</v>
      </c>
      <c r="D4">
        <f>_xlfn.XLOOKUP($A$4,HighEnd!$A$2:$A$14,HighEnd!$R$2:$R$14,0)</f>
        <v>0</v>
      </c>
      <c r="E4">
        <f>_xlfn.XLOOKUP($A$4,Performance!$A$2:$A$14,Performance!$R$2:$R$14,0)</f>
        <v>0</v>
      </c>
      <c r="F4">
        <f>_xlfn.XLOOKUP($A$4,Size!$A$2:$A$14,Size!$R$2:$R$14,0)</f>
        <v>0</v>
      </c>
      <c r="H4">
        <f t="shared" si="0"/>
        <v>2863.9722857142856</v>
      </c>
      <c r="J4">
        <v>0</v>
      </c>
      <c r="K4">
        <f t="shared" si="1"/>
        <v>2863.9722857142856</v>
      </c>
    </row>
    <row r="5" spans="1:11" x14ac:dyDescent="0.35">
      <c r="A5" t="s">
        <v>62</v>
      </c>
      <c r="B5">
        <f>_xlfn.XLOOKUP($A$5,Traditional!$A$2:$A$14,Traditional!$R$2:$R$14,0)</f>
        <v>0</v>
      </c>
      <c r="C5">
        <f>_xlfn.XLOOKUP($A$5,LowEnd!$A$2:$A$14,LowEnd!$R$2:$R$14,0)</f>
        <v>0</v>
      </c>
      <c r="D5">
        <f>_xlfn.XLOOKUP($A$5,HighEnd!$A$2:$A$14,HighEnd!$R$2:$R$14,0)</f>
        <v>0</v>
      </c>
      <c r="E5">
        <f>_xlfn.XLOOKUP($A$5,Performance!$A$2:$A$14,Performance!$R$2:$R$14,0)</f>
        <v>0</v>
      </c>
      <c r="F5">
        <f>_xlfn.XLOOKUP($A$5,Size!$A$2:$A$14,Size!$R$2:$R$14,0)</f>
        <v>0</v>
      </c>
      <c r="H5">
        <f t="shared" si="0"/>
        <v>0</v>
      </c>
      <c r="J5">
        <v>0</v>
      </c>
      <c r="K5">
        <f t="shared" si="1"/>
        <v>0</v>
      </c>
    </row>
    <row r="6" spans="1:11" x14ac:dyDescent="0.35">
      <c r="A6" t="s">
        <v>69</v>
      </c>
      <c r="B6">
        <f>_xlfn.XLOOKUP($A$6,Traditional!$A$2:$A$14,Traditional!$R$2:$R$14,0)</f>
        <v>0</v>
      </c>
      <c r="C6">
        <f>_xlfn.XLOOKUP($A$6,LowEnd!$A$2:$A$14,LowEnd!$R$2:$R$14,0)</f>
        <v>0</v>
      </c>
      <c r="D6">
        <f>_xlfn.XLOOKUP($A$6,HighEnd!$A$2:$A$14,HighEnd!$R$2:$R$14,0)</f>
        <v>0</v>
      </c>
      <c r="E6">
        <f>_xlfn.XLOOKUP($A$6,Performance!$A$2:$A$14,Performance!$R$2:$R$14,0)</f>
        <v>0</v>
      </c>
      <c r="F6">
        <f>_xlfn.XLOOKUP($A$6,Size!$A$2:$A$14,Size!$R$2:$R$14,0)</f>
        <v>1187.2258415094338</v>
      </c>
      <c r="H6">
        <f t="shared" si="0"/>
        <v>1187.2258415094338</v>
      </c>
      <c r="J6">
        <v>0</v>
      </c>
      <c r="K6">
        <f t="shared" si="1"/>
        <v>1187.2258415094338</v>
      </c>
    </row>
    <row r="7" spans="1:11" x14ac:dyDescent="0.35">
      <c r="A7" t="s">
        <v>99</v>
      </c>
      <c r="B7">
        <f>_xlfn.XLOOKUP($A$7,Traditional!$A$2:$A$14,Traditional!$R$2:$R$14,0)</f>
        <v>0</v>
      </c>
      <c r="C7">
        <f>_xlfn.XLOOKUP($A$7,LowEnd!$A$2:$A$14,LowEnd!$R$2:$R$14,0)</f>
        <v>0</v>
      </c>
      <c r="D7">
        <f>_xlfn.XLOOKUP($A$7,HighEnd!$A$2:$A$14,HighEnd!$R$2:$R$14,0)</f>
        <v>0</v>
      </c>
      <c r="E7">
        <f>_xlfn.XLOOKUP($A$7,Performance!$A$2:$A$14,Performance!$R$2:$R$14,0)</f>
        <v>1192.3282442748091</v>
      </c>
      <c r="F7">
        <f>_xlfn.XLOOKUP($A$7,Size!$A$2:$A$14,Size!$R$2:$R$14,0)</f>
        <v>0</v>
      </c>
      <c r="H7">
        <f t="shared" si="0"/>
        <v>1192.3282442748091</v>
      </c>
      <c r="J7">
        <v>0</v>
      </c>
      <c r="K7">
        <f t="shared" si="1"/>
        <v>1192.3282442748091</v>
      </c>
    </row>
    <row r="8" spans="1:11" x14ac:dyDescent="0.35">
      <c r="A8" t="s">
        <v>129</v>
      </c>
      <c r="B8">
        <f>_xlfn.XLOOKUP($A$8,Traditional!$A$2:$A$14,Traditional!$R$2:$R$14,0)</f>
        <v>0</v>
      </c>
      <c r="C8">
        <f>_xlfn.XLOOKUP($A$8,LowEnd!$A$2:$A$14,LowEnd!$R$2:$R$14,0)</f>
        <v>0</v>
      </c>
      <c r="D8">
        <f>_xlfn.XLOOKUP($A$8,HighEnd!$A$2:$A$14,HighEnd!$R$2:$R$14,0)</f>
        <v>0</v>
      </c>
      <c r="E8">
        <f>_xlfn.XLOOKUP($A$8,Performance!$A$2:$A$14,Performance!$R$2:$R$14,0)</f>
        <v>715.39694656488552</v>
      </c>
      <c r="F8">
        <f>_xlfn.XLOOKUP($A$8,Size!$A$2:$A$14,Size!$R$2:$R$14,0)</f>
        <v>0</v>
      </c>
      <c r="H8">
        <f t="shared" si="0"/>
        <v>715.39694656488552</v>
      </c>
      <c r="J8">
        <v>0</v>
      </c>
      <c r="K8">
        <f t="shared" si="1"/>
        <v>715.39694656488552</v>
      </c>
    </row>
    <row r="9" spans="1:11" x14ac:dyDescent="0.35">
      <c r="A9" t="s">
        <v>158</v>
      </c>
      <c r="D9">
        <f>_xlfn.XLOOKUP($A$9,HighEnd!$A$2:$A$14,HighEnd!$R$2:$R$14,0)</f>
        <v>406.74606741573029</v>
      </c>
      <c r="H9">
        <f t="shared" si="0"/>
        <v>406.74606741573029</v>
      </c>
      <c r="J9">
        <v>0</v>
      </c>
      <c r="K9">
        <f t="shared" si="1"/>
        <v>406.74606741573029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CA68D-5F42-4709-86CD-9ED5B36105F3}">
  <dimension ref="A1:K6"/>
  <sheetViews>
    <sheetView topLeftCell="C1" workbookViewId="0">
      <selection activeCell="K2" sqref="K2"/>
    </sheetView>
  </sheetViews>
  <sheetFormatPr defaultRowHeight="14.5" x14ac:dyDescent="0.35"/>
  <sheetData>
    <row r="1" spans="1:11" ht="71" thickBot="1" x14ac:dyDescent="0.4">
      <c r="A1" s="52" t="s">
        <v>120</v>
      </c>
      <c r="B1" s="52" t="s">
        <v>121</v>
      </c>
      <c r="C1" s="52" t="s">
        <v>122</v>
      </c>
      <c r="D1" s="52" t="s">
        <v>123</v>
      </c>
      <c r="E1" s="52" t="s">
        <v>124</v>
      </c>
      <c r="F1" s="56" t="s">
        <v>125</v>
      </c>
      <c r="H1" s="62" t="s">
        <v>126</v>
      </c>
      <c r="I1" s="62" t="s">
        <v>127</v>
      </c>
      <c r="J1" s="62" t="s">
        <v>128</v>
      </c>
    </row>
    <row r="2" spans="1:11" ht="28.5" thickBot="1" x14ac:dyDescent="0.4">
      <c r="A2" s="53" t="s">
        <v>0</v>
      </c>
      <c r="B2" s="54">
        <v>3.8</v>
      </c>
      <c r="C2" s="54">
        <v>7.8</v>
      </c>
      <c r="D2" s="55">
        <v>14000</v>
      </c>
      <c r="E2" s="54">
        <v>30</v>
      </c>
      <c r="F2" s="57">
        <v>8</v>
      </c>
      <c r="H2" s="2">
        <f>((D2*0.3)/1000)+B2</f>
        <v>8</v>
      </c>
      <c r="I2">
        <f>(11.2-(1.12*F2))+1.12</f>
        <v>3.3599999999999985</v>
      </c>
      <c r="J2" s="2">
        <f>E2-H2-I2</f>
        <v>18.64</v>
      </c>
      <c r="K2">
        <f>J2/E2</f>
        <v>0.6213333333333334</v>
      </c>
    </row>
    <row r="3" spans="1:11" ht="28.5" thickBot="1" x14ac:dyDescent="0.4">
      <c r="A3" s="53" t="s">
        <v>94</v>
      </c>
      <c r="B3" s="54">
        <v>1</v>
      </c>
      <c r="C3" s="54">
        <v>5</v>
      </c>
      <c r="D3" s="55">
        <v>12000</v>
      </c>
      <c r="E3" s="54">
        <v>25</v>
      </c>
      <c r="F3" s="57">
        <v>10</v>
      </c>
      <c r="H3" s="2">
        <f t="shared" ref="H3:H5" si="0">((D3*0.3)/1000)+B3</f>
        <v>4.5999999999999996</v>
      </c>
      <c r="I3">
        <f t="shared" ref="I3:I6" si="1">(11.2-(1.12*F3))+1.12</f>
        <v>1.1199999999999983</v>
      </c>
      <c r="J3" s="2">
        <f t="shared" ref="J3:J6" si="2">E3-H3-I3</f>
        <v>19.28</v>
      </c>
      <c r="K3">
        <f t="shared" ref="K3:K6" si="3">J3/E3</f>
        <v>0.7712</v>
      </c>
    </row>
    <row r="4" spans="1:11" ht="28.5" thickBot="1" x14ac:dyDescent="0.4">
      <c r="A4" s="53" t="s">
        <v>101</v>
      </c>
      <c r="B4" s="54">
        <v>6</v>
      </c>
      <c r="C4" s="54">
        <v>10</v>
      </c>
      <c r="D4" s="55">
        <v>20000</v>
      </c>
      <c r="E4" s="54">
        <v>40</v>
      </c>
      <c r="F4" s="57">
        <v>5</v>
      </c>
      <c r="H4" s="2">
        <f t="shared" si="0"/>
        <v>12</v>
      </c>
      <c r="I4">
        <f t="shared" si="1"/>
        <v>6.7199999999999989</v>
      </c>
      <c r="J4" s="2">
        <f t="shared" si="2"/>
        <v>21.28</v>
      </c>
      <c r="K4">
        <f t="shared" si="3"/>
        <v>0.53200000000000003</v>
      </c>
    </row>
    <row r="5" spans="1:11" ht="28.5" thickBot="1" x14ac:dyDescent="0.4">
      <c r="A5" s="53" t="s">
        <v>96</v>
      </c>
      <c r="B5" s="54">
        <v>4.5</v>
      </c>
      <c r="C5" s="54">
        <v>8.5</v>
      </c>
      <c r="D5" s="55">
        <v>22000</v>
      </c>
      <c r="E5" s="54">
        <v>35</v>
      </c>
      <c r="F5" s="57">
        <v>6</v>
      </c>
      <c r="H5" s="2">
        <f t="shared" si="0"/>
        <v>11.1</v>
      </c>
      <c r="I5">
        <f t="shared" si="1"/>
        <v>5.5999999999999988</v>
      </c>
      <c r="J5" s="2">
        <f t="shared" si="2"/>
        <v>18.3</v>
      </c>
      <c r="K5">
        <f t="shared" si="3"/>
        <v>0.52285714285714291</v>
      </c>
    </row>
    <row r="6" spans="1:11" ht="15" thickBot="1" x14ac:dyDescent="0.4">
      <c r="A6" s="58" t="s">
        <v>97</v>
      </c>
      <c r="B6" s="59">
        <v>4.5</v>
      </c>
      <c r="C6" s="59">
        <v>8.5</v>
      </c>
      <c r="D6" s="60">
        <v>16000</v>
      </c>
      <c r="E6" s="59">
        <v>35</v>
      </c>
      <c r="F6" s="61">
        <v>6</v>
      </c>
      <c r="H6" s="2">
        <f>((D6*0.3)/1000)+B6</f>
        <v>9.3000000000000007</v>
      </c>
      <c r="I6">
        <f t="shared" si="1"/>
        <v>5.5999999999999988</v>
      </c>
      <c r="J6" s="2">
        <f t="shared" si="2"/>
        <v>20.100000000000001</v>
      </c>
      <c r="K6">
        <f t="shared" si="3"/>
        <v>0.57428571428571429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B609-E6FB-424C-89B4-237F5C41539E}">
  <dimension ref="A1:R33"/>
  <sheetViews>
    <sheetView topLeftCell="A14" workbookViewId="0">
      <selection activeCell="B26" sqref="B26"/>
    </sheetView>
  </sheetViews>
  <sheetFormatPr defaultRowHeight="13" x14ac:dyDescent="0.3"/>
  <cols>
    <col min="1" max="3" width="8.81640625" style="4" bestFit="1" customWidth="1"/>
    <col min="4" max="4" width="9.90625" style="4" bestFit="1" customWidth="1"/>
    <col min="5" max="5" width="8.7265625" style="4"/>
    <col min="6" max="15" width="8.81640625" style="4" bestFit="1" customWidth="1"/>
    <col min="16" max="16" width="8.81640625" style="4" customWidth="1"/>
    <col min="17" max="18" width="8.81640625" style="4" bestFit="1" customWidth="1"/>
    <col min="19" max="16384" width="8.7265625" style="4"/>
  </cols>
  <sheetData>
    <row r="1" spans="1:18" ht="25" x14ac:dyDescent="0.3">
      <c r="A1" s="108" t="s">
        <v>1</v>
      </c>
      <c r="B1" s="103" t="s">
        <v>2</v>
      </c>
      <c r="C1" s="103" t="s">
        <v>3</v>
      </c>
      <c r="D1" s="77" t="s">
        <v>4</v>
      </c>
      <c r="E1" s="104" t="s">
        <v>6</v>
      </c>
      <c r="F1" s="103" t="s">
        <v>7</v>
      </c>
      <c r="G1" s="103" t="s">
        <v>8</v>
      </c>
      <c r="H1" s="76" t="s">
        <v>9</v>
      </c>
      <c r="I1" s="103" t="s">
        <v>11</v>
      </c>
      <c r="J1" s="103" t="s">
        <v>12</v>
      </c>
      <c r="K1" s="76" t="s">
        <v>13</v>
      </c>
      <c r="L1" s="77" t="s">
        <v>15</v>
      </c>
      <c r="M1" s="103" t="s">
        <v>17</v>
      </c>
      <c r="N1" s="77" t="s">
        <v>18</v>
      </c>
      <c r="O1" s="104" t="s">
        <v>20</v>
      </c>
      <c r="P1" s="6" t="s">
        <v>93</v>
      </c>
      <c r="Q1" s="4" t="s">
        <v>34</v>
      </c>
      <c r="R1" s="4" t="s">
        <v>51</v>
      </c>
    </row>
    <row r="2" spans="1:18" x14ac:dyDescent="0.3">
      <c r="A2" s="108"/>
      <c r="B2" s="103"/>
      <c r="C2" s="103"/>
      <c r="D2" s="77" t="s">
        <v>5</v>
      </c>
      <c r="E2" s="104"/>
      <c r="F2" s="103"/>
      <c r="G2" s="103"/>
      <c r="H2" s="76" t="s">
        <v>10</v>
      </c>
      <c r="I2" s="103"/>
      <c r="J2" s="103"/>
      <c r="K2" s="76" t="s">
        <v>14</v>
      </c>
      <c r="L2" s="77" t="s">
        <v>16</v>
      </c>
      <c r="M2" s="103"/>
      <c r="N2" s="77" t="s">
        <v>19</v>
      </c>
      <c r="O2" s="104"/>
      <c r="P2" s="6"/>
    </row>
    <row r="3" spans="1:18" x14ac:dyDescent="0.3">
      <c r="A3" s="75" t="s">
        <v>24</v>
      </c>
      <c r="B3" s="78">
        <v>0.25</v>
      </c>
      <c r="C3" s="79">
        <v>2541</v>
      </c>
      <c r="D3" s="80">
        <v>48152</v>
      </c>
      <c r="E3" s="77"/>
      <c r="F3" s="77">
        <v>10.7</v>
      </c>
      <c r="G3" s="77">
        <v>9.1</v>
      </c>
      <c r="H3" s="81">
        <v>26.5</v>
      </c>
      <c r="I3" s="76">
        <v>17500</v>
      </c>
      <c r="J3" s="76">
        <v>1.35</v>
      </c>
      <c r="K3" s="82">
        <v>1250</v>
      </c>
      <c r="L3" s="83">
        <v>0.94</v>
      </c>
      <c r="M3" s="82">
        <v>1250</v>
      </c>
      <c r="N3" s="83">
        <v>0.83</v>
      </c>
      <c r="O3" s="77">
        <v>28</v>
      </c>
      <c r="P3" s="6">
        <f>C3*(1+$B$25)</f>
        <v>2777.3130000000001</v>
      </c>
      <c r="Q3" s="7">
        <f>O3/$O$15</f>
        <v>0.11428571428571428</v>
      </c>
      <c r="R3" s="4">
        <f>Q3*$B$26</f>
        <v>1272.8765714285714</v>
      </c>
    </row>
    <row r="4" spans="1:18" x14ac:dyDescent="0.3">
      <c r="A4" s="75" t="s">
        <v>131</v>
      </c>
      <c r="B4" s="78">
        <v>0.2</v>
      </c>
      <c r="C4" s="79">
        <v>1997</v>
      </c>
      <c r="D4" s="80">
        <v>48125</v>
      </c>
      <c r="E4" s="77"/>
      <c r="F4" s="77">
        <v>10</v>
      </c>
      <c r="G4" s="77">
        <v>9.8000000000000007</v>
      </c>
      <c r="H4" s="81">
        <v>27.5</v>
      </c>
      <c r="I4" s="76">
        <v>17500</v>
      </c>
      <c r="J4" s="76">
        <v>1.28</v>
      </c>
      <c r="K4" s="82">
        <v>1250</v>
      </c>
      <c r="L4" s="83">
        <v>0.9</v>
      </c>
      <c r="M4" s="82">
        <v>1250</v>
      </c>
      <c r="N4" s="83">
        <v>0.83</v>
      </c>
      <c r="O4" s="77">
        <v>28</v>
      </c>
      <c r="P4" s="6">
        <f t="shared" ref="P4:P14" si="0">C4*(1+$B$25)</f>
        <v>2182.721</v>
      </c>
      <c r="Q4" s="7">
        <f t="shared" ref="Q4:Q14" si="1">O4/$O$15</f>
        <v>0.11428571428571428</v>
      </c>
      <c r="R4" s="4">
        <f t="shared" ref="R4:R14" si="2">Q4*$B$26</f>
        <v>1272.8765714285714</v>
      </c>
    </row>
    <row r="5" spans="1:18" x14ac:dyDescent="0.3">
      <c r="A5" s="75" t="s">
        <v>61</v>
      </c>
      <c r="B5" s="78">
        <v>0.17</v>
      </c>
      <c r="C5" s="79">
        <v>1683</v>
      </c>
      <c r="D5" s="80">
        <v>47978</v>
      </c>
      <c r="E5" s="77" t="s">
        <v>23</v>
      </c>
      <c r="F5" s="77">
        <v>9.5</v>
      </c>
      <c r="G5" s="77">
        <v>10.4</v>
      </c>
      <c r="H5" s="81">
        <v>26</v>
      </c>
      <c r="I5" s="76">
        <v>17000</v>
      </c>
      <c r="J5" s="76">
        <v>1.67</v>
      </c>
      <c r="K5" s="82">
        <v>1500</v>
      </c>
      <c r="L5" s="83">
        <v>1</v>
      </c>
      <c r="M5" s="82">
        <v>2000</v>
      </c>
      <c r="N5" s="83">
        <v>1</v>
      </c>
      <c r="O5" s="77">
        <v>58</v>
      </c>
      <c r="P5" s="6">
        <f t="shared" si="0"/>
        <v>1839.519</v>
      </c>
      <c r="Q5" s="7">
        <f t="shared" si="1"/>
        <v>0.23673469387755103</v>
      </c>
      <c r="R5" s="4">
        <f t="shared" si="2"/>
        <v>2636.672897959184</v>
      </c>
    </row>
    <row r="6" spans="1:18" x14ac:dyDescent="0.3">
      <c r="A6" s="75" t="s">
        <v>64</v>
      </c>
      <c r="B6" s="78">
        <v>0.17</v>
      </c>
      <c r="C6" s="79">
        <v>1683</v>
      </c>
      <c r="D6" s="80">
        <v>48023</v>
      </c>
      <c r="E6" s="77" t="s">
        <v>23</v>
      </c>
      <c r="F6" s="77">
        <v>9</v>
      </c>
      <c r="G6" s="77">
        <v>10.6</v>
      </c>
      <c r="H6" s="81">
        <v>26.5</v>
      </c>
      <c r="I6" s="76">
        <v>17000</v>
      </c>
      <c r="J6" s="76">
        <v>1.4</v>
      </c>
      <c r="K6" s="82">
        <v>1500</v>
      </c>
      <c r="L6" s="83">
        <v>1</v>
      </c>
      <c r="M6" s="82">
        <v>2000</v>
      </c>
      <c r="N6" s="83">
        <v>1</v>
      </c>
      <c r="O6" s="77">
        <v>47</v>
      </c>
      <c r="P6" s="6">
        <f t="shared" si="0"/>
        <v>1839.519</v>
      </c>
      <c r="Q6" s="7">
        <f t="shared" si="1"/>
        <v>0.19183673469387755</v>
      </c>
      <c r="R6" s="4">
        <f t="shared" si="2"/>
        <v>2136.614244897959</v>
      </c>
    </row>
    <row r="7" spans="1:18" x14ac:dyDescent="0.3">
      <c r="A7" s="75" t="s">
        <v>119</v>
      </c>
      <c r="B7" s="78">
        <v>0.12</v>
      </c>
      <c r="C7" s="79">
        <v>1181</v>
      </c>
      <c r="D7" s="80">
        <v>48098</v>
      </c>
      <c r="E7" s="77" t="s">
        <v>23</v>
      </c>
      <c r="F7" s="77">
        <v>9.1</v>
      </c>
      <c r="G7" s="77">
        <v>10.7</v>
      </c>
      <c r="H7" s="81">
        <v>25.99</v>
      </c>
      <c r="I7" s="76">
        <v>19000</v>
      </c>
      <c r="J7" s="76">
        <v>1.6</v>
      </c>
      <c r="K7" s="82">
        <v>1600</v>
      </c>
      <c r="L7" s="83">
        <v>1</v>
      </c>
      <c r="M7" s="82">
        <v>3000</v>
      </c>
      <c r="N7" s="83">
        <v>0.78</v>
      </c>
      <c r="O7" s="77">
        <v>63</v>
      </c>
      <c r="P7" s="6">
        <f t="shared" si="0"/>
        <v>1290.8329999999999</v>
      </c>
      <c r="Q7" s="7">
        <f t="shared" si="1"/>
        <v>0.25714285714285712</v>
      </c>
      <c r="R7" s="4">
        <f t="shared" si="2"/>
        <v>2863.9722857142856</v>
      </c>
    </row>
    <row r="8" spans="1:18" x14ac:dyDescent="0.3">
      <c r="A8" s="75" t="s">
        <v>22</v>
      </c>
      <c r="B8" s="78">
        <v>0.1</v>
      </c>
      <c r="C8" s="76">
        <v>976</v>
      </c>
      <c r="D8" s="80">
        <v>47972</v>
      </c>
      <c r="E8" s="77"/>
      <c r="F8" s="77">
        <v>8.5</v>
      </c>
      <c r="G8" s="77">
        <v>11.8</v>
      </c>
      <c r="H8" s="81">
        <v>26.5</v>
      </c>
      <c r="I8" s="76">
        <v>19000</v>
      </c>
      <c r="J8" s="76">
        <v>1.82</v>
      </c>
      <c r="K8" s="82">
        <v>0</v>
      </c>
      <c r="L8" s="83">
        <v>0.28999999999999998</v>
      </c>
      <c r="M8" s="82">
        <v>0</v>
      </c>
      <c r="N8" s="83">
        <v>0.25</v>
      </c>
      <c r="O8" s="77">
        <v>18</v>
      </c>
      <c r="P8" s="6">
        <f t="shared" si="0"/>
        <v>1066.768</v>
      </c>
      <c r="Q8" s="7">
        <f t="shared" si="1"/>
        <v>7.3469387755102047E-2</v>
      </c>
      <c r="R8" s="4">
        <f t="shared" si="2"/>
        <v>818.27779591836747</v>
      </c>
    </row>
    <row r="9" spans="1:18" x14ac:dyDescent="0.3">
      <c r="A9" s="75" t="s">
        <v>57</v>
      </c>
      <c r="B9" s="78">
        <v>0.01</v>
      </c>
      <c r="C9" s="76">
        <v>119</v>
      </c>
      <c r="D9" s="80">
        <v>47371</v>
      </c>
      <c r="E9" s="77"/>
      <c r="F9" s="77">
        <v>11.5</v>
      </c>
      <c r="G9" s="77">
        <v>8.4</v>
      </c>
      <c r="H9" s="81">
        <v>27.5</v>
      </c>
      <c r="I9" s="76">
        <v>23000</v>
      </c>
      <c r="J9" s="76">
        <v>3.88</v>
      </c>
      <c r="K9" s="82">
        <v>2000</v>
      </c>
      <c r="L9" s="83">
        <v>1</v>
      </c>
      <c r="M9" s="82">
        <v>3000</v>
      </c>
      <c r="N9" s="83">
        <v>0.49</v>
      </c>
      <c r="O9" s="77">
        <v>3</v>
      </c>
      <c r="P9" s="6">
        <f t="shared" si="0"/>
        <v>130.06700000000001</v>
      </c>
      <c r="Q9" s="7">
        <f t="shared" si="1"/>
        <v>1.2244897959183673E-2</v>
      </c>
      <c r="R9" s="4">
        <f t="shared" si="2"/>
        <v>136.37963265306121</v>
      </c>
    </row>
    <row r="10" spans="1:18" x14ac:dyDescent="0.3">
      <c r="A10" s="75" t="s">
        <v>60</v>
      </c>
      <c r="B10" s="78">
        <v>0</v>
      </c>
      <c r="C10" s="76">
        <v>8</v>
      </c>
      <c r="D10" s="80">
        <v>48003</v>
      </c>
      <c r="E10" s="77" t="s">
        <v>23</v>
      </c>
      <c r="F10" s="77">
        <v>15</v>
      </c>
      <c r="G10" s="77">
        <v>12.1</v>
      </c>
      <c r="H10" s="81">
        <v>31</v>
      </c>
      <c r="I10" s="76">
        <v>27000</v>
      </c>
      <c r="J10" s="76">
        <v>2.56</v>
      </c>
      <c r="K10" s="82">
        <v>1500</v>
      </c>
      <c r="L10" s="83">
        <v>0.95</v>
      </c>
      <c r="M10" s="82">
        <v>2500</v>
      </c>
      <c r="N10" s="83">
        <v>0.46</v>
      </c>
      <c r="O10" s="77">
        <v>0</v>
      </c>
      <c r="P10" s="6">
        <f t="shared" si="0"/>
        <v>8.7439999999999998</v>
      </c>
      <c r="Q10" s="7">
        <f t="shared" si="1"/>
        <v>0</v>
      </c>
      <c r="R10" s="4">
        <f t="shared" si="2"/>
        <v>0</v>
      </c>
    </row>
    <row r="11" spans="1:18" x14ac:dyDescent="0.3">
      <c r="A11" s="75" t="s">
        <v>67</v>
      </c>
      <c r="B11" s="78">
        <v>0</v>
      </c>
      <c r="C11" s="76">
        <v>2</v>
      </c>
      <c r="D11" s="80">
        <v>47998</v>
      </c>
      <c r="E11" s="77" t="s">
        <v>23</v>
      </c>
      <c r="F11" s="77">
        <v>8</v>
      </c>
      <c r="G11" s="77">
        <v>5.0999999999999996</v>
      </c>
      <c r="H11" s="81">
        <v>31</v>
      </c>
      <c r="I11" s="76">
        <v>19000</v>
      </c>
      <c r="J11" s="76">
        <v>2.59</v>
      </c>
      <c r="K11" s="82">
        <v>1000</v>
      </c>
      <c r="L11" s="83">
        <v>0.74</v>
      </c>
      <c r="M11" s="82">
        <v>2000</v>
      </c>
      <c r="N11" s="83">
        <v>0.46</v>
      </c>
      <c r="O11" s="77">
        <v>0</v>
      </c>
      <c r="P11" s="6">
        <f t="shared" si="0"/>
        <v>2.1859999999999999</v>
      </c>
      <c r="Q11" s="7">
        <f t="shared" si="1"/>
        <v>0</v>
      </c>
      <c r="R11" s="4">
        <f t="shared" si="2"/>
        <v>0</v>
      </c>
    </row>
    <row r="12" spans="1:18" x14ac:dyDescent="0.3">
      <c r="A12" s="75"/>
      <c r="B12" s="78"/>
      <c r="C12" s="76"/>
      <c r="D12" s="80"/>
      <c r="E12" s="77"/>
      <c r="F12" s="77"/>
      <c r="G12" s="77"/>
      <c r="H12" s="81"/>
      <c r="I12" s="76"/>
      <c r="J12" s="76"/>
      <c r="K12" s="82"/>
      <c r="L12" s="83"/>
      <c r="M12" s="82"/>
      <c r="N12" s="83"/>
      <c r="O12" s="77"/>
      <c r="P12" s="6">
        <f t="shared" si="0"/>
        <v>0</v>
      </c>
      <c r="Q12" s="7">
        <f t="shared" si="1"/>
        <v>0</v>
      </c>
      <c r="R12" s="4">
        <f t="shared" si="2"/>
        <v>0</v>
      </c>
    </row>
    <row r="13" spans="1:18" x14ac:dyDescent="0.3">
      <c r="A13" s="75"/>
      <c r="B13" s="78"/>
      <c r="C13" s="76"/>
      <c r="D13" s="80"/>
      <c r="E13" s="77"/>
      <c r="F13" s="77"/>
      <c r="G13" s="77"/>
      <c r="H13" s="81"/>
      <c r="I13" s="76"/>
      <c r="J13" s="76"/>
      <c r="K13" s="82"/>
      <c r="L13" s="83"/>
      <c r="M13" s="82"/>
      <c r="N13" s="83"/>
      <c r="O13" s="77"/>
      <c r="P13" s="6">
        <f t="shared" si="0"/>
        <v>0</v>
      </c>
      <c r="Q13" s="7">
        <f t="shared" si="1"/>
        <v>0</v>
      </c>
      <c r="R13" s="4">
        <f t="shared" si="2"/>
        <v>0</v>
      </c>
    </row>
    <row r="14" spans="1:18" x14ac:dyDescent="0.3">
      <c r="A14" s="75"/>
      <c r="B14" s="78"/>
      <c r="C14" s="76"/>
      <c r="D14" s="80"/>
      <c r="E14" s="77"/>
      <c r="F14" s="77"/>
      <c r="G14" s="77"/>
      <c r="H14" s="81"/>
      <c r="I14" s="76"/>
      <c r="J14" s="76"/>
      <c r="K14" s="82"/>
      <c r="L14" s="83"/>
      <c r="M14" s="82"/>
      <c r="N14" s="83"/>
      <c r="O14" s="77"/>
      <c r="P14" s="6">
        <f t="shared" si="0"/>
        <v>0</v>
      </c>
      <c r="Q14" s="7">
        <f t="shared" si="1"/>
        <v>0</v>
      </c>
      <c r="R14" s="4">
        <f t="shared" si="2"/>
        <v>0</v>
      </c>
    </row>
    <row r="15" spans="1:18" x14ac:dyDescent="0.3">
      <c r="A15" s="5" t="s">
        <v>52</v>
      </c>
      <c r="O15" s="4">
        <f>SUM(O3:O14)</f>
        <v>245</v>
      </c>
    </row>
    <row r="17" spans="1:4" ht="29" customHeight="1" x14ac:dyDescent="0.3">
      <c r="A17" s="29" t="s">
        <v>35</v>
      </c>
      <c r="B17" s="30"/>
      <c r="C17" s="10"/>
      <c r="D17" s="11"/>
    </row>
    <row r="18" spans="1:4" x14ac:dyDescent="0.3">
      <c r="A18" s="75" t="s">
        <v>36</v>
      </c>
      <c r="B18" s="79">
        <v>10190</v>
      </c>
      <c r="D18" s="12"/>
    </row>
    <row r="19" spans="1:4" x14ac:dyDescent="0.3">
      <c r="A19" s="75" t="s">
        <v>37</v>
      </c>
      <c r="B19" s="79">
        <v>10190</v>
      </c>
      <c r="D19" s="12"/>
    </row>
    <row r="20" spans="1:4" x14ac:dyDescent="0.3">
      <c r="A20" s="75" t="s">
        <v>38</v>
      </c>
      <c r="B20" s="84">
        <v>0.28000000000000003</v>
      </c>
      <c r="D20" s="12"/>
    </row>
    <row r="21" spans="1:4" x14ac:dyDescent="0.3">
      <c r="A21" s="13"/>
      <c r="D21" s="12"/>
    </row>
    <row r="22" spans="1:4" x14ac:dyDescent="0.3">
      <c r="A22" s="13"/>
      <c r="D22" s="12"/>
    </row>
    <row r="23" spans="1:4" x14ac:dyDescent="0.3">
      <c r="A23" s="14"/>
      <c r="B23" s="15"/>
      <c r="C23" s="15"/>
      <c r="D23" s="16"/>
    </row>
    <row r="24" spans="1:4" x14ac:dyDescent="0.3">
      <c r="A24" s="105"/>
      <c r="B24" s="106"/>
      <c r="C24" s="106"/>
      <c r="D24" s="107"/>
    </row>
    <row r="25" spans="1:4" ht="62.5" x14ac:dyDescent="0.3">
      <c r="A25" s="5" t="s">
        <v>39</v>
      </c>
      <c r="B25" s="85">
        <v>9.2999999999999999E-2</v>
      </c>
      <c r="D25" s="12"/>
    </row>
    <row r="26" spans="1:4" ht="13.5" thickBot="1" x14ac:dyDescent="0.35">
      <c r="A26" s="27" t="s">
        <v>50</v>
      </c>
      <c r="B26" s="28">
        <f>(1+B25)*B19</f>
        <v>11137.67</v>
      </c>
      <c r="C26" s="17"/>
      <c r="D26" s="18"/>
    </row>
    <row r="27" spans="1:4" x14ac:dyDescent="0.3">
      <c r="A27" s="100"/>
      <c r="B27" s="101"/>
      <c r="C27" s="101"/>
      <c r="D27" s="102"/>
    </row>
    <row r="28" spans="1:4" ht="14.5" customHeight="1" x14ac:dyDescent="0.3">
      <c r="A28" s="97" t="s">
        <v>40</v>
      </c>
      <c r="B28" s="98"/>
      <c r="C28" s="98"/>
      <c r="D28" s="99"/>
    </row>
    <row r="29" spans="1:4" ht="26" x14ac:dyDescent="0.3">
      <c r="A29" s="19"/>
      <c r="B29" s="20"/>
      <c r="C29" s="21" t="s">
        <v>41</v>
      </c>
      <c r="D29" s="22" t="s">
        <v>42</v>
      </c>
    </row>
    <row r="30" spans="1:4" ht="25" x14ac:dyDescent="0.3">
      <c r="A30" s="5">
        <v>1</v>
      </c>
      <c r="B30" s="23" t="s">
        <v>43</v>
      </c>
      <c r="C30" s="6" t="s">
        <v>44</v>
      </c>
      <c r="D30" s="24">
        <v>0.47</v>
      </c>
    </row>
    <row r="31" spans="1:4" ht="25" x14ac:dyDescent="0.3">
      <c r="A31" s="5">
        <v>2</v>
      </c>
      <c r="B31" s="23" t="s">
        <v>10</v>
      </c>
      <c r="C31" s="6" t="s">
        <v>45</v>
      </c>
      <c r="D31" s="24">
        <v>0.23</v>
      </c>
    </row>
    <row r="32" spans="1:4" ht="25" x14ac:dyDescent="0.3">
      <c r="A32" s="5">
        <v>3</v>
      </c>
      <c r="B32" s="23" t="s">
        <v>46</v>
      </c>
      <c r="C32" s="6" t="s">
        <v>47</v>
      </c>
      <c r="D32" s="24">
        <v>0.21</v>
      </c>
    </row>
    <row r="33" spans="1:4" ht="37.5" x14ac:dyDescent="0.3">
      <c r="A33" s="8">
        <v>4</v>
      </c>
      <c r="B33" s="25" t="s">
        <v>48</v>
      </c>
      <c r="C33" s="9" t="s">
        <v>49</v>
      </c>
      <c r="D33" s="26">
        <v>0.09</v>
      </c>
    </row>
  </sheetData>
  <mergeCells count="13">
    <mergeCell ref="O1:O2"/>
    <mergeCell ref="A24:D24"/>
    <mergeCell ref="A1:A2"/>
    <mergeCell ref="B1:B2"/>
    <mergeCell ref="C1:C2"/>
    <mergeCell ref="E1:E2"/>
    <mergeCell ref="F1:F2"/>
    <mergeCell ref="G1:G2"/>
    <mergeCell ref="A28:D28"/>
    <mergeCell ref="A27:D27"/>
    <mergeCell ref="I1:I2"/>
    <mergeCell ref="J1:J2"/>
    <mergeCell ref="M1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BB15-A22E-4847-98F5-9EC016308FEA}">
  <dimension ref="A1:R33"/>
  <sheetViews>
    <sheetView topLeftCell="A12" workbookViewId="0">
      <selection activeCell="B26" sqref="B26"/>
    </sheetView>
  </sheetViews>
  <sheetFormatPr defaultRowHeight="14.5" x14ac:dyDescent="0.35"/>
  <cols>
    <col min="4" max="4" width="10.08984375" bestFit="1" customWidth="1"/>
  </cols>
  <sheetData>
    <row r="1" spans="1:18" ht="25" x14ac:dyDescent="0.35">
      <c r="A1" s="108" t="s">
        <v>1</v>
      </c>
      <c r="B1" s="103" t="s">
        <v>2</v>
      </c>
      <c r="C1" s="103" t="s">
        <v>3</v>
      </c>
      <c r="D1" s="77" t="s">
        <v>4</v>
      </c>
      <c r="E1" s="104" t="s">
        <v>6</v>
      </c>
      <c r="F1" s="103" t="s">
        <v>7</v>
      </c>
      <c r="G1" s="103" t="s">
        <v>8</v>
      </c>
      <c r="H1" s="76" t="s">
        <v>9</v>
      </c>
      <c r="I1" s="103" t="s">
        <v>11</v>
      </c>
      <c r="J1" s="103" t="s">
        <v>12</v>
      </c>
      <c r="K1" s="76" t="s">
        <v>13</v>
      </c>
      <c r="L1" s="77" t="s">
        <v>15</v>
      </c>
      <c r="M1" s="103" t="s">
        <v>17</v>
      </c>
      <c r="N1" s="77" t="s">
        <v>18</v>
      </c>
      <c r="O1" s="104" t="s">
        <v>20</v>
      </c>
      <c r="P1" s="6" t="s">
        <v>93</v>
      </c>
      <c r="Q1" s="4" t="s">
        <v>34</v>
      </c>
      <c r="R1" s="4" t="s">
        <v>51</v>
      </c>
    </row>
    <row r="2" spans="1:18" x14ac:dyDescent="0.35">
      <c r="A2" s="108"/>
      <c r="B2" s="103"/>
      <c r="C2" s="103"/>
      <c r="D2" s="77" t="s">
        <v>5</v>
      </c>
      <c r="E2" s="104"/>
      <c r="F2" s="103"/>
      <c r="G2" s="103"/>
      <c r="H2" s="76" t="s">
        <v>10</v>
      </c>
      <c r="I2" s="103"/>
      <c r="J2" s="103"/>
      <c r="K2" s="76" t="s">
        <v>14</v>
      </c>
      <c r="L2" s="77" t="s">
        <v>16</v>
      </c>
      <c r="M2" s="103"/>
      <c r="N2" s="77" t="s">
        <v>19</v>
      </c>
      <c r="O2" s="104"/>
      <c r="Q2" s="4"/>
      <c r="R2" s="4"/>
    </row>
    <row r="3" spans="1:18" x14ac:dyDescent="0.35">
      <c r="A3" s="75" t="s">
        <v>32</v>
      </c>
      <c r="B3" s="78">
        <v>0.19</v>
      </c>
      <c r="C3" s="79">
        <v>2574</v>
      </c>
      <c r="D3" s="80">
        <v>47473</v>
      </c>
      <c r="E3" s="77" t="s">
        <v>23</v>
      </c>
      <c r="F3" s="77">
        <v>4.7</v>
      </c>
      <c r="G3" s="77">
        <v>15.1</v>
      </c>
      <c r="H3" s="81">
        <v>17.75</v>
      </c>
      <c r="I3" s="76">
        <v>13500</v>
      </c>
      <c r="J3" s="76">
        <v>6.81</v>
      </c>
      <c r="K3" s="82">
        <v>1250</v>
      </c>
      <c r="L3" s="83">
        <v>0.84</v>
      </c>
      <c r="M3" s="82">
        <v>2100</v>
      </c>
      <c r="N3" s="83">
        <v>0.99</v>
      </c>
      <c r="O3" s="77">
        <v>42</v>
      </c>
      <c r="P3" s="6">
        <f>C3*(1+$B$25)</f>
        <v>2882.88</v>
      </c>
      <c r="Q3" s="7">
        <f t="shared" ref="Q3:Q14" si="0">O3/$O$15</f>
        <v>0.2857142857142857</v>
      </c>
      <c r="R3" s="4">
        <f>Q3*$B$26</f>
        <v>4353.28</v>
      </c>
    </row>
    <row r="4" spans="1:18" x14ac:dyDescent="0.35">
      <c r="A4" s="75" t="s">
        <v>31</v>
      </c>
      <c r="B4" s="78">
        <v>0.15</v>
      </c>
      <c r="C4" s="79">
        <v>1994</v>
      </c>
      <c r="D4" s="80">
        <v>48194</v>
      </c>
      <c r="E4" s="77" t="s">
        <v>23</v>
      </c>
      <c r="F4" s="77">
        <v>4.8</v>
      </c>
      <c r="G4" s="77">
        <v>14.9</v>
      </c>
      <c r="H4" s="81">
        <v>18.989999999999998</v>
      </c>
      <c r="I4" s="76">
        <v>14000</v>
      </c>
      <c r="J4" s="76">
        <v>3.53</v>
      </c>
      <c r="K4" s="82">
        <v>1890</v>
      </c>
      <c r="L4" s="83">
        <v>1</v>
      </c>
      <c r="M4" s="82">
        <v>3000</v>
      </c>
      <c r="N4" s="83">
        <v>0.78</v>
      </c>
      <c r="O4" s="77">
        <v>23</v>
      </c>
      <c r="P4" s="6">
        <f t="shared" ref="P4:P14" si="1">C4*(1+$B$25)</f>
        <v>2233.2800000000002</v>
      </c>
      <c r="Q4" s="7">
        <f t="shared" si="0"/>
        <v>0.15646258503401361</v>
      </c>
      <c r="R4" s="4">
        <f t="shared" ref="R4:R14" si="2">Q4*$B$26</f>
        <v>2383.9390476190479</v>
      </c>
    </row>
    <row r="5" spans="1:18" x14ac:dyDescent="0.35">
      <c r="A5" s="75" t="s">
        <v>27</v>
      </c>
      <c r="B5" s="78">
        <v>0.15</v>
      </c>
      <c r="C5" s="79">
        <v>1980</v>
      </c>
      <c r="D5" s="80">
        <v>48187</v>
      </c>
      <c r="E5" s="77" t="s">
        <v>23</v>
      </c>
      <c r="F5" s="77">
        <v>5.0999999999999996</v>
      </c>
      <c r="G5" s="77">
        <v>14.6</v>
      </c>
      <c r="H5" s="81">
        <v>20</v>
      </c>
      <c r="I5" s="76">
        <v>14500</v>
      </c>
      <c r="J5" s="76">
        <v>3.51</v>
      </c>
      <c r="K5" s="82">
        <v>1550</v>
      </c>
      <c r="L5" s="83">
        <v>1</v>
      </c>
      <c r="M5" s="82">
        <v>2250</v>
      </c>
      <c r="N5" s="83">
        <v>0.99</v>
      </c>
      <c r="O5" s="77">
        <v>16</v>
      </c>
      <c r="P5" s="6">
        <f t="shared" si="1"/>
        <v>2217.6000000000004</v>
      </c>
      <c r="Q5" s="7">
        <f t="shared" si="0"/>
        <v>0.10884353741496598</v>
      </c>
      <c r="R5" s="4">
        <f t="shared" si="2"/>
        <v>1658.392380952381</v>
      </c>
    </row>
    <row r="6" spans="1:18" x14ac:dyDescent="0.35">
      <c r="A6" s="75" t="s">
        <v>21</v>
      </c>
      <c r="B6" s="78">
        <v>0.13</v>
      </c>
      <c r="C6" s="79">
        <v>1782</v>
      </c>
      <c r="D6" s="80">
        <v>46569</v>
      </c>
      <c r="E6" s="77" t="s">
        <v>23</v>
      </c>
      <c r="F6" s="77">
        <v>5.8</v>
      </c>
      <c r="G6" s="77">
        <v>14</v>
      </c>
      <c r="H6" s="81">
        <v>19.5</v>
      </c>
      <c r="I6" s="76">
        <v>16500</v>
      </c>
      <c r="J6" s="76">
        <v>5.73</v>
      </c>
      <c r="K6" s="82">
        <v>1500</v>
      </c>
      <c r="L6" s="83">
        <v>1</v>
      </c>
      <c r="M6" s="82">
        <v>3000</v>
      </c>
      <c r="N6" s="83">
        <v>0.96</v>
      </c>
      <c r="O6" s="77">
        <v>26</v>
      </c>
      <c r="P6" s="6">
        <f t="shared" si="1"/>
        <v>1995.8400000000001</v>
      </c>
      <c r="Q6" s="7">
        <f t="shared" si="0"/>
        <v>0.17687074829931973</v>
      </c>
      <c r="R6" s="4">
        <f t="shared" si="2"/>
        <v>2694.8876190476194</v>
      </c>
    </row>
    <row r="7" spans="1:18" x14ac:dyDescent="0.35">
      <c r="A7" s="75" t="s">
        <v>28</v>
      </c>
      <c r="B7" s="78">
        <v>0.13</v>
      </c>
      <c r="C7" s="79">
        <v>1782</v>
      </c>
      <c r="D7" s="80">
        <v>47774</v>
      </c>
      <c r="E7" s="77" t="s">
        <v>23</v>
      </c>
      <c r="F7" s="77">
        <v>4.4000000000000004</v>
      </c>
      <c r="G7" s="77">
        <v>15.8</v>
      </c>
      <c r="H7" s="81">
        <v>19.5</v>
      </c>
      <c r="I7" s="76">
        <v>14000</v>
      </c>
      <c r="J7" s="76">
        <v>4.7699999999999996</v>
      </c>
      <c r="K7" s="82">
        <v>1250</v>
      </c>
      <c r="L7" s="83">
        <v>0.94</v>
      </c>
      <c r="M7" s="82">
        <v>2000</v>
      </c>
      <c r="N7" s="83">
        <v>0.55000000000000004</v>
      </c>
      <c r="O7" s="77">
        <v>20</v>
      </c>
      <c r="P7" s="6">
        <f t="shared" si="1"/>
        <v>1995.8400000000001</v>
      </c>
      <c r="Q7" s="7">
        <f t="shared" si="0"/>
        <v>0.1360544217687075</v>
      </c>
      <c r="R7" s="4">
        <f t="shared" si="2"/>
        <v>2072.9904761904768</v>
      </c>
    </row>
    <row r="8" spans="1:18" x14ac:dyDescent="0.35">
      <c r="A8" s="75" t="s">
        <v>29</v>
      </c>
      <c r="B8" s="78">
        <v>0.12</v>
      </c>
      <c r="C8" s="79">
        <v>1651</v>
      </c>
      <c r="D8" s="80">
        <v>47615</v>
      </c>
      <c r="E8" s="77"/>
      <c r="F8" s="77">
        <v>4.0999999999999996</v>
      </c>
      <c r="G8" s="77">
        <v>16</v>
      </c>
      <c r="H8" s="81">
        <v>19</v>
      </c>
      <c r="I8" s="76">
        <v>24000</v>
      </c>
      <c r="J8" s="76">
        <v>4.5599999999999996</v>
      </c>
      <c r="K8" s="82">
        <v>0</v>
      </c>
      <c r="L8" s="83">
        <v>0.27</v>
      </c>
      <c r="M8" s="82">
        <v>0</v>
      </c>
      <c r="N8" s="83">
        <v>0.24</v>
      </c>
      <c r="O8" s="77">
        <v>10</v>
      </c>
      <c r="P8" s="6">
        <f t="shared" si="1"/>
        <v>1849.1200000000001</v>
      </c>
      <c r="Q8" s="7">
        <f t="shared" si="0"/>
        <v>6.8027210884353748E-2</v>
      </c>
      <c r="R8" s="4">
        <f t="shared" si="2"/>
        <v>1036.4952380952384</v>
      </c>
    </row>
    <row r="9" spans="1:18" x14ac:dyDescent="0.35">
      <c r="A9" s="75" t="s">
        <v>30</v>
      </c>
      <c r="B9" s="78">
        <v>0.12</v>
      </c>
      <c r="C9" s="79">
        <v>1582</v>
      </c>
      <c r="D9" s="80">
        <v>47664</v>
      </c>
      <c r="E9" s="77"/>
      <c r="F9" s="77">
        <v>4.7</v>
      </c>
      <c r="G9" s="77">
        <v>15.5</v>
      </c>
      <c r="H9" s="81">
        <v>20</v>
      </c>
      <c r="I9" s="76">
        <v>10000</v>
      </c>
      <c r="J9" s="76">
        <v>4.3099999999999996</v>
      </c>
      <c r="K9" s="82">
        <v>1000</v>
      </c>
      <c r="L9" s="83">
        <v>0.88</v>
      </c>
      <c r="M9" s="82">
        <v>2000</v>
      </c>
      <c r="N9" s="83">
        <v>0.74</v>
      </c>
      <c r="O9" s="77">
        <v>10</v>
      </c>
      <c r="P9" s="6">
        <f t="shared" si="1"/>
        <v>1771.8400000000001</v>
      </c>
      <c r="Q9" s="7">
        <f t="shared" si="0"/>
        <v>6.8027210884353748E-2</v>
      </c>
      <c r="R9" s="4">
        <f t="shared" si="2"/>
        <v>1036.4952380952384</v>
      </c>
    </row>
    <row r="10" spans="1:18" x14ac:dyDescent="0.35">
      <c r="A10" s="75" t="s">
        <v>33</v>
      </c>
      <c r="B10" s="78">
        <v>0.02</v>
      </c>
      <c r="C10" s="76">
        <v>258</v>
      </c>
      <c r="D10" s="80">
        <v>43975</v>
      </c>
      <c r="E10" s="77"/>
      <c r="F10" s="77">
        <v>2.4</v>
      </c>
      <c r="G10" s="77">
        <v>17.399999999999999</v>
      </c>
      <c r="H10" s="81">
        <v>17.5</v>
      </c>
      <c r="I10" s="76">
        <v>14000</v>
      </c>
      <c r="J10" s="76">
        <v>11.6</v>
      </c>
      <c r="K10" s="82">
        <v>1500</v>
      </c>
      <c r="L10" s="83">
        <v>1</v>
      </c>
      <c r="M10" s="82">
        <v>3000</v>
      </c>
      <c r="N10" s="83">
        <v>0.96</v>
      </c>
      <c r="O10" s="77">
        <v>0</v>
      </c>
      <c r="P10" s="6">
        <f t="shared" si="1"/>
        <v>288.96000000000004</v>
      </c>
      <c r="Q10" s="7">
        <f t="shared" si="0"/>
        <v>0</v>
      </c>
      <c r="R10" s="4">
        <f t="shared" si="2"/>
        <v>0</v>
      </c>
    </row>
    <row r="11" spans="1:18" x14ac:dyDescent="0.35">
      <c r="A11" s="75"/>
      <c r="B11" s="78"/>
      <c r="C11" s="76"/>
      <c r="D11" s="80"/>
      <c r="E11" s="77"/>
      <c r="F11" s="77"/>
      <c r="G11" s="77"/>
      <c r="H11" s="81"/>
      <c r="I11" s="76"/>
      <c r="J11" s="76"/>
      <c r="K11" s="82"/>
      <c r="L11" s="83"/>
      <c r="M11" s="82"/>
      <c r="N11" s="83"/>
      <c r="O11" s="77"/>
      <c r="P11" s="6">
        <f t="shared" si="1"/>
        <v>0</v>
      </c>
      <c r="Q11" s="7">
        <f t="shared" si="0"/>
        <v>0</v>
      </c>
      <c r="R11" s="4">
        <f t="shared" si="2"/>
        <v>0</v>
      </c>
    </row>
    <row r="12" spans="1:18" x14ac:dyDescent="0.35">
      <c r="A12" s="75"/>
      <c r="B12" s="78"/>
      <c r="C12" s="76"/>
      <c r="D12" s="80"/>
      <c r="E12" s="77"/>
      <c r="F12" s="77"/>
      <c r="G12" s="77"/>
      <c r="H12" s="81"/>
      <c r="I12" s="76"/>
      <c r="J12" s="76"/>
      <c r="K12" s="82"/>
      <c r="L12" s="83"/>
      <c r="M12" s="82"/>
      <c r="N12" s="83"/>
      <c r="O12" s="77"/>
      <c r="P12" s="6">
        <f t="shared" si="1"/>
        <v>0</v>
      </c>
      <c r="Q12" s="7">
        <f t="shared" si="0"/>
        <v>0</v>
      </c>
      <c r="R12" s="4">
        <f t="shared" si="2"/>
        <v>0</v>
      </c>
    </row>
    <row r="13" spans="1:18" x14ac:dyDescent="0.35">
      <c r="A13" s="75"/>
      <c r="B13" s="78"/>
      <c r="C13" s="76"/>
      <c r="D13" s="80"/>
      <c r="E13" s="77"/>
      <c r="F13" s="77"/>
      <c r="G13" s="77"/>
      <c r="H13" s="81"/>
      <c r="I13" s="76"/>
      <c r="J13" s="76"/>
      <c r="K13" s="82"/>
      <c r="L13" s="83"/>
      <c r="M13" s="82"/>
      <c r="N13" s="83"/>
      <c r="O13" s="77"/>
      <c r="P13" s="6">
        <f t="shared" si="1"/>
        <v>0</v>
      </c>
      <c r="Q13" s="7">
        <f t="shared" si="0"/>
        <v>0</v>
      </c>
      <c r="R13" s="4">
        <f t="shared" si="2"/>
        <v>0</v>
      </c>
    </row>
    <row r="14" spans="1:18" x14ac:dyDescent="0.35">
      <c r="A14" s="75"/>
      <c r="B14" s="78"/>
      <c r="C14" s="76"/>
      <c r="D14" s="80"/>
      <c r="E14" s="77"/>
      <c r="F14" s="77"/>
      <c r="G14" s="77"/>
      <c r="H14" s="81"/>
      <c r="I14" s="76"/>
      <c r="J14" s="76"/>
      <c r="K14" s="82"/>
      <c r="L14" s="83"/>
      <c r="M14" s="82"/>
      <c r="N14" s="83"/>
      <c r="O14" s="77"/>
      <c r="P14" s="6">
        <f t="shared" si="1"/>
        <v>0</v>
      </c>
      <c r="Q14" s="7">
        <f t="shared" si="0"/>
        <v>0</v>
      </c>
      <c r="R14" s="4">
        <f t="shared" si="2"/>
        <v>0</v>
      </c>
    </row>
    <row r="15" spans="1:18" x14ac:dyDescent="0.35">
      <c r="O15" s="4">
        <f>SUM(O1:O12)</f>
        <v>147</v>
      </c>
      <c r="P15" s="4"/>
    </row>
    <row r="17" spans="1:4" ht="14.5" customHeight="1" x14ac:dyDescent="0.35">
      <c r="A17" s="109" t="s">
        <v>87</v>
      </c>
      <c r="B17" s="109"/>
    </row>
    <row r="18" spans="1:4" x14ac:dyDescent="0.35">
      <c r="A18" s="75" t="s">
        <v>36</v>
      </c>
      <c r="B18" s="79">
        <v>13604</v>
      </c>
    </row>
    <row r="19" spans="1:4" x14ac:dyDescent="0.35">
      <c r="A19" s="75" t="s">
        <v>37</v>
      </c>
      <c r="B19" s="79">
        <v>13604</v>
      </c>
    </row>
    <row r="20" spans="1:4" x14ac:dyDescent="0.35">
      <c r="A20" s="75" t="s">
        <v>38</v>
      </c>
      <c r="B20" s="84">
        <v>0.373</v>
      </c>
    </row>
    <row r="25" spans="1:4" x14ac:dyDescent="0.35">
      <c r="A25" t="s">
        <v>39</v>
      </c>
      <c r="B25" s="74">
        <v>0.12</v>
      </c>
    </row>
    <row r="26" spans="1:4" ht="15" thickBot="1" x14ac:dyDescent="0.4">
      <c r="A26" s="27" t="s">
        <v>50</v>
      </c>
      <c r="B26" s="28">
        <f>(1+B25)*B19</f>
        <v>15236.480000000001</v>
      </c>
    </row>
    <row r="28" spans="1:4" x14ac:dyDescent="0.35">
      <c r="A28" t="s">
        <v>88</v>
      </c>
    </row>
    <row r="29" spans="1:4" x14ac:dyDescent="0.35">
      <c r="C29" t="s">
        <v>41</v>
      </c>
      <c r="D29" t="s">
        <v>42</v>
      </c>
    </row>
    <row r="30" spans="1:4" x14ac:dyDescent="0.35">
      <c r="A30">
        <v>1</v>
      </c>
      <c r="B30" t="s">
        <v>10</v>
      </c>
      <c r="C30" t="s">
        <v>89</v>
      </c>
      <c r="D30" s="1">
        <v>0.53</v>
      </c>
    </row>
    <row r="31" spans="1:4" x14ac:dyDescent="0.35">
      <c r="A31">
        <v>2</v>
      </c>
      <c r="B31" t="s">
        <v>43</v>
      </c>
      <c r="C31" t="s">
        <v>90</v>
      </c>
      <c r="D31" s="1">
        <v>0.24</v>
      </c>
    </row>
    <row r="32" spans="1:4" x14ac:dyDescent="0.35">
      <c r="A32">
        <v>3</v>
      </c>
      <c r="B32" t="s">
        <v>46</v>
      </c>
      <c r="C32" t="s">
        <v>91</v>
      </c>
      <c r="D32" s="1">
        <v>0.16</v>
      </c>
    </row>
    <row r="33" spans="1:4" x14ac:dyDescent="0.35">
      <c r="A33">
        <v>4</v>
      </c>
      <c r="B33" t="s">
        <v>48</v>
      </c>
      <c r="C33" t="s">
        <v>92</v>
      </c>
      <c r="D33" s="1">
        <v>7.0000000000000007E-2</v>
      </c>
    </row>
  </sheetData>
  <mergeCells count="11">
    <mergeCell ref="O1:O2"/>
    <mergeCell ref="F1:F2"/>
    <mergeCell ref="G1:G2"/>
    <mergeCell ref="I1:I2"/>
    <mergeCell ref="J1:J2"/>
    <mergeCell ref="M1:M2"/>
    <mergeCell ref="A17:B17"/>
    <mergeCell ref="A1:A2"/>
    <mergeCell ref="B1:B2"/>
    <mergeCell ref="C1:C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944B-E55B-4D1F-9245-A5D06A2001A4}">
  <dimension ref="A1:R33"/>
  <sheetViews>
    <sheetView workbookViewId="0">
      <selection activeCell="B26" sqref="B26"/>
    </sheetView>
  </sheetViews>
  <sheetFormatPr defaultRowHeight="14.5" x14ac:dyDescent="0.35"/>
  <cols>
    <col min="4" max="4" width="10.08984375" bestFit="1" customWidth="1"/>
  </cols>
  <sheetData>
    <row r="1" spans="1:18" ht="25" x14ac:dyDescent="0.35">
      <c r="A1" s="108" t="s">
        <v>1</v>
      </c>
      <c r="B1" s="103" t="s">
        <v>2</v>
      </c>
      <c r="C1" s="103" t="s">
        <v>3</v>
      </c>
      <c r="D1" s="77" t="s">
        <v>4</v>
      </c>
      <c r="E1" s="104" t="s">
        <v>6</v>
      </c>
      <c r="F1" s="103" t="s">
        <v>7</v>
      </c>
      <c r="G1" s="103" t="s">
        <v>8</v>
      </c>
      <c r="H1" s="76" t="s">
        <v>9</v>
      </c>
      <c r="I1" s="103" t="s">
        <v>11</v>
      </c>
      <c r="J1" s="103" t="s">
        <v>12</v>
      </c>
      <c r="K1" s="76" t="s">
        <v>13</v>
      </c>
      <c r="L1" s="77" t="s">
        <v>15</v>
      </c>
      <c r="M1" s="103" t="s">
        <v>17</v>
      </c>
      <c r="N1" s="77" t="s">
        <v>18</v>
      </c>
      <c r="O1" s="104" t="s">
        <v>20</v>
      </c>
      <c r="P1" s="6" t="s">
        <v>93</v>
      </c>
      <c r="Q1" s="4" t="s">
        <v>34</v>
      </c>
      <c r="R1" s="4" t="s">
        <v>51</v>
      </c>
    </row>
    <row r="2" spans="1:18" x14ac:dyDescent="0.35">
      <c r="A2" s="108"/>
      <c r="B2" s="103"/>
      <c r="C2" s="103"/>
      <c r="D2" s="77" t="s">
        <v>5</v>
      </c>
      <c r="E2" s="104"/>
      <c r="F2" s="103"/>
      <c r="G2" s="103"/>
      <c r="H2" s="76" t="s">
        <v>10</v>
      </c>
      <c r="I2" s="103"/>
      <c r="J2" s="103"/>
      <c r="K2" s="76" t="s">
        <v>14</v>
      </c>
      <c r="L2" s="77" t="s">
        <v>16</v>
      </c>
      <c r="M2" s="103"/>
      <c r="N2" s="77" t="s">
        <v>19</v>
      </c>
      <c r="O2" s="104"/>
      <c r="Q2" s="4"/>
      <c r="R2" s="4"/>
    </row>
    <row r="3" spans="1:18" x14ac:dyDescent="0.35">
      <c r="A3" s="75" t="s">
        <v>53</v>
      </c>
      <c r="B3" s="78">
        <v>0.3</v>
      </c>
      <c r="C3" s="79">
        <v>1395</v>
      </c>
      <c r="D3" s="80">
        <v>48054</v>
      </c>
      <c r="E3" s="77"/>
      <c r="F3" s="77">
        <v>14</v>
      </c>
      <c r="G3" s="77">
        <v>5.8</v>
      </c>
      <c r="H3" s="81">
        <v>36.5</v>
      </c>
      <c r="I3" s="76">
        <v>23000</v>
      </c>
      <c r="J3" s="76">
        <v>1.32</v>
      </c>
      <c r="K3" s="82">
        <v>1500</v>
      </c>
      <c r="L3" s="83">
        <v>1</v>
      </c>
      <c r="M3" s="82">
        <v>2300</v>
      </c>
      <c r="N3" s="83">
        <v>0.87</v>
      </c>
      <c r="O3" s="77">
        <v>49</v>
      </c>
      <c r="P3" s="6">
        <f>C3*(1+$B$25)</f>
        <v>1623.78</v>
      </c>
      <c r="Q3" s="7">
        <f>O3/$O$15</f>
        <v>0.18352059925093633</v>
      </c>
      <c r="R3" s="4">
        <f>Q3*$B$26</f>
        <v>996.52786516853928</v>
      </c>
    </row>
    <row r="4" spans="1:18" x14ac:dyDescent="0.35">
      <c r="A4" s="75" t="s">
        <v>157</v>
      </c>
      <c r="B4" s="78">
        <v>0.17</v>
      </c>
      <c r="C4" s="76">
        <v>787</v>
      </c>
      <c r="D4" s="80">
        <v>48200</v>
      </c>
      <c r="E4" s="77"/>
      <c r="F4" s="77">
        <v>14</v>
      </c>
      <c r="G4" s="77">
        <v>6</v>
      </c>
      <c r="H4" s="81">
        <v>37</v>
      </c>
      <c r="I4" s="76">
        <v>25000</v>
      </c>
      <c r="J4" s="76">
        <v>0.88</v>
      </c>
      <c r="K4" s="82">
        <v>3000</v>
      </c>
      <c r="L4" s="83">
        <v>1</v>
      </c>
      <c r="M4" s="82">
        <v>3000</v>
      </c>
      <c r="N4" s="83">
        <v>0.94</v>
      </c>
      <c r="O4" s="77">
        <v>67</v>
      </c>
      <c r="P4" s="6">
        <f t="shared" ref="P4:P14" si="0">C4*(1+$B$25)</f>
        <v>916.06799999999998</v>
      </c>
      <c r="Q4" s="7">
        <f t="shared" ref="Q4:Q14" si="1">O4/$O$15</f>
        <v>0.25093632958801498</v>
      </c>
      <c r="R4" s="4">
        <f t="shared" ref="R4:R14" si="2">Q4*$B$26</f>
        <v>1362.5993258426965</v>
      </c>
    </row>
    <row r="5" spans="1:18" x14ac:dyDescent="0.35">
      <c r="A5" s="75" t="s">
        <v>55</v>
      </c>
      <c r="B5" s="78">
        <v>0.12</v>
      </c>
      <c r="C5" s="76">
        <v>557</v>
      </c>
      <c r="D5" s="80">
        <v>48011</v>
      </c>
      <c r="E5" s="77"/>
      <c r="F5" s="77">
        <v>14.1</v>
      </c>
      <c r="G5" s="77">
        <v>5.7</v>
      </c>
      <c r="H5" s="81">
        <v>39</v>
      </c>
      <c r="I5" s="76">
        <v>23500</v>
      </c>
      <c r="J5" s="76">
        <v>1.45</v>
      </c>
      <c r="K5" s="82">
        <v>1250</v>
      </c>
      <c r="L5" s="83">
        <v>0.94</v>
      </c>
      <c r="M5" s="82">
        <v>2000</v>
      </c>
      <c r="N5" s="83">
        <v>0.32</v>
      </c>
      <c r="O5" s="77">
        <v>18</v>
      </c>
      <c r="P5" s="6">
        <f t="shared" si="0"/>
        <v>648.34799999999996</v>
      </c>
      <c r="Q5" s="7">
        <f t="shared" si="1"/>
        <v>6.741573033707865E-2</v>
      </c>
      <c r="R5" s="4">
        <f t="shared" si="2"/>
        <v>366.07146067415727</v>
      </c>
    </row>
    <row r="6" spans="1:18" x14ac:dyDescent="0.35">
      <c r="A6" s="75" t="s">
        <v>158</v>
      </c>
      <c r="B6" s="78">
        <v>0.09</v>
      </c>
      <c r="C6" s="76">
        <v>411</v>
      </c>
      <c r="D6" s="80">
        <v>48130</v>
      </c>
      <c r="E6" s="77"/>
      <c r="F6" s="77">
        <v>14.5</v>
      </c>
      <c r="G6" s="77">
        <v>5.5</v>
      </c>
      <c r="H6" s="81">
        <v>40</v>
      </c>
      <c r="I6" s="76">
        <v>25000</v>
      </c>
      <c r="J6" s="76">
        <v>0.95</v>
      </c>
      <c r="K6" s="82">
        <v>3000</v>
      </c>
      <c r="L6" s="83">
        <v>0.97</v>
      </c>
      <c r="M6" s="82">
        <v>2250</v>
      </c>
      <c r="N6" s="83">
        <v>0.55000000000000004</v>
      </c>
      <c r="O6" s="77">
        <v>20</v>
      </c>
      <c r="P6" s="6">
        <f t="shared" si="0"/>
        <v>478.404</v>
      </c>
      <c r="Q6" s="7">
        <f t="shared" si="1"/>
        <v>7.4906367041198504E-2</v>
      </c>
      <c r="R6" s="4">
        <f t="shared" si="2"/>
        <v>406.74606741573029</v>
      </c>
    </row>
    <row r="7" spans="1:18" x14ac:dyDescent="0.35">
      <c r="A7" s="75" t="s">
        <v>159</v>
      </c>
      <c r="B7" s="78">
        <v>0.09</v>
      </c>
      <c r="C7" s="76">
        <v>401</v>
      </c>
      <c r="D7" s="80">
        <v>48063</v>
      </c>
      <c r="E7" s="77" t="s">
        <v>23</v>
      </c>
      <c r="F7" s="77">
        <v>14.5</v>
      </c>
      <c r="G7" s="77">
        <v>5.3</v>
      </c>
      <c r="H7" s="81">
        <v>36.5</v>
      </c>
      <c r="I7" s="76">
        <v>23500</v>
      </c>
      <c r="J7" s="76">
        <v>0.41</v>
      </c>
      <c r="K7" s="82">
        <v>1500</v>
      </c>
      <c r="L7" s="83">
        <v>0.61</v>
      </c>
      <c r="M7" s="82">
        <v>2500</v>
      </c>
      <c r="N7" s="83">
        <v>0.87</v>
      </c>
      <c r="O7" s="77">
        <v>59</v>
      </c>
      <c r="P7" s="6">
        <f t="shared" si="0"/>
        <v>466.76399999999995</v>
      </c>
      <c r="Q7" s="7">
        <f t="shared" si="1"/>
        <v>0.22097378277153559</v>
      </c>
      <c r="R7" s="4">
        <f t="shared" si="2"/>
        <v>1199.9008988764044</v>
      </c>
    </row>
    <row r="8" spans="1:18" x14ac:dyDescent="0.35">
      <c r="A8" s="75" t="s">
        <v>132</v>
      </c>
      <c r="B8" s="78">
        <v>0.09</v>
      </c>
      <c r="C8" s="76">
        <v>399</v>
      </c>
      <c r="D8" s="80">
        <v>48095</v>
      </c>
      <c r="E8" s="77"/>
      <c r="F8" s="77">
        <v>14.7</v>
      </c>
      <c r="G8" s="77">
        <v>5.3</v>
      </c>
      <c r="H8" s="81">
        <v>40</v>
      </c>
      <c r="I8" s="76">
        <v>25000</v>
      </c>
      <c r="J8" s="76">
        <v>1.26</v>
      </c>
      <c r="K8" s="82">
        <v>1890</v>
      </c>
      <c r="L8" s="83">
        <v>1</v>
      </c>
      <c r="M8" s="82">
        <v>2250</v>
      </c>
      <c r="N8" s="83">
        <v>0.55000000000000004</v>
      </c>
      <c r="O8" s="77">
        <v>19</v>
      </c>
      <c r="P8" s="6">
        <f t="shared" si="0"/>
        <v>464.43599999999998</v>
      </c>
      <c r="Q8" s="7">
        <f t="shared" si="1"/>
        <v>7.116104868913857E-2</v>
      </c>
      <c r="R8" s="4">
        <f t="shared" si="2"/>
        <v>386.40876404494372</v>
      </c>
    </row>
    <row r="9" spans="1:18" x14ac:dyDescent="0.35">
      <c r="A9" s="75" t="s">
        <v>57</v>
      </c>
      <c r="B9" s="78">
        <v>0.08</v>
      </c>
      <c r="C9" s="76">
        <v>356</v>
      </c>
      <c r="D9" s="80">
        <v>47371</v>
      </c>
      <c r="E9" s="77"/>
      <c r="F9" s="77">
        <v>11.5</v>
      </c>
      <c r="G9" s="77">
        <v>8.4</v>
      </c>
      <c r="H9" s="81">
        <v>27.5</v>
      </c>
      <c r="I9" s="76">
        <v>23000</v>
      </c>
      <c r="J9" s="76">
        <v>3.88</v>
      </c>
      <c r="K9" s="82">
        <v>2000</v>
      </c>
      <c r="L9" s="83">
        <v>1</v>
      </c>
      <c r="M9" s="82">
        <v>3000</v>
      </c>
      <c r="N9" s="83">
        <v>0.94</v>
      </c>
      <c r="O9" s="77">
        <v>10</v>
      </c>
      <c r="P9" s="6">
        <f t="shared" si="0"/>
        <v>414.38399999999996</v>
      </c>
      <c r="Q9" s="7">
        <f t="shared" si="1"/>
        <v>3.7453183520599252E-2</v>
      </c>
      <c r="R9" s="4">
        <f t="shared" si="2"/>
        <v>203.37303370786515</v>
      </c>
    </row>
    <row r="10" spans="1:18" x14ac:dyDescent="0.35">
      <c r="A10" s="75" t="s">
        <v>56</v>
      </c>
      <c r="B10" s="78">
        <v>0.08</v>
      </c>
      <c r="C10" s="76">
        <v>354</v>
      </c>
      <c r="D10" s="80">
        <v>48044</v>
      </c>
      <c r="E10" s="77" t="s">
        <v>23</v>
      </c>
      <c r="F10" s="77">
        <v>13.8</v>
      </c>
      <c r="G10" s="77">
        <v>6.2</v>
      </c>
      <c r="H10" s="81">
        <v>37</v>
      </c>
      <c r="I10" s="76">
        <v>27000</v>
      </c>
      <c r="J10" s="76">
        <v>2.4700000000000002</v>
      </c>
      <c r="K10" s="82">
        <v>1000</v>
      </c>
      <c r="L10" s="83">
        <v>0.75</v>
      </c>
      <c r="M10" s="82">
        <v>2000</v>
      </c>
      <c r="N10" s="83">
        <v>0.47</v>
      </c>
      <c r="O10" s="77">
        <v>24</v>
      </c>
      <c r="P10" s="6">
        <f t="shared" si="0"/>
        <v>412.05599999999998</v>
      </c>
      <c r="Q10" s="7">
        <f t="shared" si="1"/>
        <v>8.98876404494382E-2</v>
      </c>
      <c r="R10" s="4">
        <f t="shared" si="2"/>
        <v>488.09528089887635</v>
      </c>
    </row>
    <row r="11" spans="1:18" x14ac:dyDescent="0.35">
      <c r="A11" s="75" t="s">
        <v>24</v>
      </c>
      <c r="B11" s="78">
        <v>0</v>
      </c>
      <c r="C11" s="76">
        <v>5</v>
      </c>
      <c r="D11" s="80">
        <v>48152</v>
      </c>
      <c r="E11" s="77"/>
      <c r="F11" s="77">
        <v>10.7</v>
      </c>
      <c r="G11" s="77">
        <v>9.1</v>
      </c>
      <c r="H11" s="81">
        <v>26.5</v>
      </c>
      <c r="I11" s="76">
        <v>17500</v>
      </c>
      <c r="J11" s="76">
        <v>1.35</v>
      </c>
      <c r="K11" s="82">
        <v>1250</v>
      </c>
      <c r="L11" s="83">
        <v>0.94</v>
      </c>
      <c r="M11" s="82">
        <v>1250</v>
      </c>
      <c r="N11" s="83">
        <v>0.32</v>
      </c>
      <c r="O11" s="77">
        <v>1</v>
      </c>
      <c r="P11" s="6">
        <f t="shared" si="0"/>
        <v>5.8199999999999994</v>
      </c>
      <c r="Q11" s="7">
        <f t="shared" si="1"/>
        <v>3.7453183520599251E-3</v>
      </c>
      <c r="R11" s="4">
        <f t="shared" si="2"/>
        <v>20.337303370786515</v>
      </c>
    </row>
    <row r="12" spans="1:18" x14ac:dyDescent="0.35">
      <c r="A12" s="75"/>
      <c r="B12" s="78"/>
      <c r="C12" s="76"/>
      <c r="D12" s="80"/>
      <c r="E12" s="77"/>
      <c r="F12" s="77"/>
      <c r="G12" s="77"/>
      <c r="H12" s="81"/>
      <c r="I12" s="76"/>
      <c r="J12" s="76"/>
      <c r="K12" s="82"/>
      <c r="L12" s="83"/>
      <c r="M12" s="82"/>
      <c r="N12" s="83"/>
      <c r="O12" s="77"/>
      <c r="P12" s="6">
        <f t="shared" si="0"/>
        <v>0</v>
      </c>
      <c r="Q12" s="7">
        <f t="shared" si="1"/>
        <v>0</v>
      </c>
      <c r="R12" s="4">
        <f t="shared" si="2"/>
        <v>0</v>
      </c>
    </row>
    <row r="13" spans="1:18" x14ac:dyDescent="0.35">
      <c r="A13" s="32"/>
      <c r="B13" s="38"/>
      <c r="C13" s="34"/>
      <c r="D13" s="36"/>
      <c r="E13" s="35"/>
      <c r="F13" s="35"/>
      <c r="G13" s="35"/>
      <c r="H13" s="37"/>
      <c r="I13" s="34"/>
      <c r="J13" s="34"/>
      <c r="K13" s="63"/>
      <c r="L13" s="64"/>
      <c r="M13" s="63"/>
      <c r="N13" s="64"/>
      <c r="O13" s="65"/>
      <c r="P13" s="6">
        <f t="shared" si="0"/>
        <v>0</v>
      </c>
      <c r="Q13" s="7">
        <f t="shared" si="1"/>
        <v>0</v>
      </c>
      <c r="R13" s="4">
        <f t="shared" si="2"/>
        <v>0</v>
      </c>
    </row>
    <row r="14" spans="1:18" x14ac:dyDescent="0.35">
      <c r="A14" s="33"/>
      <c r="B14" s="66"/>
      <c r="C14" s="67"/>
      <c r="D14" s="68"/>
      <c r="E14" s="69"/>
      <c r="F14" s="69"/>
      <c r="G14" s="69"/>
      <c r="H14" s="70"/>
      <c r="I14" s="67"/>
      <c r="J14" s="67"/>
      <c r="K14" s="71"/>
      <c r="L14" s="72"/>
      <c r="M14" s="71"/>
      <c r="N14" s="72"/>
      <c r="O14" s="73"/>
      <c r="P14" s="6">
        <f t="shared" si="0"/>
        <v>0</v>
      </c>
      <c r="Q14" s="7">
        <f t="shared" si="1"/>
        <v>0</v>
      </c>
      <c r="R14" s="4">
        <f t="shared" si="2"/>
        <v>0</v>
      </c>
    </row>
    <row r="15" spans="1:18" x14ac:dyDescent="0.35">
      <c r="O15" s="4">
        <f>SUM(O1:O12)</f>
        <v>267</v>
      </c>
      <c r="P15" s="4"/>
    </row>
    <row r="17" spans="1:4" x14ac:dyDescent="0.35">
      <c r="A17" t="s">
        <v>81</v>
      </c>
    </row>
    <row r="18" spans="1:4" x14ac:dyDescent="0.35">
      <c r="A18" s="110" t="s">
        <v>81</v>
      </c>
      <c r="B18" s="110"/>
    </row>
    <row r="19" spans="1:4" x14ac:dyDescent="0.35">
      <c r="A19" s="75" t="s">
        <v>36</v>
      </c>
      <c r="B19" s="79">
        <v>4665</v>
      </c>
    </row>
    <row r="20" spans="1:4" x14ac:dyDescent="0.35">
      <c r="A20" s="75" t="s">
        <v>37</v>
      </c>
      <c r="B20" s="79">
        <v>4665</v>
      </c>
    </row>
    <row r="21" spans="1:4" x14ac:dyDescent="0.35">
      <c r="A21" s="75" t="s">
        <v>38</v>
      </c>
      <c r="B21" s="84">
        <v>0.128</v>
      </c>
    </row>
    <row r="25" spans="1:4" x14ac:dyDescent="0.35">
      <c r="A25" t="s">
        <v>39</v>
      </c>
      <c r="B25" s="3">
        <v>0.16400000000000001</v>
      </c>
    </row>
    <row r="26" spans="1:4" ht="15" thickBot="1" x14ac:dyDescent="0.4">
      <c r="A26" s="27" t="s">
        <v>50</v>
      </c>
      <c r="B26" s="28">
        <f>(1+B25)*B19</f>
        <v>5430.0599999999995</v>
      </c>
    </row>
    <row r="28" spans="1:4" x14ac:dyDescent="0.35">
      <c r="A28" t="s">
        <v>82</v>
      </c>
    </row>
    <row r="29" spans="1:4" x14ac:dyDescent="0.35">
      <c r="C29" t="s">
        <v>41</v>
      </c>
      <c r="D29" t="s">
        <v>42</v>
      </c>
    </row>
    <row r="30" spans="1:4" x14ac:dyDescent="0.35">
      <c r="A30">
        <v>1</v>
      </c>
      <c r="B30" t="s">
        <v>46</v>
      </c>
      <c r="C30" t="s">
        <v>83</v>
      </c>
      <c r="D30" s="1">
        <v>0.43</v>
      </c>
    </row>
    <row r="31" spans="1:4" x14ac:dyDescent="0.35">
      <c r="A31">
        <v>2</v>
      </c>
      <c r="B31" t="s">
        <v>43</v>
      </c>
      <c r="C31" t="s">
        <v>84</v>
      </c>
      <c r="D31" s="1">
        <v>0.28999999999999998</v>
      </c>
    </row>
    <row r="32" spans="1:4" x14ac:dyDescent="0.35">
      <c r="A32">
        <v>3</v>
      </c>
      <c r="B32" t="s">
        <v>48</v>
      </c>
      <c r="C32" t="s">
        <v>85</v>
      </c>
      <c r="D32" s="1">
        <v>0.19</v>
      </c>
    </row>
    <row r="33" spans="1:4" x14ac:dyDescent="0.35">
      <c r="A33">
        <v>4</v>
      </c>
      <c r="B33" t="s">
        <v>10</v>
      </c>
      <c r="C33" t="s">
        <v>86</v>
      </c>
      <c r="D33" s="1">
        <v>0.09</v>
      </c>
    </row>
  </sheetData>
  <mergeCells count="11">
    <mergeCell ref="A18:B18"/>
    <mergeCell ref="I1:I2"/>
    <mergeCell ref="J1:J2"/>
    <mergeCell ref="M1:M2"/>
    <mergeCell ref="O1:O2"/>
    <mergeCell ref="A1:A2"/>
    <mergeCell ref="B1:B2"/>
    <mergeCell ref="C1:C2"/>
    <mergeCell ref="E1:E2"/>
    <mergeCell ref="F1:F2"/>
    <mergeCell ref="G1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99C0-E358-40C2-83FC-9D91CAFAC3C5}">
  <dimension ref="A1:R33"/>
  <sheetViews>
    <sheetView topLeftCell="A11" workbookViewId="0">
      <selection activeCell="B26" sqref="B26"/>
    </sheetView>
  </sheetViews>
  <sheetFormatPr defaultRowHeight="14.5" x14ac:dyDescent="0.35"/>
  <cols>
    <col min="4" max="4" width="9.08984375" bestFit="1" customWidth="1"/>
  </cols>
  <sheetData>
    <row r="1" spans="1:18" ht="25" x14ac:dyDescent="0.35">
      <c r="A1" s="108" t="s">
        <v>1</v>
      </c>
      <c r="B1" s="103" t="s">
        <v>2</v>
      </c>
      <c r="C1" s="103" t="s">
        <v>3</v>
      </c>
      <c r="D1" s="77" t="s">
        <v>4</v>
      </c>
      <c r="E1" s="104" t="s">
        <v>6</v>
      </c>
      <c r="F1" s="103" t="s">
        <v>7</v>
      </c>
      <c r="G1" s="103" t="s">
        <v>8</v>
      </c>
      <c r="H1" s="76" t="s">
        <v>9</v>
      </c>
      <c r="I1" s="103" t="s">
        <v>11</v>
      </c>
      <c r="J1" s="103" t="s">
        <v>12</v>
      </c>
      <c r="K1" s="76" t="s">
        <v>13</v>
      </c>
      <c r="L1" s="77" t="s">
        <v>15</v>
      </c>
      <c r="M1" s="103" t="s">
        <v>17</v>
      </c>
      <c r="N1" s="77" t="s">
        <v>18</v>
      </c>
      <c r="O1" s="104" t="s">
        <v>20</v>
      </c>
      <c r="P1" s="6" t="s">
        <v>93</v>
      </c>
      <c r="Q1" s="4" t="s">
        <v>34</v>
      </c>
      <c r="R1" s="4" t="s">
        <v>51</v>
      </c>
    </row>
    <row r="2" spans="1:18" x14ac:dyDescent="0.35">
      <c r="A2" s="108"/>
      <c r="B2" s="103"/>
      <c r="C2" s="103"/>
      <c r="D2" s="77" t="s">
        <v>5</v>
      </c>
      <c r="E2" s="104"/>
      <c r="F2" s="103"/>
      <c r="G2" s="103"/>
      <c r="H2" s="76" t="s">
        <v>10</v>
      </c>
      <c r="I2" s="103"/>
      <c r="J2" s="103"/>
      <c r="K2" s="76" t="s">
        <v>14</v>
      </c>
      <c r="L2" s="77" t="s">
        <v>16</v>
      </c>
      <c r="M2" s="103"/>
      <c r="N2" s="77" t="s">
        <v>19</v>
      </c>
      <c r="O2" s="104"/>
      <c r="Q2" s="4"/>
      <c r="R2" s="4"/>
    </row>
    <row r="3" spans="1:18" x14ac:dyDescent="0.35">
      <c r="A3" s="75" t="s">
        <v>58</v>
      </c>
      <c r="B3" s="78">
        <v>0.28000000000000003</v>
      </c>
      <c r="C3" s="79">
        <v>1139</v>
      </c>
      <c r="D3" s="80">
        <v>48097</v>
      </c>
      <c r="E3" s="77" t="s">
        <v>23</v>
      </c>
      <c r="F3" s="77">
        <v>15</v>
      </c>
      <c r="G3" s="77">
        <v>12</v>
      </c>
      <c r="H3" s="81">
        <v>31</v>
      </c>
      <c r="I3" s="76">
        <v>30000</v>
      </c>
      <c r="J3" s="76">
        <v>1.33</v>
      </c>
      <c r="K3" s="82">
        <v>1500</v>
      </c>
      <c r="L3" s="83">
        <v>1</v>
      </c>
      <c r="M3" s="82">
        <v>3000</v>
      </c>
      <c r="N3" s="83">
        <v>0.89</v>
      </c>
      <c r="O3" s="77">
        <v>72</v>
      </c>
      <c r="P3" s="6">
        <f>C3*(1+$B$25)</f>
        <v>1366.8</v>
      </c>
      <c r="Q3" s="7">
        <f t="shared" ref="Q3:Q11" si="0">O3/$O$15</f>
        <v>0.27480916030534353</v>
      </c>
      <c r="R3" s="4">
        <f>Q3*$B$26</f>
        <v>1320.7328244274811</v>
      </c>
    </row>
    <row r="4" spans="1:18" x14ac:dyDescent="0.35">
      <c r="A4" s="75" t="s">
        <v>63</v>
      </c>
      <c r="B4" s="78">
        <v>0.19</v>
      </c>
      <c r="C4" s="76">
        <v>767</v>
      </c>
      <c r="D4" s="80">
        <v>48022</v>
      </c>
      <c r="E4" s="77"/>
      <c r="F4" s="77">
        <v>15.4</v>
      </c>
      <c r="G4" s="77">
        <v>11.8</v>
      </c>
      <c r="H4" s="81">
        <v>32.5</v>
      </c>
      <c r="I4" s="76">
        <v>26000</v>
      </c>
      <c r="J4" s="76">
        <v>1.47</v>
      </c>
      <c r="K4" s="82">
        <v>1250</v>
      </c>
      <c r="L4" s="83">
        <v>0.94</v>
      </c>
      <c r="M4" s="82">
        <v>2000</v>
      </c>
      <c r="N4" s="83">
        <v>0.47</v>
      </c>
      <c r="O4" s="77">
        <v>34</v>
      </c>
      <c r="P4" s="6">
        <f t="shared" ref="P4:P11" si="1">C4*(1+$B$25)</f>
        <v>920.4</v>
      </c>
      <c r="Q4" s="7">
        <f t="shared" si="0"/>
        <v>0.12977099236641221</v>
      </c>
      <c r="R4" s="4">
        <f t="shared" ref="R4:R11" si="2">Q4*$B$26</f>
        <v>623.67938931297704</v>
      </c>
    </row>
    <row r="5" spans="1:18" x14ac:dyDescent="0.35">
      <c r="A5" s="75" t="s">
        <v>99</v>
      </c>
      <c r="B5" s="78">
        <v>0.19</v>
      </c>
      <c r="C5" s="76">
        <v>753</v>
      </c>
      <c r="D5" s="80">
        <v>48205</v>
      </c>
      <c r="E5" s="77" t="s">
        <v>23</v>
      </c>
      <c r="F5" s="77">
        <v>15.2</v>
      </c>
      <c r="G5" s="77">
        <v>11.5</v>
      </c>
      <c r="H5" s="81">
        <v>30.5</v>
      </c>
      <c r="I5" s="76">
        <v>27000</v>
      </c>
      <c r="J5" s="76">
        <v>1.74</v>
      </c>
      <c r="K5" s="82">
        <v>2000</v>
      </c>
      <c r="L5" s="83">
        <v>1</v>
      </c>
      <c r="M5" s="82">
        <v>2250</v>
      </c>
      <c r="N5" s="83">
        <v>0.64</v>
      </c>
      <c r="O5" s="77">
        <v>65</v>
      </c>
      <c r="P5" s="6">
        <f t="shared" si="1"/>
        <v>903.6</v>
      </c>
      <c r="Q5" s="7">
        <f t="shared" si="0"/>
        <v>0.24809160305343511</v>
      </c>
      <c r="R5" s="4">
        <f t="shared" si="2"/>
        <v>1192.3282442748091</v>
      </c>
    </row>
    <row r="6" spans="1:18" x14ac:dyDescent="0.35">
      <c r="A6" s="75" t="s">
        <v>129</v>
      </c>
      <c r="B6" s="78">
        <v>0.18</v>
      </c>
      <c r="C6" s="76">
        <v>730</v>
      </c>
      <c r="D6" s="80">
        <v>48119</v>
      </c>
      <c r="E6" s="77" t="s">
        <v>23</v>
      </c>
      <c r="F6" s="77">
        <v>15.4</v>
      </c>
      <c r="G6" s="77">
        <v>11.3</v>
      </c>
      <c r="H6" s="81">
        <v>33.5</v>
      </c>
      <c r="I6" s="76">
        <v>27000</v>
      </c>
      <c r="J6" s="76">
        <v>1.45</v>
      </c>
      <c r="K6" s="82">
        <v>1880</v>
      </c>
      <c r="L6" s="83">
        <v>1</v>
      </c>
      <c r="M6" s="82">
        <v>2250</v>
      </c>
      <c r="N6" s="83">
        <v>0.64</v>
      </c>
      <c r="O6" s="77">
        <v>39</v>
      </c>
      <c r="P6" s="6">
        <f t="shared" si="1"/>
        <v>876</v>
      </c>
      <c r="Q6" s="7">
        <f t="shared" si="0"/>
        <v>0.14885496183206107</v>
      </c>
      <c r="R6" s="4">
        <f t="shared" si="2"/>
        <v>715.39694656488552</v>
      </c>
    </row>
    <row r="7" spans="1:18" x14ac:dyDescent="0.35">
      <c r="A7" s="75" t="s">
        <v>60</v>
      </c>
      <c r="B7" s="78">
        <v>0.15</v>
      </c>
      <c r="C7" s="76">
        <v>616</v>
      </c>
      <c r="D7" s="80">
        <v>48003</v>
      </c>
      <c r="E7" s="77" t="s">
        <v>23</v>
      </c>
      <c r="F7" s="77">
        <v>15</v>
      </c>
      <c r="G7" s="77">
        <v>12.1</v>
      </c>
      <c r="H7" s="81">
        <v>31</v>
      </c>
      <c r="I7" s="76">
        <v>27000</v>
      </c>
      <c r="J7" s="76">
        <v>2.56</v>
      </c>
      <c r="K7" s="82">
        <v>1500</v>
      </c>
      <c r="L7" s="83">
        <v>0.95</v>
      </c>
      <c r="M7" s="82">
        <v>2500</v>
      </c>
      <c r="N7" s="83">
        <v>0.65</v>
      </c>
      <c r="O7" s="77">
        <v>52</v>
      </c>
      <c r="P7" s="6">
        <f t="shared" si="1"/>
        <v>739.19999999999993</v>
      </c>
      <c r="Q7" s="7">
        <f t="shared" si="0"/>
        <v>0.19847328244274809</v>
      </c>
      <c r="R7" s="4">
        <f t="shared" si="2"/>
        <v>953.86259541984737</v>
      </c>
    </row>
    <row r="8" spans="1:18" x14ac:dyDescent="0.35">
      <c r="A8" s="75"/>
      <c r="B8" s="78"/>
      <c r="C8" s="76"/>
      <c r="D8" s="80"/>
      <c r="E8" s="77"/>
      <c r="F8" s="77"/>
      <c r="G8" s="77"/>
      <c r="H8" s="81"/>
      <c r="I8" s="76"/>
      <c r="J8" s="76"/>
      <c r="K8" s="82"/>
      <c r="L8" s="83"/>
      <c r="M8" s="82"/>
      <c r="N8" s="83"/>
      <c r="O8" s="77"/>
      <c r="P8" s="6">
        <f t="shared" si="1"/>
        <v>0</v>
      </c>
      <c r="Q8" s="7">
        <f t="shared" si="0"/>
        <v>0</v>
      </c>
      <c r="R8" s="4">
        <f t="shared" si="2"/>
        <v>0</v>
      </c>
    </row>
    <row r="9" spans="1:18" x14ac:dyDescent="0.35">
      <c r="A9" s="75"/>
      <c r="B9" s="78"/>
      <c r="C9" s="76"/>
      <c r="D9" s="80"/>
      <c r="E9" s="77"/>
      <c r="F9" s="77"/>
      <c r="G9" s="77"/>
      <c r="H9" s="81"/>
      <c r="I9" s="76"/>
      <c r="J9" s="76"/>
      <c r="K9" s="82"/>
      <c r="L9" s="83"/>
      <c r="M9" s="82"/>
      <c r="N9" s="83"/>
      <c r="O9" s="77"/>
      <c r="P9" s="6">
        <f t="shared" si="1"/>
        <v>0</v>
      </c>
      <c r="Q9" s="7">
        <f t="shared" si="0"/>
        <v>0</v>
      </c>
      <c r="R9" s="4">
        <f t="shared" si="2"/>
        <v>0</v>
      </c>
    </row>
    <row r="10" spans="1:18" x14ac:dyDescent="0.35">
      <c r="A10" s="75"/>
      <c r="B10" s="78"/>
      <c r="C10" s="76"/>
      <c r="D10" s="80"/>
      <c r="E10" s="77"/>
      <c r="F10" s="77"/>
      <c r="G10" s="77"/>
      <c r="H10" s="81"/>
      <c r="I10" s="76"/>
      <c r="J10" s="76"/>
      <c r="K10" s="82"/>
      <c r="L10" s="83"/>
      <c r="M10" s="82"/>
      <c r="N10" s="83"/>
      <c r="O10" s="77"/>
      <c r="P10" s="6">
        <f t="shared" si="1"/>
        <v>0</v>
      </c>
      <c r="Q10" s="7">
        <f t="shared" si="0"/>
        <v>0</v>
      </c>
      <c r="R10" s="4">
        <f t="shared" si="2"/>
        <v>0</v>
      </c>
    </row>
    <row r="11" spans="1:18" x14ac:dyDescent="0.35">
      <c r="A11" s="33"/>
      <c r="B11" s="66"/>
      <c r="C11" s="67"/>
      <c r="D11" s="68"/>
      <c r="E11" s="69"/>
      <c r="F11" s="69"/>
      <c r="G11" s="69"/>
      <c r="H11" s="70"/>
      <c r="I11" s="67"/>
      <c r="J11" s="67"/>
      <c r="K11" s="71"/>
      <c r="L11" s="72"/>
      <c r="M11" s="71"/>
      <c r="N11" s="72"/>
      <c r="O11" s="73"/>
      <c r="P11" s="6">
        <f t="shared" si="1"/>
        <v>0</v>
      </c>
      <c r="Q11" s="7">
        <f t="shared" si="0"/>
        <v>0</v>
      </c>
      <c r="R11" s="4">
        <f t="shared" si="2"/>
        <v>0</v>
      </c>
    </row>
    <row r="12" spans="1:18" x14ac:dyDescent="0.35">
      <c r="P12" s="6"/>
      <c r="Q12" s="7"/>
      <c r="R12" s="4"/>
    </row>
    <row r="13" spans="1:18" x14ac:dyDescent="0.35">
      <c r="P13" s="6"/>
      <c r="Q13" s="7"/>
      <c r="R13" s="4"/>
    </row>
    <row r="14" spans="1:18" x14ac:dyDescent="0.35">
      <c r="P14" s="6"/>
      <c r="Q14" s="7"/>
      <c r="R14" s="4"/>
    </row>
    <row r="15" spans="1:18" x14ac:dyDescent="0.35">
      <c r="O15" s="4">
        <f>SUM(O1:O12)</f>
        <v>262</v>
      </c>
      <c r="P15" s="4"/>
    </row>
    <row r="17" spans="1:4" ht="29" customHeight="1" x14ac:dyDescent="0.35">
      <c r="A17" s="109" t="s">
        <v>76</v>
      </c>
      <c r="B17" s="109"/>
    </row>
    <row r="18" spans="1:4" x14ac:dyDescent="0.35">
      <c r="A18" s="75" t="s">
        <v>36</v>
      </c>
      <c r="B18" s="79">
        <v>4005</v>
      </c>
    </row>
    <row r="19" spans="1:4" x14ac:dyDescent="0.35">
      <c r="A19" s="75" t="s">
        <v>37</v>
      </c>
      <c r="B19" s="79">
        <v>4005</v>
      </c>
    </row>
    <row r="20" spans="1:4" x14ac:dyDescent="0.35">
      <c r="A20" s="75" t="s">
        <v>38</v>
      </c>
      <c r="B20" s="84">
        <v>0.11</v>
      </c>
    </row>
    <row r="25" spans="1:4" x14ac:dyDescent="0.35">
      <c r="A25" t="s">
        <v>39</v>
      </c>
      <c r="B25" s="3">
        <v>0.2</v>
      </c>
    </row>
    <row r="26" spans="1:4" ht="15" thickBot="1" x14ac:dyDescent="0.4">
      <c r="A26" s="27" t="s">
        <v>50</v>
      </c>
      <c r="B26" s="28">
        <f>(1+B25)*B19</f>
        <v>4806</v>
      </c>
    </row>
    <row r="28" spans="1:4" x14ac:dyDescent="0.35">
      <c r="A28" t="s">
        <v>77</v>
      </c>
    </row>
    <row r="29" spans="1:4" x14ac:dyDescent="0.35">
      <c r="C29" t="s">
        <v>41</v>
      </c>
      <c r="D29" t="s">
        <v>42</v>
      </c>
    </row>
    <row r="30" spans="1:4" x14ac:dyDescent="0.35">
      <c r="A30">
        <v>1</v>
      </c>
      <c r="B30" t="s">
        <v>48</v>
      </c>
      <c r="C30" t="s">
        <v>78</v>
      </c>
      <c r="D30" s="1">
        <v>0.43</v>
      </c>
    </row>
    <row r="31" spans="1:4" x14ac:dyDescent="0.35">
      <c r="A31">
        <v>2</v>
      </c>
      <c r="B31" t="s">
        <v>46</v>
      </c>
      <c r="C31" t="s">
        <v>79</v>
      </c>
      <c r="D31" s="1">
        <v>0.28999999999999998</v>
      </c>
    </row>
    <row r="32" spans="1:4" x14ac:dyDescent="0.35">
      <c r="A32">
        <v>3</v>
      </c>
      <c r="B32" t="s">
        <v>10</v>
      </c>
      <c r="C32" t="s">
        <v>75</v>
      </c>
      <c r="D32" s="1">
        <v>0.19</v>
      </c>
    </row>
    <row r="33" spans="1:4" x14ac:dyDescent="0.35">
      <c r="A33">
        <v>4</v>
      </c>
      <c r="B33" t="s">
        <v>43</v>
      </c>
      <c r="C33" t="s">
        <v>80</v>
      </c>
      <c r="D33" s="1">
        <v>0.09</v>
      </c>
    </row>
  </sheetData>
  <mergeCells count="11">
    <mergeCell ref="O1:O2"/>
    <mergeCell ref="F1:F2"/>
    <mergeCell ref="G1:G2"/>
    <mergeCell ref="I1:I2"/>
    <mergeCell ref="J1:J2"/>
    <mergeCell ref="M1:M2"/>
    <mergeCell ref="A17:B17"/>
    <mergeCell ref="A1:A2"/>
    <mergeCell ref="B1:B2"/>
    <mergeCell ref="C1:C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7274-D18A-492A-B8DD-4B5E48A81BD9}">
  <dimension ref="A1:R33"/>
  <sheetViews>
    <sheetView workbookViewId="0">
      <selection activeCell="B26" sqref="B26"/>
    </sheetView>
  </sheetViews>
  <sheetFormatPr defaultRowHeight="14.5" x14ac:dyDescent="0.35"/>
  <cols>
    <col min="4" max="4" width="10.08984375" bestFit="1" customWidth="1"/>
  </cols>
  <sheetData>
    <row r="1" spans="1:18" ht="25" x14ac:dyDescent="0.35">
      <c r="A1" s="108" t="s">
        <v>1</v>
      </c>
      <c r="B1" s="103" t="s">
        <v>2</v>
      </c>
      <c r="C1" s="103" t="s">
        <v>3</v>
      </c>
      <c r="D1" s="77" t="s">
        <v>4</v>
      </c>
      <c r="E1" s="104" t="s">
        <v>6</v>
      </c>
      <c r="F1" s="103" t="s">
        <v>7</v>
      </c>
      <c r="G1" s="103" t="s">
        <v>8</v>
      </c>
      <c r="H1" s="76" t="s">
        <v>9</v>
      </c>
      <c r="I1" s="103" t="s">
        <v>11</v>
      </c>
      <c r="J1" s="103" t="s">
        <v>12</v>
      </c>
      <c r="K1" s="76" t="s">
        <v>13</v>
      </c>
      <c r="L1" s="77" t="s">
        <v>15</v>
      </c>
      <c r="M1" s="103" t="s">
        <v>17</v>
      </c>
      <c r="N1" s="77" t="s">
        <v>18</v>
      </c>
      <c r="O1" s="104" t="s">
        <v>20</v>
      </c>
      <c r="P1" s="6" t="s">
        <v>93</v>
      </c>
      <c r="Q1" s="4" t="s">
        <v>34</v>
      </c>
      <c r="R1" s="4" t="s">
        <v>51</v>
      </c>
    </row>
    <row r="2" spans="1:18" x14ac:dyDescent="0.35">
      <c r="A2" s="108"/>
      <c r="B2" s="103"/>
      <c r="C2" s="103"/>
      <c r="D2" s="77" t="s">
        <v>5</v>
      </c>
      <c r="E2" s="104"/>
      <c r="F2" s="103"/>
      <c r="G2" s="103"/>
      <c r="H2" s="76" t="s">
        <v>10</v>
      </c>
      <c r="I2" s="103"/>
      <c r="J2" s="103"/>
      <c r="K2" s="76" t="s">
        <v>14</v>
      </c>
      <c r="L2" s="77" t="s">
        <v>16</v>
      </c>
      <c r="M2" s="103"/>
      <c r="N2" s="77" t="s">
        <v>19</v>
      </c>
      <c r="O2" s="104"/>
      <c r="Q2" s="4"/>
      <c r="R2" s="4"/>
    </row>
    <row r="3" spans="1:18" x14ac:dyDescent="0.35">
      <c r="A3" s="75" t="s">
        <v>69</v>
      </c>
      <c r="B3" s="78">
        <v>0.27</v>
      </c>
      <c r="C3" s="79">
        <v>1062</v>
      </c>
      <c r="D3" s="80">
        <v>48089</v>
      </c>
      <c r="E3" s="77"/>
      <c r="F3" s="77">
        <v>8.1</v>
      </c>
      <c r="G3" s="77">
        <v>4.2</v>
      </c>
      <c r="H3" s="81">
        <v>32.5</v>
      </c>
      <c r="I3" s="76">
        <v>21000</v>
      </c>
      <c r="J3" s="76">
        <v>1.7</v>
      </c>
      <c r="K3" s="82">
        <v>2000</v>
      </c>
      <c r="L3" s="83">
        <v>1</v>
      </c>
      <c r="M3" s="82">
        <v>3000</v>
      </c>
      <c r="N3" s="83">
        <v>0.67</v>
      </c>
      <c r="O3" s="77">
        <v>67</v>
      </c>
      <c r="P3" s="6">
        <f>C3*(1+$B$25)</f>
        <v>1257.4079999999999</v>
      </c>
      <c r="Q3" s="7">
        <f>O3/$O$15</f>
        <v>0.25283018867924528</v>
      </c>
      <c r="R3" s="4">
        <f>Q3*$B$26</f>
        <v>1187.2258415094338</v>
      </c>
    </row>
    <row r="4" spans="1:18" x14ac:dyDescent="0.35">
      <c r="A4" s="75" t="s">
        <v>65</v>
      </c>
      <c r="B4" s="78">
        <v>0.25</v>
      </c>
      <c r="C4" s="79">
        <v>1001</v>
      </c>
      <c r="D4" s="80">
        <v>48095</v>
      </c>
      <c r="E4" s="77"/>
      <c r="F4" s="77">
        <v>7.9</v>
      </c>
      <c r="G4" s="77">
        <v>4.9000000000000004</v>
      </c>
      <c r="H4" s="81">
        <v>33</v>
      </c>
      <c r="I4" s="76">
        <v>21500</v>
      </c>
      <c r="J4" s="76">
        <v>1.34</v>
      </c>
      <c r="K4" s="82">
        <v>1500</v>
      </c>
      <c r="L4" s="83">
        <v>1</v>
      </c>
      <c r="M4" s="82">
        <v>3000</v>
      </c>
      <c r="N4" s="83">
        <v>0.78</v>
      </c>
      <c r="O4" s="77">
        <v>44</v>
      </c>
      <c r="P4" s="6">
        <f t="shared" ref="P4:P14" si="0">C4*(1+$B$25)</f>
        <v>1185.184</v>
      </c>
      <c r="Q4" s="7">
        <f t="shared" ref="Q4:Q14" si="1">O4/$O$15</f>
        <v>0.16603773584905659</v>
      </c>
      <c r="R4" s="4">
        <f t="shared" ref="R4:R14" si="2">Q4*$B$26</f>
        <v>779.67070188679236</v>
      </c>
    </row>
    <row r="5" spans="1:18" x14ac:dyDescent="0.35">
      <c r="A5" s="75" t="s">
        <v>68</v>
      </c>
      <c r="B5" s="78">
        <v>0.17</v>
      </c>
      <c r="C5" s="76">
        <v>672</v>
      </c>
      <c r="D5" s="80">
        <v>48098</v>
      </c>
      <c r="E5" s="77" t="s">
        <v>23</v>
      </c>
      <c r="F5" s="77">
        <v>8</v>
      </c>
      <c r="G5" s="77">
        <v>4.4000000000000004</v>
      </c>
      <c r="H5" s="81">
        <v>32.5</v>
      </c>
      <c r="I5" s="76">
        <v>18500</v>
      </c>
      <c r="J5" s="76">
        <v>1.41</v>
      </c>
      <c r="K5" s="82">
        <v>1250</v>
      </c>
      <c r="L5" s="83">
        <v>0.94</v>
      </c>
      <c r="M5" s="82">
        <v>1250</v>
      </c>
      <c r="N5" s="83">
        <v>0.82</v>
      </c>
      <c r="O5" s="77">
        <v>47</v>
      </c>
      <c r="P5" s="6">
        <f t="shared" si="0"/>
        <v>795.64799999999991</v>
      </c>
      <c r="Q5" s="7">
        <f t="shared" si="1"/>
        <v>0.17735849056603772</v>
      </c>
      <c r="R5" s="4">
        <f t="shared" si="2"/>
        <v>832.83006792452818</v>
      </c>
    </row>
    <row r="6" spans="1:18" x14ac:dyDescent="0.35">
      <c r="A6" s="75" t="s">
        <v>130</v>
      </c>
      <c r="B6" s="78">
        <v>0.15</v>
      </c>
      <c r="C6" s="76">
        <v>614</v>
      </c>
      <c r="D6" s="80">
        <v>48154</v>
      </c>
      <c r="E6" s="77" t="s">
        <v>23</v>
      </c>
      <c r="F6" s="77">
        <v>7.5</v>
      </c>
      <c r="G6" s="77">
        <v>5</v>
      </c>
      <c r="H6" s="81">
        <v>30</v>
      </c>
      <c r="I6" s="76">
        <v>19000</v>
      </c>
      <c r="J6" s="76">
        <v>1.34</v>
      </c>
      <c r="K6" s="82">
        <v>1250</v>
      </c>
      <c r="L6" s="83">
        <v>0.93</v>
      </c>
      <c r="M6" s="82">
        <v>1250</v>
      </c>
      <c r="N6" s="83">
        <v>0.82</v>
      </c>
      <c r="O6" s="77">
        <v>39</v>
      </c>
      <c r="P6" s="6">
        <f t="shared" si="0"/>
        <v>726.976</v>
      </c>
      <c r="Q6" s="7">
        <f t="shared" si="1"/>
        <v>0.14716981132075471</v>
      </c>
      <c r="R6" s="4">
        <f t="shared" si="2"/>
        <v>691.07175849056591</v>
      </c>
    </row>
    <row r="7" spans="1:18" x14ac:dyDescent="0.35">
      <c r="A7" s="75" t="s">
        <v>66</v>
      </c>
      <c r="B7" s="78">
        <v>0.05</v>
      </c>
      <c r="C7" s="76">
        <v>211</v>
      </c>
      <c r="D7" s="80">
        <v>48072</v>
      </c>
      <c r="E7" s="77"/>
      <c r="F7" s="77">
        <v>7.3</v>
      </c>
      <c r="G7" s="77">
        <v>7.5</v>
      </c>
      <c r="H7" s="81">
        <v>32.5</v>
      </c>
      <c r="I7" s="76">
        <v>21000</v>
      </c>
      <c r="J7" s="76">
        <v>1.56</v>
      </c>
      <c r="K7" s="82">
        <v>0</v>
      </c>
      <c r="L7" s="83">
        <v>0.27</v>
      </c>
      <c r="M7" s="82">
        <v>0</v>
      </c>
      <c r="N7" s="83">
        <v>0.24</v>
      </c>
      <c r="O7" s="77">
        <v>8</v>
      </c>
      <c r="P7" s="6">
        <f t="shared" si="0"/>
        <v>249.82399999999998</v>
      </c>
      <c r="Q7" s="7">
        <f t="shared" si="1"/>
        <v>3.0188679245283019E-2</v>
      </c>
      <c r="R7" s="4">
        <f t="shared" si="2"/>
        <v>141.75830943396227</v>
      </c>
    </row>
    <row r="8" spans="1:18" x14ac:dyDescent="0.35">
      <c r="A8" s="75" t="s">
        <v>67</v>
      </c>
      <c r="B8" s="78">
        <v>0.05</v>
      </c>
      <c r="C8" s="76">
        <v>209</v>
      </c>
      <c r="D8" s="80">
        <v>47998</v>
      </c>
      <c r="E8" s="77" t="s">
        <v>23</v>
      </c>
      <c r="F8" s="77">
        <v>8</v>
      </c>
      <c r="G8" s="77">
        <v>5.0999999999999996</v>
      </c>
      <c r="H8" s="81">
        <v>31</v>
      </c>
      <c r="I8" s="76">
        <v>19000</v>
      </c>
      <c r="J8" s="76">
        <v>2.59</v>
      </c>
      <c r="K8" s="82">
        <v>1000</v>
      </c>
      <c r="L8" s="83">
        <v>0.74</v>
      </c>
      <c r="M8" s="82">
        <v>2000</v>
      </c>
      <c r="N8" s="83">
        <v>0.84</v>
      </c>
      <c r="O8" s="77">
        <v>29</v>
      </c>
      <c r="P8" s="6">
        <f t="shared" si="0"/>
        <v>247.45599999999999</v>
      </c>
      <c r="Q8" s="7">
        <f t="shared" si="1"/>
        <v>0.10943396226415095</v>
      </c>
      <c r="R8" s="4">
        <f t="shared" si="2"/>
        <v>513.87387169811313</v>
      </c>
    </row>
    <row r="9" spans="1:18" x14ac:dyDescent="0.35">
      <c r="A9" s="75" t="s">
        <v>160</v>
      </c>
      <c r="B9" s="78">
        <v>0.05</v>
      </c>
      <c r="C9" s="76">
        <v>198</v>
      </c>
      <c r="D9" s="80">
        <v>47620</v>
      </c>
      <c r="E9" s="77" t="s">
        <v>23</v>
      </c>
      <c r="F9" s="77">
        <v>7.5</v>
      </c>
      <c r="G9" s="77">
        <v>5.6</v>
      </c>
      <c r="H9" s="81">
        <v>27</v>
      </c>
      <c r="I9" s="76">
        <v>19000</v>
      </c>
      <c r="J9" s="76">
        <v>1.62</v>
      </c>
      <c r="K9" s="82">
        <v>1500</v>
      </c>
      <c r="L9" s="83">
        <v>0.77</v>
      </c>
      <c r="M9" s="82">
        <v>2000</v>
      </c>
      <c r="N9" s="83">
        <v>0.84</v>
      </c>
      <c r="O9" s="77">
        <v>31</v>
      </c>
      <c r="P9" s="6">
        <f t="shared" si="0"/>
        <v>234.43199999999999</v>
      </c>
      <c r="Q9" s="7">
        <f t="shared" si="1"/>
        <v>0.1169811320754717</v>
      </c>
      <c r="R9" s="4">
        <f t="shared" si="2"/>
        <v>549.31344905660376</v>
      </c>
    </row>
    <row r="10" spans="1:18" x14ac:dyDescent="0.35">
      <c r="A10" s="75"/>
      <c r="B10" s="78"/>
      <c r="C10" s="76"/>
      <c r="D10" s="80"/>
      <c r="E10" s="77"/>
      <c r="F10" s="77"/>
      <c r="G10" s="77"/>
      <c r="H10" s="81"/>
      <c r="I10" s="76"/>
      <c r="J10" s="76"/>
      <c r="K10" s="82"/>
      <c r="L10" s="83"/>
      <c r="M10" s="82"/>
      <c r="N10" s="83"/>
      <c r="O10" s="77"/>
      <c r="P10" s="6">
        <f t="shared" si="0"/>
        <v>0</v>
      </c>
      <c r="Q10" s="7">
        <f t="shared" si="1"/>
        <v>0</v>
      </c>
      <c r="R10" s="4">
        <f t="shared" si="2"/>
        <v>0</v>
      </c>
    </row>
    <row r="11" spans="1:18" x14ac:dyDescent="0.35">
      <c r="A11" s="75"/>
      <c r="B11" s="78"/>
      <c r="C11" s="76"/>
      <c r="D11" s="80"/>
      <c r="E11" s="77"/>
      <c r="F11" s="77"/>
      <c r="G11" s="77"/>
      <c r="H11" s="81"/>
      <c r="I11" s="76"/>
      <c r="J11" s="76"/>
      <c r="K11" s="82"/>
      <c r="L11" s="83"/>
      <c r="M11" s="82"/>
      <c r="N11" s="83"/>
      <c r="O11" s="77"/>
      <c r="P11" s="6">
        <f t="shared" si="0"/>
        <v>0</v>
      </c>
      <c r="Q11" s="7">
        <f t="shared" si="1"/>
        <v>0</v>
      </c>
      <c r="R11" s="4">
        <f t="shared" si="2"/>
        <v>0</v>
      </c>
    </row>
    <row r="12" spans="1:18" x14ac:dyDescent="0.35">
      <c r="A12" s="75"/>
      <c r="B12" s="78"/>
      <c r="C12" s="76"/>
      <c r="D12" s="80"/>
      <c r="E12" s="77"/>
      <c r="F12" s="77"/>
      <c r="G12" s="77"/>
      <c r="H12" s="81"/>
      <c r="I12" s="76"/>
      <c r="J12" s="76"/>
      <c r="K12" s="82"/>
      <c r="L12" s="83"/>
      <c r="M12" s="82"/>
      <c r="N12" s="83"/>
      <c r="O12" s="77"/>
      <c r="P12" s="6">
        <f t="shared" si="0"/>
        <v>0</v>
      </c>
      <c r="Q12" s="7">
        <f t="shared" si="1"/>
        <v>0</v>
      </c>
      <c r="R12" s="4">
        <f t="shared" si="2"/>
        <v>0</v>
      </c>
    </row>
    <row r="13" spans="1:18" x14ac:dyDescent="0.35">
      <c r="A13" s="32"/>
      <c r="B13" s="38"/>
      <c r="C13" s="34"/>
      <c r="D13" s="36"/>
      <c r="E13" s="35"/>
      <c r="F13" s="35"/>
      <c r="G13" s="35"/>
      <c r="H13" s="37"/>
      <c r="I13" s="34"/>
      <c r="J13" s="34"/>
      <c r="K13" s="63"/>
      <c r="L13" s="64"/>
      <c r="M13" s="63"/>
      <c r="N13" s="64"/>
      <c r="O13" s="65"/>
      <c r="P13" s="6">
        <f t="shared" si="0"/>
        <v>0</v>
      </c>
      <c r="Q13" s="7">
        <f t="shared" si="1"/>
        <v>0</v>
      </c>
      <c r="R13" s="4">
        <f t="shared" si="2"/>
        <v>0</v>
      </c>
    </row>
    <row r="14" spans="1:18" x14ac:dyDescent="0.35">
      <c r="A14" s="33"/>
      <c r="B14" s="66"/>
      <c r="C14" s="67"/>
      <c r="D14" s="68"/>
      <c r="E14" s="69"/>
      <c r="F14" s="69"/>
      <c r="G14" s="69"/>
      <c r="H14" s="70"/>
      <c r="I14" s="67"/>
      <c r="J14" s="67"/>
      <c r="K14" s="71"/>
      <c r="L14" s="72"/>
      <c r="M14" s="71"/>
      <c r="N14" s="72"/>
      <c r="O14" s="73"/>
      <c r="P14" s="6">
        <f t="shared" si="0"/>
        <v>0</v>
      </c>
      <c r="Q14" s="7">
        <f t="shared" si="1"/>
        <v>0</v>
      </c>
      <c r="R14" s="4">
        <f t="shared" si="2"/>
        <v>0</v>
      </c>
    </row>
    <row r="15" spans="1:18" x14ac:dyDescent="0.35">
      <c r="O15" s="4">
        <f>SUM(O1:O12)</f>
        <v>265</v>
      </c>
      <c r="P15" s="4"/>
    </row>
    <row r="17" spans="1:4" ht="14.5" customHeight="1" x14ac:dyDescent="0.35">
      <c r="A17" s="111" t="s">
        <v>70</v>
      </c>
      <c r="B17" s="112"/>
    </row>
    <row r="18" spans="1:4" x14ac:dyDescent="0.35">
      <c r="A18" s="75" t="s">
        <v>36</v>
      </c>
      <c r="B18" s="79">
        <v>3966</v>
      </c>
    </row>
    <row r="19" spans="1:4" x14ac:dyDescent="0.35">
      <c r="A19" s="75" t="s">
        <v>37</v>
      </c>
      <c r="B19" s="79">
        <v>3966</v>
      </c>
    </row>
    <row r="20" spans="1:4" x14ac:dyDescent="0.35">
      <c r="A20" s="75" t="s">
        <v>38</v>
      </c>
      <c r="B20" s="84">
        <v>0.109</v>
      </c>
    </row>
    <row r="25" spans="1:4" x14ac:dyDescent="0.35">
      <c r="A25" t="s">
        <v>39</v>
      </c>
      <c r="B25" s="85">
        <v>0.184</v>
      </c>
    </row>
    <row r="26" spans="1:4" ht="15" thickBot="1" x14ac:dyDescent="0.4">
      <c r="A26" s="27" t="s">
        <v>50</v>
      </c>
      <c r="B26" s="28">
        <f>(1+B25)*B19</f>
        <v>4695.7439999999997</v>
      </c>
    </row>
    <row r="28" spans="1:4" x14ac:dyDescent="0.35">
      <c r="A28" t="s">
        <v>71</v>
      </c>
    </row>
    <row r="29" spans="1:4" x14ac:dyDescent="0.35">
      <c r="C29" t="s">
        <v>41</v>
      </c>
      <c r="D29" t="s">
        <v>42</v>
      </c>
    </row>
    <row r="30" spans="1:4" x14ac:dyDescent="0.35">
      <c r="A30">
        <v>1</v>
      </c>
      <c r="B30" t="s">
        <v>46</v>
      </c>
      <c r="C30" t="s">
        <v>72</v>
      </c>
      <c r="D30" s="1">
        <v>0.43</v>
      </c>
    </row>
    <row r="31" spans="1:4" x14ac:dyDescent="0.35">
      <c r="A31">
        <v>2</v>
      </c>
      <c r="B31" t="s">
        <v>43</v>
      </c>
      <c r="C31" t="s">
        <v>73</v>
      </c>
      <c r="D31" s="1">
        <v>0.28999999999999998</v>
      </c>
    </row>
    <row r="32" spans="1:4" x14ac:dyDescent="0.35">
      <c r="A32">
        <v>3</v>
      </c>
      <c r="B32" t="s">
        <v>48</v>
      </c>
      <c r="C32" t="s">
        <v>74</v>
      </c>
      <c r="D32" s="1">
        <v>0.19</v>
      </c>
    </row>
    <row r="33" spans="1:4" x14ac:dyDescent="0.35">
      <c r="A33">
        <v>4</v>
      </c>
      <c r="B33" t="s">
        <v>10</v>
      </c>
      <c r="C33" t="s">
        <v>75</v>
      </c>
      <c r="D33" s="1">
        <v>0.09</v>
      </c>
    </row>
  </sheetData>
  <mergeCells count="11">
    <mergeCell ref="O1:O2"/>
    <mergeCell ref="F1:F2"/>
    <mergeCell ref="G1:G2"/>
    <mergeCell ref="I1:I2"/>
    <mergeCell ref="J1:J2"/>
    <mergeCell ref="M1:M2"/>
    <mergeCell ref="A17:B17"/>
    <mergeCell ref="A1:A2"/>
    <mergeCell ref="B1:B2"/>
    <mergeCell ref="C1:C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BFDE0-5936-4A2C-89FA-CE123E9723BD}">
  <dimension ref="A2:H20"/>
  <sheetViews>
    <sheetView workbookViewId="0">
      <selection activeCell="F3" sqref="F3"/>
    </sheetView>
  </sheetViews>
  <sheetFormatPr defaultRowHeight="14.5" x14ac:dyDescent="0.35"/>
  <cols>
    <col min="1" max="1" width="29.90625" bestFit="1" customWidth="1"/>
    <col min="2" max="2" width="9.08984375" customWidth="1"/>
  </cols>
  <sheetData>
    <row r="2" spans="1:8" x14ac:dyDescent="0.35">
      <c r="A2" t="s">
        <v>133</v>
      </c>
      <c r="B2" s="86" t="s">
        <v>52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  <row r="3" spans="1:8" x14ac:dyDescent="0.35">
      <c r="A3" t="s">
        <v>134</v>
      </c>
      <c r="B3" s="86">
        <f>SUM(C3:H3)</f>
        <v>4000</v>
      </c>
      <c r="C3">
        <v>0</v>
      </c>
      <c r="D3">
        <v>1500</v>
      </c>
      <c r="E3">
        <v>1500</v>
      </c>
      <c r="F3">
        <v>1000</v>
      </c>
    </row>
    <row r="4" spans="1:8" x14ac:dyDescent="0.35">
      <c r="A4" t="s">
        <v>135</v>
      </c>
      <c r="B4" s="86">
        <f t="shared" ref="B4:B12" si="0">SUM(C4:H4)</f>
        <v>4000</v>
      </c>
      <c r="C4">
        <v>0</v>
      </c>
      <c r="D4">
        <v>1500</v>
      </c>
      <c r="E4">
        <v>1000</v>
      </c>
      <c r="F4">
        <v>1500</v>
      </c>
    </row>
    <row r="5" spans="1:8" x14ac:dyDescent="0.35">
      <c r="A5" t="s">
        <v>136</v>
      </c>
      <c r="B5" s="86">
        <f t="shared" si="0"/>
        <v>4000</v>
      </c>
      <c r="C5">
        <v>0</v>
      </c>
      <c r="D5">
        <v>1000</v>
      </c>
      <c r="E5">
        <v>1000</v>
      </c>
      <c r="F5">
        <v>2000</v>
      </c>
    </row>
    <row r="6" spans="1:8" x14ac:dyDescent="0.35">
      <c r="A6" t="s">
        <v>137</v>
      </c>
      <c r="B6" s="86">
        <f t="shared" si="0"/>
        <v>4000</v>
      </c>
      <c r="C6">
        <v>1600</v>
      </c>
      <c r="D6">
        <v>1000</v>
      </c>
      <c r="E6">
        <v>1000</v>
      </c>
      <c r="F6">
        <v>400</v>
      </c>
    </row>
    <row r="7" spans="1:8" x14ac:dyDescent="0.35">
      <c r="A7" t="s">
        <v>138</v>
      </c>
      <c r="B7" s="86">
        <f t="shared" si="0"/>
        <v>4000</v>
      </c>
      <c r="C7">
        <v>1600</v>
      </c>
      <c r="D7">
        <v>1000</v>
      </c>
      <c r="E7">
        <v>1400</v>
      </c>
      <c r="F7">
        <v>0</v>
      </c>
    </row>
    <row r="8" spans="1:8" x14ac:dyDescent="0.35">
      <c r="A8" t="s">
        <v>139</v>
      </c>
      <c r="B8" s="86">
        <f t="shared" si="0"/>
        <v>4000</v>
      </c>
      <c r="C8">
        <v>1000</v>
      </c>
      <c r="D8">
        <v>1000</v>
      </c>
      <c r="E8">
        <v>1000</v>
      </c>
      <c r="F8">
        <v>1000</v>
      </c>
    </row>
    <row r="9" spans="1:8" x14ac:dyDescent="0.35">
      <c r="A9" t="s">
        <v>140</v>
      </c>
      <c r="B9" s="86">
        <f t="shared" si="0"/>
        <v>4000</v>
      </c>
      <c r="C9">
        <v>0</v>
      </c>
      <c r="D9">
        <v>1500</v>
      </c>
      <c r="E9">
        <v>1000</v>
      </c>
      <c r="F9">
        <v>1500</v>
      </c>
    </row>
    <row r="10" spans="1:8" x14ac:dyDescent="0.35">
      <c r="A10" t="s">
        <v>141</v>
      </c>
      <c r="B10" s="86">
        <f t="shared" si="0"/>
        <v>4000</v>
      </c>
      <c r="C10">
        <v>1400</v>
      </c>
      <c r="D10">
        <v>1000</v>
      </c>
      <c r="E10">
        <v>1000</v>
      </c>
      <c r="F10">
        <v>600</v>
      </c>
    </row>
    <row r="11" spans="1:8" x14ac:dyDescent="0.35">
      <c r="A11" t="s">
        <v>142</v>
      </c>
      <c r="B11" s="86">
        <f t="shared" si="0"/>
        <v>4000</v>
      </c>
      <c r="C11">
        <v>0</v>
      </c>
      <c r="D11">
        <v>1500</v>
      </c>
      <c r="E11">
        <v>1000</v>
      </c>
      <c r="F11">
        <v>1500</v>
      </c>
    </row>
    <row r="12" spans="1:8" x14ac:dyDescent="0.35">
      <c r="A12" t="s">
        <v>143</v>
      </c>
      <c r="B12" s="86">
        <f t="shared" si="0"/>
        <v>4000</v>
      </c>
      <c r="C12">
        <v>0</v>
      </c>
      <c r="D12">
        <v>1250</v>
      </c>
      <c r="E12">
        <v>1000</v>
      </c>
      <c r="F12">
        <v>1750</v>
      </c>
    </row>
    <row r="13" spans="1:8" x14ac:dyDescent="0.35">
      <c r="C13">
        <f>SUM(C3:C12)</f>
        <v>5600</v>
      </c>
      <c r="D13">
        <f t="shared" ref="D13:H13" si="1">SUM(D3:D12)</f>
        <v>12250</v>
      </c>
      <c r="E13">
        <f t="shared" si="1"/>
        <v>10900</v>
      </c>
      <c r="F13">
        <f t="shared" si="1"/>
        <v>11250</v>
      </c>
      <c r="G13">
        <f t="shared" si="1"/>
        <v>0</v>
      </c>
      <c r="H13">
        <f t="shared" si="1"/>
        <v>0</v>
      </c>
    </row>
    <row r="14" spans="1:8" ht="15" thickBot="1" x14ac:dyDescent="0.4"/>
    <row r="15" spans="1:8" ht="23" thickBot="1" x14ac:dyDescent="0.4">
      <c r="D15" s="89" t="s">
        <v>144</v>
      </c>
      <c r="E15" s="89" t="s">
        <v>145</v>
      </c>
      <c r="F15" s="91" t="s">
        <v>146</v>
      </c>
    </row>
    <row r="16" spans="1:8" ht="15.5" thickBot="1" x14ac:dyDescent="0.4">
      <c r="D16" s="87" t="s">
        <v>147</v>
      </c>
      <c r="E16" s="88">
        <v>0.05</v>
      </c>
      <c r="F16" s="92">
        <v>0.05</v>
      </c>
    </row>
    <row r="17" spans="4:6" ht="15.5" thickBot="1" x14ac:dyDescent="0.4">
      <c r="D17" s="89" t="s">
        <v>148</v>
      </c>
      <c r="E17" s="90">
        <v>4.2999999999999997E-2</v>
      </c>
      <c r="F17" s="93">
        <v>4.2999999999999997E-2</v>
      </c>
    </row>
    <row r="18" spans="4:6" ht="23" thickBot="1" x14ac:dyDescent="0.4">
      <c r="D18" s="87" t="s">
        <v>149</v>
      </c>
      <c r="E18" s="88">
        <v>0.39500000000000002</v>
      </c>
      <c r="F18" s="92">
        <v>0.39500000000000002</v>
      </c>
    </row>
    <row r="19" spans="4:6" ht="15.5" thickBot="1" x14ac:dyDescent="0.4">
      <c r="D19" s="89" t="s">
        <v>150</v>
      </c>
      <c r="E19" s="90">
        <v>0.43099999999999999</v>
      </c>
      <c r="F19" s="93">
        <v>0.43099999999999999</v>
      </c>
    </row>
    <row r="20" spans="4:6" ht="15.5" thickBot="1" x14ac:dyDescent="0.4">
      <c r="D20" s="94" t="s">
        <v>151</v>
      </c>
      <c r="E20" s="95">
        <v>0.11899999999999999</v>
      </c>
      <c r="F20" s="96">
        <v>0.11899999999999999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A10E-688D-4A14-8F13-B63238FAFBB9}">
  <dimension ref="A1:P24"/>
  <sheetViews>
    <sheetView workbookViewId="0">
      <selection activeCell="B4" sqref="B4:F8"/>
    </sheetView>
  </sheetViews>
  <sheetFormatPr defaultRowHeight="14.5" x14ac:dyDescent="0.35"/>
  <sheetData>
    <row r="1" spans="1:16" x14ac:dyDescent="0.35">
      <c r="A1" t="s">
        <v>153</v>
      </c>
    </row>
    <row r="2" spans="1:16" x14ac:dyDescent="0.35">
      <c r="B2" t="s">
        <v>0</v>
      </c>
      <c r="C2" t="s">
        <v>94</v>
      </c>
      <c r="D2" t="s">
        <v>95</v>
      </c>
      <c r="E2" t="s">
        <v>96</v>
      </c>
      <c r="F2" t="s">
        <v>97</v>
      </c>
      <c r="H2" t="s">
        <v>52</v>
      </c>
      <c r="I2" t="s">
        <v>154</v>
      </c>
      <c r="J2" t="s">
        <v>14</v>
      </c>
      <c r="K2" t="s">
        <v>156</v>
      </c>
      <c r="L2" t="s">
        <v>155</v>
      </c>
      <c r="O2" t="s">
        <v>14</v>
      </c>
      <c r="P2" t="s">
        <v>156</v>
      </c>
    </row>
    <row r="3" spans="1:16" x14ac:dyDescent="0.35">
      <c r="A3" t="s">
        <v>132</v>
      </c>
      <c r="B3">
        <f>_xlfn.XLOOKUP($A3,Traditional!$A$2:$A$14,Traditional!$L$2:$L$14,0)</f>
        <v>0</v>
      </c>
      <c r="C3">
        <f>_xlfn.XLOOKUP($A3,LowEnd!$A$2:$A$14,LowEnd!$L$2:$L$14,0)</f>
        <v>0</v>
      </c>
      <c r="D3">
        <f>_xlfn.XLOOKUP($A3,HighEnd!$A$2:$A$14,HighEnd!$L$2:$L$14,0)</f>
        <v>1</v>
      </c>
      <c r="E3">
        <f>_xlfn.XLOOKUP($A3,Performance!$A$2:$A$14,Performance!$L$2:$L$14,0)</f>
        <v>0</v>
      </c>
      <c r="F3">
        <f>_xlfn.XLOOKUP($A3,Size!$A$2:$A$14,Size!$L$2:$L$14,0)</f>
        <v>0</v>
      </c>
      <c r="H3">
        <f>MAX(B3:F3)</f>
        <v>1</v>
      </c>
      <c r="I3">
        <f t="shared" ref="I3:I10" si="0">H3*2/3</f>
        <v>0.66666666666666663</v>
      </c>
      <c r="J3">
        <v>2000</v>
      </c>
      <c r="K3">
        <f>J3*0.00033-0.11</f>
        <v>0.55000000000000004</v>
      </c>
      <c r="L3">
        <f>I3+K3</f>
        <v>1.2166666666666668</v>
      </c>
      <c r="P3">
        <f>O3*0.23/1000-0.11</f>
        <v>-0.11</v>
      </c>
    </row>
    <row r="4" spans="1:16" x14ac:dyDescent="0.35">
      <c r="A4" t="s">
        <v>31</v>
      </c>
      <c r="B4">
        <f>_xlfn.XLOOKUP($A4,Traditional!$A$2:$A$14,Traditional!$L$2:$L$14,0)</f>
        <v>0</v>
      </c>
      <c r="C4">
        <f>_xlfn.XLOOKUP($A4,LowEnd!$A$2:$A$14,LowEnd!$L$2:$L$14,0)</f>
        <v>1</v>
      </c>
      <c r="D4">
        <f>_xlfn.XLOOKUP($A4,HighEnd!$A$2:$A$14,HighEnd!$L$2:$L$14,0)</f>
        <v>0</v>
      </c>
      <c r="E4">
        <f>_xlfn.XLOOKUP($A4,Performance!$A$2:$A$14,Performance!$L$2:$L$14,0)</f>
        <v>0</v>
      </c>
      <c r="F4">
        <f>_xlfn.XLOOKUP($A4,Size!$A$2:$A$14,Size!$L$2:$L$14,0)</f>
        <v>0</v>
      </c>
      <c r="H4">
        <f t="shared" ref="H4:H8" si="1">MAX(B4:F4)</f>
        <v>1</v>
      </c>
      <c r="I4">
        <f t="shared" si="0"/>
        <v>0.66666666666666663</v>
      </c>
      <c r="J4">
        <v>1444.4444444445351</v>
      </c>
      <c r="K4">
        <f t="shared" ref="K4:K8" si="2">J4*0.00033-0.11</f>
        <v>0.36666666666669656</v>
      </c>
      <c r="L4">
        <f t="shared" ref="L4:L9" si="3">I4+K4</f>
        <v>1.0333333333333632</v>
      </c>
      <c r="N4" t="s">
        <v>14</v>
      </c>
      <c r="O4">
        <v>1000</v>
      </c>
      <c r="P4">
        <f t="shared" ref="P4" si="4">O4*0.00033-0.11</f>
        <v>0.22000000000000003</v>
      </c>
    </row>
    <row r="5" spans="1:16" x14ac:dyDescent="0.35">
      <c r="A5" t="s">
        <v>119</v>
      </c>
      <c r="B5">
        <f>_xlfn.XLOOKUP($A5,Traditional!$A$2:$A$14,Traditional!$L$2:$L$14,0)</f>
        <v>1</v>
      </c>
      <c r="C5">
        <f>_xlfn.XLOOKUP($A5,LowEnd!$A$2:$A$14,LowEnd!$L$2:$L$14,0)</f>
        <v>0</v>
      </c>
      <c r="D5">
        <f>_xlfn.XLOOKUP($A5,HighEnd!$A$2:$A$14,HighEnd!$L$2:$L$14,0)</f>
        <v>0</v>
      </c>
      <c r="E5">
        <f>_xlfn.XLOOKUP($A5,Performance!$A$2:$A$14,Performance!$L$2:$L$14,0)</f>
        <v>0</v>
      </c>
      <c r="F5">
        <f>_xlfn.XLOOKUP($A5,Size!$A$2:$A$14,Size!$L$2:$L$14,0)</f>
        <v>0</v>
      </c>
      <c r="H5">
        <f t="shared" si="1"/>
        <v>1</v>
      </c>
      <c r="I5">
        <f t="shared" si="0"/>
        <v>0.66666666666666663</v>
      </c>
      <c r="J5">
        <v>1400</v>
      </c>
      <c r="K5">
        <f t="shared" si="2"/>
        <v>0.35200000000000004</v>
      </c>
      <c r="L5">
        <f t="shared" si="3"/>
        <v>1.0186666666666666</v>
      </c>
      <c r="O5">
        <v>1100</v>
      </c>
      <c r="P5">
        <f>($P$14-$P$4)/100+P4</f>
        <v>0.22230000000000003</v>
      </c>
    </row>
    <row r="6" spans="1:16" x14ac:dyDescent="0.35">
      <c r="A6" t="s">
        <v>69</v>
      </c>
      <c r="B6">
        <f>_xlfn.XLOOKUP($A6,Traditional!$A$2:$A$14,Traditional!$L$2:$L$14,0)</f>
        <v>0</v>
      </c>
      <c r="C6">
        <f>_xlfn.XLOOKUP($A6,LowEnd!$A$2:$A$14,LowEnd!$L$2:$L$14,0)</f>
        <v>0</v>
      </c>
      <c r="D6">
        <f>_xlfn.XLOOKUP($A6,HighEnd!$A$2:$A$14,HighEnd!$L$2:$L$14,0)</f>
        <v>0</v>
      </c>
      <c r="E6">
        <f>_xlfn.XLOOKUP($A6,Performance!$A$2:$A$14,Performance!$L$2:$L$14,0)</f>
        <v>0</v>
      </c>
      <c r="F6">
        <f>_xlfn.XLOOKUP($A6,Size!$A$2:$A$14,Size!$L$2:$L$14,0)</f>
        <v>1</v>
      </c>
      <c r="H6">
        <f t="shared" si="1"/>
        <v>1</v>
      </c>
      <c r="I6">
        <f t="shared" si="0"/>
        <v>0.66666666666666663</v>
      </c>
      <c r="J6">
        <v>1486</v>
      </c>
      <c r="K6">
        <f t="shared" si="2"/>
        <v>0.38038</v>
      </c>
      <c r="L6">
        <f t="shared" si="3"/>
        <v>1.0470466666666667</v>
      </c>
      <c r="O6">
        <v>1200</v>
      </c>
      <c r="P6">
        <f t="shared" ref="P6:P13" si="5">($P$14-$P$4)/100+P5</f>
        <v>0.22460000000000002</v>
      </c>
    </row>
    <row r="7" spans="1:16" x14ac:dyDescent="0.35">
      <c r="A7" t="s">
        <v>99</v>
      </c>
      <c r="B7">
        <f>_xlfn.XLOOKUP($A7,Traditional!$A$2:$A$14,Traditional!$L$2:$L$14,0)</f>
        <v>0</v>
      </c>
      <c r="C7">
        <f>_xlfn.XLOOKUP($A7,LowEnd!$A$2:$A$14,LowEnd!$L$2:$L$14,0)</f>
        <v>0</v>
      </c>
      <c r="D7">
        <f>_xlfn.XLOOKUP($A7,HighEnd!$A$2:$A$14,HighEnd!$L$2:$L$14,0)</f>
        <v>0</v>
      </c>
      <c r="E7">
        <f>_xlfn.XLOOKUP($A7,Performance!$A$2:$A$14,Performance!$L$2:$L$14,0)</f>
        <v>1</v>
      </c>
      <c r="F7">
        <f>_xlfn.XLOOKUP($A7,Size!$A$2:$A$14,Size!$L$2:$L$14,0)</f>
        <v>0</v>
      </c>
      <c r="H7">
        <f t="shared" si="1"/>
        <v>1</v>
      </c>
      <c r="I7">
        <f t="shared" si="0"/>
        <v>0.66666666666666663</v>
      </c>
      <c r="J7">
        <v>1707.0707070706167</v>
      </c>
      <c r="K7">
        <f t="shared" si="2"/>
        <v>0.4533333333333035</v>
      </c>
      <c r="L7">
        <f t="shared" si="3"/>
        <v>1.1199999999999701</v>
      </c>
      <c r="O7">
        <v>1300</v>
      </c>
      <c r="P7">
        <f t="shared" si="5"/>
        <v>0.22690000000000002</v>
      </c>
    </row>
    <row r="8" spans="1:16" x14ac:dyDescent="0.35">
      <c r="A8" t="s">
        <v>129</v>
      </c>
      <c r="B8">
        <f>_xlfn.XLOOKUP($A8,Traditional!$A$2:$A$14,Traditional!$L$2:$L$14,0)</f>
        <v>0</v>
      </c>
      <c r="C8">
        <f>_xlfn.XLOOKUP($A8,LowEnd!$A$2:$A$14,LowEnd!$L$2:$L$14,0)</f>
        <v>0</v>
      </c>
      <c r="D8">
        <f>_xlfn.XLOOKUP($A8,HighEnd!$A$2:$A$14,HighEnd!$L$2:$L$14,0)</f>
        <v>0</v>
      </c>
      <c r="E8">
        <f>_xlfn.XLOOKUP($A8,Performance!$A$2:$A$14,Performance!$L$2:$L$14,0)</f>
        <v>1</v>
      </c>
      <c r="F8">
        <f>_xlfn.XLOOKUP($A8,Size!$A$2:$A$14,Size!$L$2:$L$14,0)</f>
        <v>0</v>
      </c>
      <c r="H8">
        <f t="shared" si="1"/>
        <v>1</v>
      </c>
      <c r="I8">
        <f t="shared" si="0"/>
        <v>0.66666666666666663</v>
      </c>
      <c r="J8">
        <v>1526</v>
      </c>
      <c r="K8">
        <f t="shared" si="2"/>
        <v>0.39358000000000004</v>
      </c>
      <c r="L8">
        <f t="shared" si="3"/>
        <v>1.0602466666666666</v>
      </c>
      <c r="O8">
        <v>1400</v>
      </c>
      <c r="P8">
        <f t="shared" si="5"/>
        <v>0.22920000000000001</v>
      </c>
    </row>
    <row r="9" spans="1:16" x14ac:dyDescent="0.35">
      <c r="H9">
        <v>1</v>
      </c>
      <c r="I9">
        <f t="shared" si="0"/>
        <v>0.66666666666666663</v>
      </c>
      <c r="J9">
        <v>1400</v>
      </c>
      <c r="K9">
        <f>0.23/1000*(J9-1000)+0.22</f>
        <v>0.312</v>
      </c>
      <c r="L9">
        <f t="shared" si="3"/>
        <v>0.97866666666666657</v>
      </c>
      <c r="O9">
        <v>1500</v>
      </c>
      <c r="P9">
        <f t="shared" si="5"/>
        <v>0.23150000000000001</v>
      </c>
    </row>
    <row r="10" spans="1:16" x14ac:dyDescent="0.35">
      <c r="H10">
        <v>0.7</v>
      </c>
      <c r="I10">
        <f t="shared" si="0"/>
        <v>0.46666666666666662</v>
      </c>
      <c r="O10">
        <v>1600</v>
      </c>
      <c r="P10">
        <f t="shared" si="5"/>
        <v>0.23380000000000001</v>
      </c>
    </row>
    <row r="11" spans="1:16" x14ac:dyDescent="0.35">
      <c r="O11">
        <v>1700</v>
      </c>
      <c r="P11">
        <f t="shared" si="5"/>
        <v>0.2361</v>
      </c>
    </row>
    <row r="12" spans="1:16" x14ac:dyDescent="0.35">
      <c r="J12">
        <f>0.58+0.45</f>
        <v>1.03</v>
      </c>
      <c r="M12">
        <f>0.23/1000</f>
        <v>2.3000000000000001E-4</v>
      </c>
      <c r="O12">
        <v>1800</v>
      </c>
      <c r="P12">
        <f t="shared" si="5"/>
        <v>0.2384</v>
      </c>
    </row>
    <row r="13" spans="1:16" x14ac:dyDescent="0.35">
      <c r="O13">
        <v>1900</v>
      </c>
      <c r="P13">
        <f t="shared" si="5"/>
        <v>0.2407</v>
      </c>
    </row>
    <row r="14" spans="1:16" x14ac:dyDescent="0.35">
      <c r="O14">
        <v>2000</v>
      </c>
      <c r="P14">
        <v>0.45</v>
      </c>
    </row>
    <row r="15" spans="1:16" x14ac:dyDescent="0.35">
      <c r="O15">
        <v>2100</v>
      </c>
    </row>
    <row r="16" spans="1:16" x14ac:dyDescent="0.35">
      <c r="A16" t="s">
        <v>152</v>
      </c>
      <c r="O16">
        <v>2200</v>
      </c>
    </row>
    <row r="17" spans="1:15" x14ac:dyDescent="0.35">
      <c r="B17" t="s">
        <v>0</v>
      </c>
      <c r="C17" t="s">
        <v>94</v>
      </c>
      <c r="D17" t="s">
        <v>95</v>
      </c>
      <c r="E17" t="s">
        <v>96</v>
      </c>
      <c r="F17" t="s">
        <v>97</v>
      </c>
      <c r="H17" t="s">
        <v>52</v>
      </c>
      <c r="O17">
        <v>2300</v>
      </c>
    </row>
    <row r="18" spans="1:15" x14ac:dyDescent="0.35">
      <c r="A18" t="s">
        <v>132</v>
      </c>
      <c r="B18">
        <f>_xlfn.XLOOKUP($A18,Traditional!$A$2:$A$14,Traditional!$N$2:$N$14,0)</f>
        <v>0</v>
      </c>
      <c r="C18">
        <f>_xlfn.XLOOKUP($A18,LowEnd!$A$2:$A$14,LowEnd!$N$2:$N$14,0)</f>
        <v>0</v>
      </c>
      <c r="D18">
        <f>_xlfn.XLOOKUP($A18,HighEnd!$A$2:$A$14,HighEnd!$N$2:$N$14,0)</f>
        <v>0.55000000000000004</v>
      </c>
      <c r="E18">
        <f>_xlfn.XLOOKUP($A18,Performance!$A$2:$A$14,Performance!$N$2:$N$14,0)</f>
        <v>0</v>
      </c>
      <c r="F18">
        <f>_xlfn.XLOOKUP($A18,Size!$A$2:$A$14,Size!$N$2:$N$14,0)</f>
        <v>0</v>
      </c>
      <c r="H18">
        <f>MAX(B18:F18)</f>
        <v>0.55000000000000004</v>
      </c>
      <c r="I18">
        <f t="shared" ref="I18:I24" si="6">H18*2/3</f>
        <v>0.3666666666666667</v>
      </c>
      <c r="L18">
        <f>I18+$P$27</f>
        <v>0.3666666666666667</v>
      </c>
      <c r="O18">
        <v>2400</v>
      </c>
    </row>
    <row r="19" spans="1:15" x14ac:dyDescent="0.35">
      <c r="A19" t="s">
        <v>31</v>
      </c>
      <c r="B19">
        <f>_xlfn.XLOOKUP($A19,Traditional!$A$2:$A$14,Traditional!$N$2:$N$14,0)</f>
        <v>0</v>
      </c>
      <c r="C19">
        <f>_xlfn.XLOOKUP($A19,LowEnd!$A$2:$A$14,LowEnd!$N$2:$N$14,0)</f>
        <v>0.78</v>
      </c>
      <c r="D19">
        <f>_xlfn.XLOOKUP($A19,HighEnd!$A$2:$A$14,HighEnd!$N$2:$N$14,0)</f>
        <v>0</v>
      </c>
      <c r="E19">
        <f>_xlfn.XLOOKUP($A19,Performance!$A$2:$A$14,Performance!$N$2:$N$14,0)</f>
        <v>0</v>
      </c>
      <c r="F19">
        <f>_xlfn.XLOOKUP($A19,Size!$A$2:$A$14,Size!$N$2:$N$14,0)</f>
        <v>0</v>
      </c>
      <c r="H19">
        <f t="shared" ref="H19:H24" si="7">MAX(B19:F19)</f>
        <v>0.78</v>
      </c>
      <c r="I19">
        <f t="shared" si="6"/>
        <v>0.52</v>
      </c>
      <c r="L19">
        <f t="shared" ref="L19:L24" si="8">I19+$P$27</f>
        <v>0.52</v>
      </c>
      <c r="O19">
        <v>2500</v>
      </c>
    </row>
    <row r="20" spans="1:15" x14ac:dyDescent="0.35">
      <c r="A20" t="s">
        <v>119</v>
      </c>
      <c r="B20">
        <f>_xlfn.XLOOKUP($A20,Traditional!$A$2:$A$14,Traditional!$N$2:$N$14,0)</f>
        <v>0.78</v>
      </c>
      <c r="C20">
        <f>_xlfn.XLOOKUP($A20,LowEnd!$A$2:$A$14,LowEnd!$N$2:$N$14,0)</f>
        <v>0</v>
      </c>
      <c r="D20">
        <f>_xlfn.XLOOKUP($A20,HighEnd!$A$2:$A$14,HighEnd!$N$2:$N$14,0)</f>
        <v>0</v>
      </c>
      <c r="E20">
        <f>_xlfn.XLOOKUP($A20,Performance!$A$2:$A$14,Performance!$N$2:$N$14,0)</f>
        <v>0</v>
      </c>
      <c r="F20">
        <f>_xlfn.XLOOKUP($A20,Size!$A$2:$A$14,Size!$N$2:$N$14,0)</f>
        <v>0</v>
      </c>
      <c r="H20">
        <f t="shared" si="7"/>
        <v>0.78</v>
      </c>
      <c r="I20">
        <f t="shared" si="6"/>
        <v>0.52</v>
      </c>
      <c r="L20">
        <f t="shared" si="8"/>
        <v>0.52</v>
      </c>
      <c r="O20">
        <v>2600</v>
      </c>
    </row>
    <row r="21" spans="1:15" x14ac:dyDescent="0.35">
      <c r="A21" t="s">
        <v>62</v>
      </c>
      <c r="B21">
        <f>_xlfn.XLOOKUP($A21,Traditional!$A$2:$A$14,Traditional!$N$2:$N$14,0)</f>
        <v>0</v>
      </c>
      <c r="C21">
        <f>_xlfn.XLOOKUP($A21,LowEnd!$A$2:$A$14,LowEnd!$N$2:$N$14,0)</f>
        <v>0</v>
      </c>
      <c r="D21">
        <f>_xlfn.XLOOKUP($A21,HighEnd!$A$2:$A$14,HighEnd!$N$2:$N$14,0)</f>
        <v>0</v>
      </c>
      <c r="E21">
        <f>_xlfn.XLOOKUP($A21,Performance!$A$2:$A$14,Performance!$N$2:$N$14,0)</f>
        <v>0</v>
      </c>
      <c r="F21">
        <f>_xlfn.XLOOKUP($A21,Size!$A$2:$A$14,Size!$N$2:$N$14,0)</f>
        <v>0</v>
      </c>
      <c r="H21">
        <f t="shared" si="7"/>
        <v>0</v>
      </c>
      <c r="I21">
        <f t="shared" si="6"/>
        <v>0</v>
      </c>
      <c r="O21">
        <v>2700</v>
      </c>
    </row>
    <row r="22" spans="1:15" x14ac:dyDescent="0.35">
      <c r="A22" t="s">
        <v>69</v>
      </c>
      <c r="B22">
        <f>_xlfn.XLOOKUP($A22,Traditional!$A$2:$A$14,Traditional!$N$2:$N$14,0)</f>
        <v>0</v>
      </c>
      <c r="C22">
        <f>_xlfn.XLOOKUP($A22,LowEnd!$A$2:$A$14,LowEnd!$N$2:$N$14,0)</f>
        <v>0</v>
      </c>
      <c r="D22">
        <f>_xlfn.XLOOKUP($A22,HighEnd!$A$2:$A$14,HighEnd!$N$2:$N$14,0)</f>
        <v>0</v>
      </c>
      <c r="E22">
        <f>_xlfn.XLOOKUP($A22,Performance!$A$2:$A$14,Performance!$N$2:$N$14,0)</f>
        <v>0</v>
      </c>
      <c r="F22">
        <f>_xlfn.XLOOKUP($A22,Size!$A$2:$A$14,Size!$N$2:$N$14,0)</f>
        <v>0.67</v>
      </c>
      <c r="H22">
        <f t="shared" si="7"/>
        <v>0.67</v>
      </c>
      <c r="I22">
        <f t="shared" si="6"/>
        <v>0.44666666666666671</v>
      </c>
      <c r="L22">
        <f t="shared" si="8"/>
        <v>0.44666666666666671</v>
      </c>
      <c r="O22">
        <v>2800</v>
      </c>
    </row>
    <row r="23" spans="1:15" x14ac:dyDescent="0.35">
      <c r="A23" t="s">
        <v>99</v>
      </c>
      <c r="B23">
        <f>_xlfn.XLOOKUP($A23,Traditional!$A$2:$A$14,Traditional!$N$2:$N$14,0)</f>
        <v>0</v>
      </c>
      <c r="C23">
        <f>_xlfn.XLOOKUP($A23,LowEnd!$A$2:$A$14,LowEnd!$N$2:$N$14,0)</f>
        <v>0</v>
      </c>
      <c r="D23">
        <f>_xlfn.XLOOKUP($A23,HighEnd!$A$2:$A$14,HighEnd!$N$2:$N$14,0)</f>
        <v>0</v>
      </c>
      <c r="E23">
        <f>_xlfn.XLOOKUP($A23,Performance!$A$2:$A$14,Performance!$N$2:$N$14,0)</f>
        <v>0.64</v>
      </c>
      <c r="F23">
        <f>_xlfn.XLOOKUP($A23,Size!$A$2:$A$14,Size!$N$2:$N$14,0)</f>
        <v>0</v>
      </c>
      <c r="H23">
        <f t="shared" si="7"/>
        <v>0.64</v>
      </c>
      <c r="I23">
        <f t="shared" si="6"/>
        <v>0.42666666666666669</v>
      </c>
      <c r="L23">
        <f t="shared" si="8"/>
        <v>0.42666666666666669</v>
      </c>
      <c r="O23">
        <v>2900</v>
      </c>
    </row>
    <row r="24" spans="1:15" x14ac:dyDescent="0.35">
      <c r="A24" t="s">
        <v>129</v>
      </c>
      <c r="B24">
        <f>_xlfn.XLOOKUP($A24,Traditional!$A$2:$A$14,Traditional!$N$2:$N$14,0)</f>
        <v>0</v>
      </c>
      <c r="C24">
        <f>_xlfn.XLOOKUP($A24,LowEnd!$A$2:$A$14,LowEnd!$N$2:$N$14,0)</f>
        <v>0</v>
      </c>
      <c r="D24">
        <f>_xlfn.XLOOKUP($A24,HighEnd!$A$2:$A$14,HighEnd!$N$2:$N$14,0)</f>
        <v>0</v>
      </c>
      <c r="E24">
        <f>_xlfn.XLOOKUP($A24,Performance!$A$2:$A$14,Performance!$N$2:$N$14,0)</f>
        <v>0.64</v>
      </c>
      <c r="F24">
        <f>_xlfn.XLOOKUP($A24,Size!$A$2:$A$14,Size!$N$2:$N$14,0)</f>
        <v>0</v>
      </c>
      <c r="H24">
        <f t="shared" si="7"/>
        <v>0.64</v>
      </c>
      <c r="I24">
        <f t="shared" si="6"/>
        <v>0.42666666666666669</v>
      </c>
      <c r="L24">
        <f t="shared" si="8"/>
        <v>0.42666666666666669</v>
      </c>
      <c r="O24"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6704C-9979-430E-BBCB-B92EE6BA0752}">
  <dimension ref="A1:U40"/>
  <sheetViews>
    <sheetView workbookViewId="0">
      <selection activeCell="S18" sqref="S18"/>
    </sheetView>
  </sheetViews>
  <sheetFormatPr defaultRowHeight="14.5" x14ac:dyDescent="0.35"/>
  <sheetData>
    <row r="1" spans="1:17" x14ac:dyDescent="0.35">
      <c r="A1" s="120" t="s">
        <v>1</v>
      </c>
      <c r="B1" s="113" t="s">
        <v>103</v>
      </c>
      <c r="C1" s="113" t="s">
        <v>104</v>
      </c>
      <c r="D1" s="113" t="s">
        <v>105</v>
      </c>
      <c r="E1" s="113" t="s">
        <v>106</v>
      </c>
      <c r="F1" s="113" t="s">
        <v>12</v>
      </c>
      <c r="G1" s="113" t="s">
        <v>11</v>
      </c>
      <c r="H1" s="113" t="s">
        <v>7</v>
      </c>
      <c r="I1" s="113" t="s">
        <v>8</v>
      </c>
      <c r="J1" s="113" t="s">
        <v>10</v>
      </c>
      <c r="K1" s="113" t="s">
        <v>107</v>
      </c>
      <c r="L1" s="113" t="s">
        <v>108</v>
      </c>
      <c r="M1" s="113" t="s">
        <v>109</v>
      </c>
      <c r="N1" s="40" t="s">
        <v>110</v>
      </c>
      <c r="O1" s="113" t="s">
        <v>113</v>
      </c>
      <c r="P1" s="113" t="s">
        <v>114</v>
      </c>
      <c r="Q1" s="118" t="s">
        <v>115</v>
      </c>
    </row>
    <row r="2" spans="1:17" x14ac:dyDescent="0.35">
      <c r="A2" s="121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34" t="s">
        <v>111</v>
      </c>
      <c r="O2" s="114"/>
      <c r="P2" s="114"/>
      <c r="Q2" s="119"/>
    </row>
    <row r="3" spans="1:17" x14ac:dyDescent="0.35">
      <c r="A3" s="121"/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34" t="s">
        <v>112</v>
      </c>
      <c r="O3" s="114"/>
      <c r="P3" s="114"/>
      <c r="Q3" s="119"/>
    </row>
    <row r="4" spans="1:17" x14ac:dyDescent="0.35">
      <c r="A4" s="117"/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x14ac:dyDescent="0.35">
      <c r="A5" s="117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6"/>
    </row>
    <row r="6" spans="1:17" hidden="1" x14ac:dyDescent="0.35">
      <c r="A6" s="41" t="s">
        <v>21</v>
      </c>
      <c r="B6" s="35" t="s">
        <v>116</v>
      </c>
      <c r="C6" s="34">
        <v>999</v>
      </c>
      <c r="D6" s="34">
        <v>189</v>
      </c>
      <c r="E6" s="36">
        <v>44521</v>
      </c>
      <c r="F6" s="34">
        <v>3.1</v>
      </c>
      <c r="G6" s="34">
        <v>17500</v>
      </c>
      <c r="H6" s="34">
        <v>4.9000000000000004</v>
      </c>
      <c r="I6" s="34">
        <v>14.9</v>
      </c>
      <c r="J6" s="37">
        <v>28</v>
      </c>
      <c r="K6" s="37">
        <v>11.59</v>
      </c>
      <c r="L6" s="37">
        <v>7.49</v>
      </c>
      <c r="M6" s="38">
        <v>0.28999999999999998</v>
      </c>
      <c r="N6" s="38">
        <v>0</v>
      </c>
      <c r="O6" s="34">
        <v>4</v>
      </c>
      <c r="P6" s="31">
        <v>1800</v>
      </c>
      <c r="Q6" s="43">
        <v>0.66</v>
      </c>
    </row>
    <row r="7" spans="1:17" hidden="1" x14ac:dyDescent="0.35">
      <c r="A7" s="41" t="s">
        <v>33</v>
      </c>
      <c r="B7" s="35" t="s">
        <v>117</v>
      </c>
      <c r="C7" s="31">
        <v>1763</v>
      </c>
      <c r="D7" s="34">
        <v>39</v>
      </c>
      <c r="E7" s="36">
        <v>43975</v>
      </c>
      <c r="F7" s="34">
        <v>4.5999999999999996</v>
      </c>
      <c r="G7" s="34">
        <v>14000</v>
      </c>
      <c r="H7" s="34">
        <v>2.4</v>
      </c>
      <c r="I7" s="34">
        <v>17.399999999999999</v>
      </c>
      <c r="J7" s="37">
        <v>21</v>
      </c>
      <c r="K7" s="37">
        <v>7.81</v>
      </c>
      <c r="L7" s="37">
        <v>7.12</v>
      </c>
      <c r="M7" s="38">
        <v>0.27</v>
      </c>
      <c r="N7" s="38">
        <v>0.3</v>
      </c>
      <c r="O7" s="34">
        <v>5</v>
      </c>
      <c r="P7" s="31">
        <v>1400</v>
      </c>
      <c r="Q7" s="43">
        <v>1.29</v>
      </c>
    </row>
    <row r="8" spans="1:17" hidden="1" x14ac:dyDescent="0.35">
      <c r="A8" s="41" t="s">
        <v>57</v>
      </c>
      <c r="B8" s="35" t="s">
        <v>118</v>
      </c>
      <c r="C8" s="34">
        <v>366</v>
      </c>
      <c r="D8" s="34">
        <v>40</v>
      </c>
      <c r="E8" s="36">
        <v>45035</v>
      </c>
      <c r="F8" s="34">
        <v>1.7</v>
      </c>
      <c r="G8" s="34">
        <v>23000</v>
      </c>
      <c r="H8" s="34">
        <v>7.4</v>
      </c>
      <c r="I8" s="34">
        <v>12.4</v>
      </c>
      <c r="J8" s="37">
        <v>38</v>
      </c>
      <c r="K8" s="37">
        <v>15.98</v>
      </c>
      <c r="L8" s="37">
        <v>8.57</v>
      </c>
      <c r="M8" s="38">
        <v>0.33</v>
      </c>
      <c r="N8" s="38">
        <v>0</v>
      </c>
      <c r="O8" s="34">
        <v>3</v>
      </c>
      <c r="P8" s="34">
        <v>900</v>
      </c>
      <c r="Q8" s="43">
        <v>0.45</v>
      </c>
    </row>
    <row r="9" spans="1:17" hidden="1" x14ac:dyDescent="0.35">
      <c r="A9" s="41" t="s">
        <v>58</v>
      </c>
      <c r="B9" s="35" t="s">
        <v>102</v>
      </c>
      <c r="C9" s="34">
        <v>358</v>
      </c>
      <c r="D9" s="34">
        <v>78</v>
      </c>
      <c r="E9" s="36">
        <v>44742</v>
      </c>
      <c r="F9" s="34">
        <v>2.5</v>
      </c>
      <c r="G9" s="34">
        <v>25000</v>
      </c>
      <c r="H9" s="34">
        <v>8.8000000000000007</v>
      </c>
      <c r="I9" s="34">
        <v>15.9</v>
      </c>
      <c r="J9" s="37">
        <v>33</v>
      </c>
      <c r="K9" s="37">
        <v>15.87</v>
      </c>
      <c r="L9" s="37">
        <v>8.57</v>
      </c>
      <c r="M9" s="38">
        <v>0.23</v>
      </c>
      <c r="N9" s="38">
        <v>0</v>
      </c>
      <c r="O9" s="34">
        <v>3</v>
      </c>
      <c r="P9" s="34">
        <v>600</v>
      </c>
      <c r="Q9" s="43">
        <v>0.73</v>
      </c>
    </row>
    <row r="10" spans="1:17" hidden="1" x14ac:dyDescent="0.35">
      <c r="A10" s="41" t="s">
        <v>65</v>
      </c>
      <c r="B10" s="35" t="s">
        <v>97</v>
      </c>
      <c r="C10" s="34">
        <v>314</v>
      </c>
      <c r="D10" s="34">
        <v>62</v>
      </c>
      <c r="E10" s="36">
        <v>44706</v>
      </c>
      <c r="F10" s="34">
        <v>2.6</v>
      </c>
      <c r="G10" s="34">
        <v>19000</v>
      </c>
      <c r="H10" s="34">
        <v>3.4</v>
      </c>
      <c r="I10" s="34">
        <v>11.4</v>
      </c>
      <c r="J10" s="37">
        <v>33</v>
      </c>
      <c r="K10" s="37">
        <v>13.62</v>
      </c>
      <c r="L10" s="37">
        <v>8.57</v>
      </c>
      <c r="M10" s="38">
        <v>0.3</v>
      </c>
      <c r="N10" s="38">
        <v>0</v>
      </c>
      <c r="O10" s="34">
        <v>3</v>
      </c>
      <c r="P10" s="34">
        <v>600</v>
      </c>
      <c r="Q10" s="43">
        <v>0.63</v>
      </c>
    </row>
    <row r="11" spans="1:17" hidden="1" x14ac:dyDescent="0.35">
      <c r="A11" s="44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42"/>
    </row>
    <row r="12" spans="1:17" hidden="1" x14ac:dyDescent="0.35">
      <c r="A12" s="41" t="s">
        <v>27</v>
      </c>
      <c r="B12" s="35" t="s">
        <v>116</v>
      </c>
      <c r="C12" s="34">
        <v>999</v>
      </c>
      <c r="D12" s="34">
        <v>189</v>
      </c>
      <c r="E12" s="36">
        <v>44521</v>
      </c>
      <c r="F12" s="34">
        <v>3.1</v>
      </c>
      <c r="G12" s="34">
        <v>17500</v>
      </c>
      <c r="H12" s="34">
        <v>4.9000000000000004</v>
      </c>
      <c r="I12" s="34">
        <v>14.9</v>
      </c>
      <c r="J12" s="37">
        <v>28</v>
      </c>
      <c r="K12" s="37">
        <v>11.59</v>
      </c>
      <c r="L12" s="37">
        <v>7.49</v>
      </c>
      <c r="M12" s="38">
        <v>0.28999999999999998</v>
      </c>
      <c r="N12" s="38">
        <v>0</v>
      </c>
      <c r="O12" s="34">
        <v>4</v>
      </c>
      <c r="P12" s="31">
        <v>1800</v>
      </c>
      <c r="Q12" s="43">
        <v>0.66</v>
      </c>
    </row>
    <row r="13" spans="1:17" hidden="1" x14ac:dyDescent="0.35">
      <c r="A13" s="41" t="s">
        <v>32</v>
      </c>
      <c r="B13" s="35" t="s">
        <v>117</v>
      </c>
      <c r="C13" s="31">
        <v>1763</v>
      </c>
      <c r="D13" s="34">
        <v>39</v>
      </c>
      <c r="E13" s="36">
        <v>43975</v>
      </c>
      <c r="F13" s="34">
        <v>4.5999999999999996</v>
      </c>
      <c r="G13" s="34">
        <v>14000</v>
      </c>
      <c r="H13" s="34">
        <v>2.4</v>
      </c>
      <c r="I13" s="34">
        <v>17.399999999999999</v>
      </c>
      <c r="J13" s="37">
        <v>21</v>
      </c>
      <c r="K13" s="37">
        <v>7.81</v>
      </c>
      <c r="L13" s="37">
        <v>7.12</v>
      </c>
      <c r="M13" s="38">
        <v>0.27</v>
      </c>
      <c r="N13" s="38">
        <v>0.3</v>
      </c>
      <c r="O13" s="34">
        <v>5</v>
      </c>
      <c r="P13" s="31">
        <v>1400</v>
      </c>
      <c r="Q13" s="43">
        <v>1.29</v>
      </c>
    </row>
    <row r="14" spans="1:17" hidden="1" x14ac:dyDescent="0.35">
      <c r="A14" s="41" t="s">
        <v>53</v>
      </c>
      <c r="B14" s="35" t="s">
        <v>118</v>
      </c>
      <c r="C14" s="34">
        <v>366</v>
      </c>
      <c r="D14" s="34">
        <v>40</v>
      </c>
      <c r="E14" s="36">
        <v>45035</v>
      </c>
      <c r="F14" s="34">
        <v>1.7</v>
      </c>
      <c r="G14" s="34">
        <v>23000</v>
      </c>
      <c r="H14" s="34">
        <v>7.4</v>
      </c>
      <c r="I14" s="34">
        <v>12.4</v>
      </c>
      <c r="J14" s="37">
        <v>38</v>
      </c>
      <c r="K14" s="37">
        <v>15.98</v>
      </c>
      <c r="L14" s="37">
        <v>8.57</v>
      </c>
      <c r="M14" s="38">
        <v>0.33</v>
      </c>
      <c r="N14" s="38">
        <v>0</v>
      </c>
      <c r="O14" s="34">
        <v>3</v>
      </c>
      <c r="P14" s="34">
        <v>900</v>
      </c>
      <c r="Q14" s="43">
        <v>0.45</v>
      </c>
    </row>
    <row r="15" spans="1:17" hidden="1" x14ac:dyDescent="0.35">
      <c r="A15" s="41" t="s">
        <v>61</v>
      </c>
      <c r="B15" s="35" t="s">
        <v>102</v>
      </c>
      <c r="C15" s="34">
        <v>358</v>
      </c>
      <c r="D15" s="34">
        <v>78</v>
      </c>
      <c r="E15" s="36">
        <v>44742</v>
      </c>
      <c r="F15" s="34">
        <v>2.5</v>
      </c>
      <c r="G15" s="34">
        <v>25000</v>
      </c>
      <c r="H15" s="34">
        <v>8.8000000000000007</v>
      </c>
      <c r="I15" s="34">
        <v>15.9</v>
      </c>
      <c r="J15" s="37">
        <v>33</v>
      </c>
      <c r="K15" s="37">
        <v>15.87</v>
      </c>
      <c r="L15" s="37">
        <v>8.57</v>
      </c>
      <c r="M15" s="38">
        <v>0.23</v>
      </c>
      <c r="N15" s="38">
        <v>0</v>
      </c>
      <c r="O15" s="34">
        <v>3</v>
      </c>
      <c r="P15" s="34">
        <v>600</v>
      </c>
      <c r="Q15" s="43">
        <v>0.73</v>
      </c>
    </row>
    <row r="16" spans="1:17" hidden="1" x14ac:dyDescent="0.35">
      <c r="A16" s="41" t="s">
        <v>64</v>
      </c>
      <c r="B16" s="35" t="s">
        <v>97</v>
      </c>
      <c r="C16" s="34">
        <v>314</v>
      </c>
      <c r="D16" s="34">
        <v>62</v>
      </c>
      <c r="E16" s="36">
        <v>44706</v>
      </c>
      <c r="F16" s="34">
        <v>2.6</v>
      </c>
      <c r="G16" s="34">
        <v>19000</v>
      </c>
      <c r="H16" s="34">
        <v>3.4</v>
      </c>
      <c r="I16" s="34">
        <v>11.4</v>
      </c>
      <c r="J16" s="37">
        <v>33</v>
      </c>
      <c r="K16" s="37">
        <v>13.62</v>
      </c>
      <c r="L16" s="37">
        <v>8.57</v>
      </c>
      <c r="M16" s="38">
        <v>0.3</v>
      </c>
      <c r="N16" s="38">
        <v>0</v>
      </c>
      <c r="O16" s="34">
        <v>3</v>
      </c>
      <c r="P16" s="34">
        <v>600</v>
      </c>
      <c r="Q16" s="43">
        <v>0.63</v>
      </c>
    </row>
    <row r="17" spans="1:21" hidden="1" x14ac:dyDescent="0.35">
      <c r="A17" s="44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42"/>
    </row>
    <row r="18" spans="1:21" x14ac:dyDescent="0.35">
      <c r="A18" s="41" t="s">
        <v>26</v>
      </c>
      <c r="B18" s="35" t="s">
        <v>116</v>
      </c>
      <c r="C18" s="34">
        <v>999</v>
      </c>
      <c r="D18" s="34">
        <v>189</v>
      </c>
      <c r="E18" s="36">
        <v>44521</v>
      </c>
      <c r="F18" s="34">
        <v>3.1</v>
      </c>
      <c r="G18" s="34">
        <v>17500</v>
      </c>
      <c r="H18" s="34">
        <v>4.9000000000000004</v>
      </c>
      <c r="I18" s="34">
        <v>14.9</v>
      </c>
      <c r="J18" s="37">
        <v>28</v>
      </c>
      <c r="K18" s="37">
        <v>11.59</v>
      </c>
      <c r="L18" s="37">
        <v>7.49</v>
      </c>
      <c r="M18" s="38">
        <v>0.28999999999999998</v>
      </c>
      <c r="N18" s="38">
        <v>0</v>
      </c>
      <c r="O18" s="34">
        <v>4</v>
      </c>
      <c r="P18" s="31">
        <v>1800</v>
      </c>
      <c r="Q18" s="43">
        <v>0.66</v>
      </c>
      <c r="R18">
        <f>P18*(6+(4*O18))</f>
        <v>39600</v>
      </c>
      <c r="S18">
        <f>P18*(4*(10-O18))</f>
        <v>43200</v>
      </c>
      <c r="T18" s="2">
        <f>J18-(K18+L18)</f>
        <v>8.9200000000000017</v>
      </c>
      <c r="U18">
        <f>T18/J18</f>
        <v>0.31857142857142862</v>
      </c>
    </row>
    <row r="19" spans="1:21" x14ac:dyDescent="0.35">
      <c r="A19" s="41" t="s">
        <v>31</v>
      </c>
      <c r="B19" s="35" t="s">
        <v>117</v>
      </c>
      <c r="C19" s="31">
        <v>1763</v>
      </c>
      <c r="D19" s="34">
        <v>39</v>
      </c>
      <c r="E19" s="36">
        <v>43975</v>
      </c>
      <c r="F19" s="34">
        <v>4.5999999999999996</v>
      </c>
      <c r="G19" s="34">
        <v>14000</v>
      </c>
      <c r="H19" s="34">
        <v>2.4</v>
      </c>
      <c r="I19" s="34">
        <v>17.399999999999999</v>
      </c>
      <c r="J19" s="37">
        <v>21</v>
      </c>
      <c r="K19" s="37">
        <v>7.81</v>
      </c>
      <c r="L19" s="37">
        <v>7.12</v>
      </c>
      <c r="M19" s="38">
        <v>0.27</v>
      </c>
      <c r="N19" s="38">
        <v>0.3</v>
      </c>
      <c r="O19" s="34">
        <v>5</v>
      </c>
      <c r="P19" s="31">
        <v>1400</v>
      </c>
      <c r="Q19" s="43">
        <v>1.29</v>
      </c>
      <c r="R19">
        <f>P19*(6+(4*O19))</f>
        <v>36400</v>
      </c>
      <c r="S19">
        <f t="shared" ref="S19:S22" si="0">P19*(4*(10-O19))</f>
        <v>28000</v>
      </c>
      <c r="T19" s="2">
        <f>J19-(K19+L19)</f>
        <v>6.07</v>
      </c>
      <c r="U19">
        <f>T19/J19</f>
        <v>0.28904761904761905</v>
      </c>
    </row>
    <row r="20" spans="1:21" x14ac:dyDescent="0.35">
      <c r="A20" s="41" t="s">
        <v>119</v>
      </c>
      <c r="B20" s="35" t="s">
        <v>118</v>
      </c>
      <c r="C20" s="34">
        <v>366</v>
      </c>
      <c r="D20" s="34">
        <v>40</v>
      </c>
      <c r="E20" s="36">
        <v>45035</v>
      </c>
      <c r="F20" s="34">
        <v>1.7</v>
      </c>
      <c r="G20" s="34">
        <v>23000</v>
      </c>
      <c r="H20" s="34">
        <v>7.4</v>
      </c>
      <c r="I20" s="34">
        <v>12.4</v>
      </c>
      <c r="J20" s="37">
        <v>38</v>
      </c>
      <c r="K20" s="37">
        <v>15.98</v>
      </c>
      <c r="L20" s="37">
        <v>8.57</v>
      </c>
      <c r="M20" s="38">
        <v>0.33</v>
      </c>
      <c r="N20" s="38">
        <v>0</v>
      </c>
      <c r="O20" s="34">
        <v>3</v>
      </c>
      <c r="P20" s="34">
        <v>900</v>
      </c>
      <c r="Q20" s="43">
        <v>0.45</v>
      </c>
      <c r="S20">
        <f t="shared" si="0"/>
        <v>25200</v>
      </c>
    </row>
    <row r="21" spans="1:21" x14ac:dyDescent="0.35">
      <c r="A21" s="41" t="s">
        <v>62</v>
      </c>
      <c r="B21" s="35" t="s">
        <v>102</v>
      </c>
      <c r="C21" s="34">
        <v>358</v>
      </c>
      <c r="D21" s="34">
        <v>78</v>
      </c>
      <c r="E21" s="36">
        <v>44742</v>
      </c>
      <c r="F21" s="34">
        <v>2.5</v>
      </c>
      <c r="G21" s="34">
        <v>25000</v>
      </c>
      <c r="H21" s="34">
        <v>8.8000000000000007</v>
      </c>
      <c r="I21" s="34">
        <v>15.9</v>
      </c>
      <c r="J21" s="37">
        <v>33</v>
      </c>
      <c r="K21" s="37">
        <v>15.87</v>
      </c>
      <c r="L21" s="37">
        <v>8.57</v>
      </c>
      <c r="M21" s="38">
        <v>0.23</v>
      </c>
      <c r="N21" s="38">
        <v>0</v>
      </c>
      <c r="O21" s="34">
        <v>3</v>
      </c>
      <c r="P21" s="34">
        <v>600</v>
      </c>
      <c r="Q21" s="43">
        <v>0.73</v>
      </c>
      <c r="S21">
        <f t="shared" si="0"/>
        <v>16800</v>
      </c>
    </row>
    <row r="22" spans="1:21" x14ac:dyDescent="0.35">
      <c r="A22" s="41" t="s">
        <v>69</v>
      </c>
      <c r="B22" s="35" t="s">
        <v>97</v>
      </c>
      <c r="C22" s="34">
        <v>314</v>
      </c>
      <c r="D22" s="34">
        <v>62</v>
      </c>
      <c r="E22" s="36">
        <v>44706</v>
      </c>
      <c r="F22" s="34">
        <v>2.6</v>
      </c>
      <c r="G22" s="34">
        <v>19000</v>
      </c>
      <c r="H22" s="34">
        <v>3.4</v>
      </c>
      <c r="I22" s="34">
        <v>11.4</v>
      </c>
      <c r="J22" s="37">
        <v>33</v>
      </c>
      <c r="K22" s="37">
        <v>13.62</v>
      </c>
      <c r="L22" s="37">
        <v>8.57</v>
      </c>
      <c r="M22" s="38">
        <v>0.3</v>
      </c>
      <c r="N22" s="38">
        <v>0</v>
      </c>
      <c r="O22" s="34">
        <v>3</v>
      </c>
      <c r="P22" s="34">
        <v>600</v>
      </c>
      <c r="Q22" s="43">
        <v>0.63</v>
      </c>
      <c r="S22">
        <f t="shared" si="0"/>
        <v>16800</v>
      </c>
    </row>
    <row r="23" spans="1:21" hidden="1" x14ac:dyDescent="0.35">
      <c r="A23" s="44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42"/>
    </row>
    <row r="24" spans="1:21" hidden="1" x14ac:dyDescent="0.35">
      <c r="A24" s="41" t="s">
        <v>24</v>
      </c>
      <c r="B24" s="35" t="s">
        <v>116</v>
      </c>
      <c r="C24" s="34">
        <v>999</v>
      </c>
      <c r="D24" s="34">
        <v>189</v>
      </c>
      <c r="E24" s="36">
        <v>44521</v>
      </c>
      <c r="F24" s="34">
        <v>3.1</v>
      </c>
      <c r="G24" s="34">
        <v>17500</v>
      </c>
      <c r="H24" s="34">
        <v>4.9000000000000004</v>
      </c>
      <c r="I24" s="34">
        <v>14.9</v>
      </c>
      <c r="J24" s="37">
        <v>28</v>
      </c>
      <c r="K24" s="37">
        <v>11.59</v>
      </c>
      <c r="L24" s="37">
        <v>7.49</v>
      </c>
      <c r="M24" s="38">
        <v>0.28999999999999998</v>
      </c>
      <c r="N24" s="38">
        <v>0</v>
      </c>
      <c r="O24" s="34">
        <v>4</v>
      </c>
      <c r="P24" s="31">
        <v>1800</v>
      </c>
      <c r="Q24" s="43">
        <v>0.66</v>
      </c>
    </row>
    <row r="25" spans="1:21" hidden="1" x14ac:dyDescent="0.35">
      <c r="A25" s="41" t="s">
        <v>28</v>
      </c>
      <c r="B25" s="35" t="s">
        <v>117</v>
      </c>
      <c r="C25" s="31">
        <v>1763</v>
      </c>
      <c r="D25" s="34">
        <v>39</v>
      </c>
      <c r="E25" s="36">
        <v>43975</v>
      </c>
      <c r="F25" s="34">
        <v>4.5999999999999996</v>
      </c>
      <c r="G25" s="34">
        <v>14000</v>
      </c>
      <c r="H25" s="34">
        <v>2.4</v>
      </c>
      <c r="I25" s="34">
        <v>17.399999999999999</v>
      </c>
      <c r="J25" s="37">
        <v>21</v>
      </c>
      <c r="K25" s="37">
        <v>7.81</v>
      </c>
      <c r="L25" s="37">
        <v>7.12</v>
      </c>
      <c r="M25" s="38">
        <v>0.27</v>
      </c>
      <c r="N25" s="38">
        <v>0.3</v>
      </c>
      <c r="O25" s="34">
        <v>5</v>
      </c>
      <c r="P25" s="31">
        <v>1400</v>
      </c>
      <c r="Q25" s="43">
        <v>1.29</v>
      </c>
    </row>
    <row r="26" spans="1:21" hidden="1" x14ac:dyDescent="0.35">
      <c r="A26" s="41" t="s">
        <v>55</v>
      </c>
      <c r="B26" s="35" t="s">
        <v>118</v>
      </c>
      <c r="C26" s="34">
        <v>366</v>
      </c>
      <c r="D26" s="34">
        <v>40</v>
      </c>
      <c r="E26" s="36">
        <v>45035</v>
      </c>
      <c r="F26" s="34">
        <v>1.7</v>
      </c>
      <c r="G26" s="34">
        <v>23000</v>
      </c>
      <c r="H26" s="34">
        <v>7.4</v>
      </c>
      <c r="I26" s="34">
        <v>12.4</v>
      </c>
      <c r="J26" s="37">
        <v>38</v>
      </c>
      <c r="K26" s="37">
        <v>15.98</v>
      </c>
      <c r="L26" s="37">
        <v>8.57</v>
      </c>
      <c r="M26" s="38">
        <v>0.33</v>
      </c>
      <c r="N26" s="38">
        <v>0</v>
      </c>
      <c r="O26" s="34">
        <v>3</v>
      </c>
      <c r="P26" s="34">
        <v>900</v>
      </c>
      <c r="Q26" s="43">
        <v>0.45</v>
      </c>
    </row>
    <row r="27" spans="1:21" hidden="1" x14ac:dyDescent="0.35">
      <c r="A27" s="41" t="s">
        <v>63</v>
      </c>
      <c r="B27" s="35" t="s">
        <v>102</v>
      </c>
      <c r="C27" s="34">
        <v>358</v>
      </c>
      <c r="D27" s="34">
        <v>78</v>
      </c>
      <c r="E27" s="36">
        <v>44742</v>
      </c>
      <c r="F27" s="34">
        <v>2.5</v>
      </c>
      <c r="G27" s="34">
        <v>25000</v>
      </c>
      <c r="H27" s="34">
        <v>8.8000000000000007</v>
      </c>
      <c r="I27" s="34">
        <v>15.9</v>
      </c>
      <c r="J27" s="37">
        <v>33</v>
      </c>
      <c r="K27" s="37">
        <v>15.87</v>
      </c>
      <c r="L27" s="37">
        <v>8.57</v>
      </c>
      <c r="M27" s="38">
        <v>0.23</v>
      </c>
      <c r="N27" s="38">
        <v>0</v>
      </c>
      <c r="O27" s="34">
        <v>3</v>
      </c>
      <c r="P27" s="34">
        <v>600</v>
      </c>
      <c r="Q27" s="43">
        <v>0.73</v>
      </c>
    </row>
    <row r="28" spans="1:21" hidden="1" x14ac:dyDescent="0.35">
      <c r="A28" s="41" t="s">
        <v>68</v>
      </c>
      <c r="B28" s="35" t="s">
        <v>97</v>
      </c>
      <c r="C28" s="34">
        <v>314</v>
      </c>
      <c r="D28" s="34">
        <v>62</v>
      </c>
      <c r="E28" s="36">
        <v>44706</v>
      </c>
      <c r="F28" s="34">
        <v>2.6</v>
      </c>
      <c r="G28" s="34">
        <v>19000</v>
      </c>
      <c r="H28" s="34">
        <v>3.4</v>
      </c>
      <c r="I28" s="34">
        <v>11.4</v>
      </c>
      <c r="J28" s="37">
        <v>33</v>
      </c>
      <c r="K28" s="37">
        <v>13.62</v>
      </c>
      <c r="L28" s="37">
        <v>8.57</v>
      </c>
      <c r="M28" s="38">
        <v>0.3</v>
      </c>
      <c r="N28" s="38">
        <v>0</v>
      </c>
      <c r="O28" s="34">
        <v>3</v>
      </c>
      <c r="P28" s="34">
        <v>600</v>
      </c>
      <c r="Q28" s="43">
        <v>0.63</v>
      </c>
    </row>
    <row r="29" spans="1:21" hidden="1" x14ac:dyDescent="0.35">
      <c r="A29" s="44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42"/>
    </row>
    <row r="30" spans="1:21" hidden="1" x14ac:dyDescent="0.35">
      <c r="A30" s="41" t="s">
        <v>25</v>
      </c>
      <c r="B30" s="35" t="s">
        <v>116</v>
      </c>
      <c r="C30" s="34">
        <v>999</v>
      </c>
      <c r="D30" s="34">
        <v>189</v>
      </c>
      <c r="E30" s="36">
        <v>44521</v>
      </c>
      <c r="F30" s="34">
        <v>3.1</v>
      </c>
      <c r="G30" s="34">
        <v>17500</v>
      </c>
      <c r="H30" s="34">
        <v>4.9000000000000004</v>
      </c>
      <c r="I30" s="34">
        <v>14.9</v>
      </c>
      <c r="J30" s="37">
        <v>28</v>
      </c>
      <c r="K30" s="37">
        <v>11.59</v>
      </c>
      <c r="L30" s="37">
        <v>7.49</v>
      </c>
      <c r="M30" s="38">
        <v>0.28999999999999998</v>
      </c>
      <c r="N30" s="38">
        <v>0</v>
      </c>
      <c r="O30" s="34">
        <v>4</v>
      </c>
      <c r="P30" s="31">
        <v>1800</v>
      </c>
      <c r="Q30" s="43">
        <v>0.66</v>
      </c>
    </row>
    <row r="31" spans="1:21" hidden="1" x14ac:dyDescent="0.35">
      <c r="A31" s="41" t="s">
        <v>30</v>
      </c>
      <c r="B31" s="35" t="s">
        <v>117</v>
      </c>
      <c r="C31" s="31">
        <v>1763</v>
      </c>
      <c r="D31" s="34">
        <v>39</v>
      </c>
      <c r="E31" s="36">
        <v>43975</v>
      </c>
      <c r="F31" s="34">
        <v>4.5999999999999996</v>
      </c>
      <c r="G31" s="34">
        <v>14000</v>
      </c>
      <c r="H31" s="34">
        <v>2.4</v>
      </c>
      <c r="I31" s="34">
        <v>17.399999999999999</v>
      </c>
      <c r="J31" s="37">
        <v>21</v>
      </c>
      <c r="K31" s="37">
        <v>7.81</v>
      </c>
      <c r="L31" s="37">
        <v>7.12</v>
      </c>
      <c r="M31" s="38">
        <v>0.27</v>
      </c>
      <c r="N31" s="38">
        <v>0.3</v>
      </c>
      <c r="O31" s="34">
        <v>5</v>
      </c>
      <c r="P31" s="31">
        <v>1400</v>
      </c>
      <c r="Q31" s="43">
        <v>1.29</v>
      </c>
    </row>
    <row r="32" spans="1:21" hidden="1" x14ac:dyDescent="0.35">
      <c r="A32" s="41" t="s">
        <v>56</v>
      </c>
      <c r="B32" s="35" t="s">
        <v>118</v>
      </c>
      <c r="C32" s="34">
        <v>366</v>
      </c>
      <c r="D32" s="34">
        <v>40</v>
      </c>
      <c r="E32" s="36">
        <v>45035</v>
      </c>
      <c r="F32" s="34">
        <v>1.7</v>
      </c>
      <c r="G32" s="34">
        <v>23000</v>
      </c>
      <c r="H32" s="34">
        <v>7.4</v>
      </c>
      <c r="I32" s="34">
        <v>12.4</v>
      </c>
      <c r="J32" s="37">
        <v>38</v>
      </c>
      <c r="K32" s="37">
        <v>15.98</v>
      </c>
      <c r="L32" s="37">
        <v>8.57</v>
      </c>
      <c r="M32" s="38">
        <v>0.33</v>
      </c>
      <c r="N32" s="38">
        <v>0</v>
      </c>
      <c r="O32" s="34">
        <v>3</v>
      </c>
      <c r="P32" s="34">
        <v>900</v>
      </c>
      <c r="Q32" s="43">
        <v>0.45</v>
      </c>
    </row>
    <row r="33" spans="1:17" hidden="1" x14ac:dyDescent="0.35">
      <c r="A33" s="41" t="s">
        <v>60</v>
      </c>
      <c r="B33" s="35" t="s">
        <v>102</v>
      </c>
      <c r="C33" s="34">
        <v>358</v>
      </c>
      <c r="D33" s="34">
        <v>78</v>
      </c>
      <c r="E33" s="36">
        <v>44742</v>
      </c>
      <c r="F33" s="34">
        <v>2.5</v>
      </c>
      <c r="G33" s="34">
        <v>25000</v>
      </c>
      <c r="H33" s="34">
        <v>8.8000000000000007</v>
      </c>
      <c r="I33" s="34">
        <v>15.9</v>
      </c>
      <c r="J33" s="37">
        <v>33</v>
      </c>
      <c r="K33" s="37">
        <v>15.87</v>
      </c>
      <c r="L33" s="37">
        <v>8.57</v>
      </c>
      <c r="M33" s="38">
        <v>0.23</v>
      </c>
      <c r="N33" s="38">
        <v>0</v>
      </c>
      <c r="O33" s="34">
        <v>3</v>
      </c>
      <c r="P33" s="34">
        <v>600</v>
      </c>
      <c r="Q33" s="43">
        <v>0.73</v>
      </c>
    </row>
    <row r="34" spans="1:17" hidden="1" x14ac:dyDescent="0.35">
      <c r="A34" s="41" t="s">
        <v>67</v>
      </c>
      <c r="B34" s="35" t="s">
        <v>97</v>
      </c>
      <c r="C34" s="34">
        <v>314</v>
      </c>
      <c r="D34" s="34">
        <v>62</v>
      </c>
      <c r="E34" s="36">
        <v>44706</v>
      </c>
      <c r="F34" s="34">
        <v>2.6</v>
      </c>
      <c r="G34" s="34">
        <v>19000</v>
      </c>
      <c r="H34" s="34">
        <v>3.4</v>
      </c>
      <c r="I34" s="34">
        <v>11.4</v>
      </c>
      <c r="J34" s="37">
        <v>33</v>
      </c>
      <c r="K34" s="37">
        <v>13.62</v>
      </c>
      <c r="L34" s="37">
        <v>8.57</v>
      </c>
      <c r="M34" s="38">
        <v>0.3</v>
      </c>
      <c r="N34" s="38">
        <v>0</v>
      </c>
      <c r="O34" s="34">
        <v>3</v>
      </c>
      <c r="P34" s="34">
        <v>600</v>
      </c>
      <c r="Q34" s="43">
        <v>0.63</v>
      </c>
    </row>
    <row r="35" spans="1:17" hidden="1" x14ac:dyDescent="0.35">
      <c r="A35" s="44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42"/>
    </row>
    <row r="36" spans="1:17" hidden="1" x14ac:dyDescent="0.35">
      <c r="A36" s="41" t="s">
        <v>22</v>
      </c>
      <c r="B36" s="35" t="s">
        <v>116</v>
      </c>
      <c r="C36" s="34">
        <v>999</v>
      </c>
      <c r="D36" s="34">
        <v>189</v>
      </c>
      <c r="E36" s="36">
        <v>44521</v>
      </c>
      <c r="F36" s="34">
        <v>3.1</v>
      </c>
      <c r="G36" s="34">
        <v>17500</v>
      </c>
      <c r="H36" s="34">
        <v>4.9000000000000004</v>
      </c>
      <c r="I36" s="34">
        <v>14.9</v>
      </c>
      <c r="J36" s="37">
        <v>28</v>
      </c>
      <c r="K36" s="37">
        <v>11.59</v>
      </c>
      <c r="L36" s="37">
        <v>7.49</v>
      </c>
      <c r="M36" s="38">
        <v>0.28999999999999998</v>
      </c>
      <c r="N36" s="38">
        <v>0</v>
      </c>
      <c r="O36" s="34">
        <v>4</v>
      </c>
      <c r="P36" s="31">
        <v>1800</v>
      </c>
      <c r="Q36" s="43">
        <v>0.66</v>
      </c>
    </row>
    <row r="37" spans="1:17" hidden="1" x14ac:dyDescent="0.35">
      <c r="A37" s="41" t="s">
        <v>29</v>
      </c>
      <c r="B37" s="35" t="s">
        <v>117</v>
      </c>
      <c r="C37" s="31">
        <v>1763</v>
      </c>
      <c r="D37" s="34">
        <v>39</v>
      </c>
      <c r="E37" s="36">
        <v>43975</v>
      </c>
      <c r="F37" s="34">
        <v>4.5999999999999996</v>
      </c>
      <c r="G37" s="34">
        <v>14000</v>
      </c>
      <c r="H37" s="34">
        <v>2.4</v>
      </c>
      <c r="I37" s="34">
        <v>17.399999999999999</v>
      </c>
      <c r="J37" s="37">
        <v>21</v>
      </c>
      <c r="K37" s="37">
        <v>7.81</v>
      </c>
      <c r="L37" s="37">
        <v>7.12</v>
      </c>
      <c r="M37" s="38">
        <v>0.27</v>
      </c>
      <c r="N37" s="38">
        <v>0.3</v>
      </c>
      <c r="O37" s="34">
        <v>5</v>
      </c>
      <c r="P37" s="31">
        <v>1400</v>
      </c>
      <c r="Q37" s="43">
        <v>1.29</v>
      </c>
    </row>
    <row r="38" spans="1:17" hidden="1" x14ac:dyDescent="0.35">
      <c r="A38" s="41" t="s">
        <v>54</v>
      </c>
      <c r="B38" s="35" t="s">
        <v>118</v>
      </c>
      <c r="C38" s="34">
        <v>366</v>
      </c>
      <c r="D38" s="34">
        <v>40</v>
      </c>
      <c r="E38" s="36">
        <v>45035</v>
      </c>
      <c r="F38" s="34">
        <v>1.7</v>
      </c>
      <c r="G38" s="34">
        <v>23000</v>
      </c>
      <c r="H38" s="34">
        <v>7.4</v>
      </c>
      <c r="I38" s="34">
        <v>12.4</v>
      </c>
      <c r="J38" s="37">
        <v>38</v>
      </c>
      <c r="K38" s="37">
        <v>15.98</v>
      </c>
      <c r="L38" s="37">
        <v>8.57</v>
      </c>
      <c r="M38" s="38">
        <v>0.33</v>
      </c>
      <c r="N38" s="38">
        <v>0</v>
      </c>
      <c r="O38" s="34">
        <v>3</v>
      </c>
      <c r="P38" s="34">
        <v>900</v>
      </c>
      <c r="Q38" s="43">
        <v>0.45</v>
      </c>
    </row>
    <row r="39" spans="1:17" hidden="1" x14ac:dyDescent="0.35">
      <c r="A39" s="41" t="s">
        <v>59</v>
      </c>
      <c r="B39" s="35" t="s">
        <v>102</v>
      </c>
      <c r="C39" s="34">
        <v>358</v>
      </c>
      <c r="D39" s="34">
        <v>78</v>
      </c>
      <c r="E39" s="36">
        <v>44742</v>
      </c>
      <c r="F39" s="34">
        <v>2.5</v>
      </c>
      <c r="G39" s="34">
        <v>25000</v>
      </c>
      <c r="H39" s="34">
        <v>8.8000000000000007</v>
      </c>
      <c r="I39" s="34">
        <v>15.9</v>
      </c>
      <c r="J39" s="37">
        <v>33</v>
      </c>
      <c r="K39" s="37">
        <v>15.87</v>
      </c>
      <c r="L39" s="37">
        <v>8.57</v>
      </c>
      <c r="M39" s="38">
        <v>0.23</v>
      </c>
      <c r="N39" s="38">
        <v>0</v>
      </c>
      <c r="O39" s="34">
        <v>3</v>
      </c>
      <c r="P39" s="34">
        <v>600</v>
      </c>
      <c r="Q39" s="43">
        <v>0.73</v>
      </c>
    </row>
    <row r="40" spans="1:17" ht="15" hidden="1" thickBot="1" x14ac:dyDescent="0.4">
      <c r="A40" s="45" t="s">
        <v>66</v>
      </c>
      <c r="B40" s="46" t="s">
        <v>97</v>
      </c>
      <c r="C40" s="47">
        <v>314</v>
      </c>
      <c r="D40" s="47">
        <v>62</v>
      </c>
      <c r="E40" s="48">
        <v>44706</v>
      </c>
      <c r="F40" s="47">
        <v>2.6</v>
      </c>
      <c r="G40" s="47">
        <v>19000</v>
      </c>
      <c r="H40" s="47">
        <v>3.4</v>
      </c>
      <c r="I40" s="47">
        <v>11.4</v>
      </c>
      <c r="J40" s="49">
        <v>33</v>
      </c>
      <c r="K40" s="49">
        <v>13.62</v>
      </c>
      <c r="L40" s="49">
        <v>8.57</v>
      </c>
      <c r="M40" s="50">
        <v>0.3</v>
      </c>
      <c r="N40" s="50">
        <v>0</v>
      </c>
      <c r="O40" s="47">
        <v>3</v>
      </c>
      <c r="P40" s="47">
        <v>600</v>
      </c>
      <c r="Q40" s="51">
        <v>0.63</v>
      </c>
    </row>
  </sheetData>
  <mergeCells count="33">
    <mergeCell ref="A4:A5"/>
    <mergeCell ref="Q1:Q3"/>
    <mergeCell ref="G1:G3"/>
    <mergeCell ref="H1:H3"/>
    <mergeCell ref="I1:I3"/>
    <mergeCell ref="J1:J3"/>
    <mergeCell ref="K1:K3"/>
    <mergeCell ref="L1:L3"/>
    <mergeCell ref="M1:M3"/>
    <mergeCell ref="O1:O3"/>
    <mergeCell ref="P1:P3"/>
    <mergeCell ref="F1:F3"/>
    <mergeCell ref="A1:A3"/>
    <mergeCell ref="B1:B3"/>
    <mergeCell ref="C1:C3"/>
    <mergeCell ref="D1:D3"/>
    <mergeCell ref="Q4:Q5"/>
    <mergeCell ref="E4:E5"/>
    <mergeCell ref="D4:D5"/>
    <mergeCell ref="C4:C5"/>
    <mergeCell ref="J4:J5"/>
    <mergeCell ref="K4:K5"/>
    <mergeCell ref="L4:L5"/>
    <mergeCell ref="M4:M5"/>
    <mergeCell ref="N4:N5"/>
    <mergeCell ref="O4:O5"/>
    <mergeCell ref="P4:P5"/>
    <mergeCell ref="I4:I5"/>
    <mergeCell ref="E1:E3"/>
    <mergeCell ref="B4:B5"/>
    <mergeCell ref="F4:F5"/>
    <mergeCell ref="G4:G5"/>
    <mergeCell ref="H4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Total</vt:lpstr>
      <vt:lpstr>Traditional</vt:lpstr>
      <vt:lpstr>LowEnd</vt:lpstr>
      <vt:lpstr>HighEnd</vt:lpstr>
      <vt:lpstr>Performance</vt:lpstr>
      <vt:lpstr>Size</vt:lpstr>
      <vt:lpstr>TQM</vt:lpstr>
      <vt:lpstr>Accessibility</vt:lpstr>
      <vt:lpstr>Sheet3</vt:lpstr>
      <vt:lpstr>Sheet4</vt:lpstr>
      <vt:lpstr>Sheet3!production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Hunt, Trevor (huntt3)</dc:creator>
  <cp:lastModifiedBy>Hunt, Trevor (huntt3)</cp:lastModifiedBy>
  <dcterms:created xsi:type="dcterms:W3CDTF">2024-09-12T18:21:53Z</dcterms:created>
  <dcterms:modified xsi:type="dcterms:W3CDTF">2024-11-21T19:49:00Z</dcterms:modified>
</cp:coreProperties>
</file>