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eadsheet" sheetId="1" r:id="rId4"/>
    <sheet state="hidden" name="Sheet1" sheetId="2" r:id="rId5"/>
    <sheet state="visible" name="Overview" sheetId="3" r:id="rId6"/>
    <sheet state="visible" name="Deployers" sheetId="4" r:id="rId7"/>
    <sheet state="hidden" name="Flamingo @ DenTreek" sheetId="5" r:id="rId8"/>
  </sheets>
  <definedNames>
    <definedName hidden="1" localSheetId="0" name="Z_E806979B_E856_4779_9D36_F40272C5DCBC_.wvu.FilterData">Spreadsheet!$A$8:$Y$576</definedName>
    <definedName hidden="1" localSheetId="0" name="Z_C7216524_46C4_4DA0_B997_B4BB3B208DB9_.wvu.FilterData">Spreadsheet!$A$8:$Y$576</definedName>
    <definedName hidden="1" localSheetId="0" name="Z_4807E705_A39C_4EA5_87D8_AF20AACA2904_.wvu.FilterData">Spreadsheet!$A$8:$Y$576</definedName>
    <definedName hidden="1" localSheetId="0" name="Z_E8552CA3_3151_41B2_89E7_669327CC043D_.wvu.FilterData">Spreadsheet!$A$8:$Y$576</definedName>
    <definedName hidden="1" localSheetId="0" name="Z_56ACE294_A346_422F_8C9B_8B351CD34908_.wvu.FilterData">Spreadsheet!$F$8:$Y$576</definedName>
  </definedNames>
  <calcPr/>
  <customWorkbookViews>
    <customWorkbookView activeSheetId="0" maximized="1" windowHeight="0" windowWidth="0" guid="{56ACE294-A346-422F-8C9B-8B351CD34908}" name="Deploys to check"/>
    <customWorkbookView activeSheetId="0" maximized="1" windowHeight="0" windowWidth="0" guid="{E8552CA3-3151-41B2-89E7-669327CC043D}" name="Free spots"/>
    <customWorkbookView activeSheetId="0" maximized="1" windowHeight="0" windowWidth="0" guid="{C7216524-46C4-4DA0-B997-B4BB3B208DB9}" name="Spreadsheet Filter"/>
    <customWorkbookView activeSheetId="0" maximized="1" windowHeight="0" windowWidth="0" guid="{4807E705-A39C-4EA5-87D8-AF20AACA2904}" name="Claimed"/>
    <customWorkbookView activeSheetId="0" maximized="1" windowHeight="0" windowWidth="0" guid="{E806979B-E856-4779-9D36-F40272C5DCBC}" name="Reserved"/>
  </customWorkbookViews>
</workbook>
</file>

<file path=xl/sharedStrings.xml><?xml version="1.0" encoding="utf-8"?>
<sst xmlns="http://schemas.openxmlformats.org/spreadsheetml/2006/main" count="4631" uniqueCount="1991">
  <si>
    <t>Flamingo @ Den Treek Leusden</t>
  </si>
  <si>
    <t>Total spots:</t>
  </si>
  <si>
    <t>Buffer</t>
  </si>
  <si>
    <t>Reservations longer as 30 days will be deleted if there is no response to the reminder</t>
  </si>
  <si>
    <t>Res. datum</t>
  </si>
  <si>
    <t>Telling</t>
  </si>
  <si>
    <t>Free spots:</t>
  </si>
  <si>
    <t>Koloms</t>
  </si>
  <si>
    <t>2022 the year of the Flamingo</t>
  </si>
  <si>
    <t>Claimed:</t>
  </si>
  <si>
    <t>Map link</t>
  </si>
  <si>
    <t>FULL</t>
  </si>
  <si>
    <t>Gecontroleerd</t>
  </si>
  <si>
    <t>Reserved:</t>
  </si>
  <si>
    <t>Sheet link</t>
  </si>
  <si>
    <t>18-1-2022</t>
  </si>
  <si>
    <t>Deployed:</t>
  </si>
  <si>
    <t>Owner: Wawie</t>
  </si>
  <si>
    <t>Thanks for deploying</t>
  </si>
  <si>
    <t>AVG Points now:</t>
  </si>
  <si>
    <t>Free</t>
  </si>
  <si>
    <t>Claim</t>
  </si>
  <si>
    <t>Res</t>
  </si>
  <si>
    <t>↓ Use this as ↓</t>
  </si>
  <si>
    <t>↓ Reservation ↓</t>
  </si>
  <si>
    <t>Garden of the Month January 2022</t>
  </si>
  <si>
    <t>Filled %</t>
  </si>
  <si>
    <t>Munzee name</t>
  </si>
  <si>
    <t>Row</t>
  </si>
  <si>
    <t>Column</t>
  </si>
  <si>
    <t>Latitude</t>
  </si>
  <si>
    <t>Longitude</t>
  </si>
  <si>
    <t>Munzee type</t>
  </si>
  <si>
    <t>Color</t>
  </si>
  <si>
    <t>Username</t>
  </si>
  <si>
    <t>URL</t>
  </si>
  <si>
    <t>Comments</t>
  </si>
  <si>
    <t>Check</t>
  </si>
  <si>
    <t>Munzee</t>
  </si>
  <si>
    <t>Status</t>
  </si>
  <si>
    <t>X</t>
  </si>
  <si>
    <t>X1</t>
  </si>
  <si>
    <t>X2</t>
  </si>
  <si>
    <t>X3</t>
  </si>
  <si>
    <t>Date</t>
  </si>
  <si>
    <t>Days</t>
  </si>
  <si>
    <t>Date ophaal</t>
  </si>
  <si>
    <t>Real</t>
  </si>
  <si>
    <t>Player</t>
  </si>
  <si>
    <t>Munzee link</t>
  </si>
  <si>
    <t>Flamingo R1-C7</t>
  </si>
  <si>
    <t>Virtual Red Violet</t>
  </si>
  <si>
    <t>red violet</t>
  </si>
  <si>
    <t>Wawie</t>
  </si>
  <si>
    <t>https://www.munzee.com/m/Wawie/2323/</t>
  </si>
  <si>
    <t xml:space="preserve"> Happy new year!</t>
  </si>
  <si>
    <t>Flamingo R1-C8</t>
  </si>
  <si>
    <t>Virtual Mauvelous</t>
  </si>
  <si>
    <t>mauvelous</t>
  </si>
  <si>
    <t>DeLeeuwen</t>
  </si>
  <si>
    <t>https://www.munzee.com/m/DeLeeuwen/6066/</t>
  </si>
  <si>
    <t>Flamingo R1-C9</t>
  </si>
  <si>
    <t>keromar</t>
  </si>
  <si>
    <t>https://www.munzee.com/m/keromar/8294/</t>
  </si>
  <si>
    <t>Flamingo R1-C10</t>
  </si>
  <si>
    <t>https://www.munzee.com/m/Wawie/2306/</t>
  </si>
  <si>
    <t>Flamingo R1-C11</t>
  </si>
  <si>
    <t>MarioVN</t>
  </si>
  <si>
    <t>https://www.munzee.com/m/MarioVN/1763/</t>
  </si>
  <si>
    <t>Flamingo R2-C6</t>
  </si>
  <si>
    <t>Virtual Magenta</t>
  </si>
  <si>
    <t>magenta</t>
  </si>
  <si>
    <t>AmezorC</t>
  </si>
  <si>
    <t>https://www.munzee.com/m/AmezorC/13975</t>
  </si>
  <si>
    <t>Flamingo R2-C7</t>
  </si>
  <si>
    <t>Ingetje</t>
  </si>
  <si>
    <t>https://www.munzee.com/m/Ingetje/5710/</t>
  </si>
  <si>
    <t>Flamingo R2-C8</t>
  </si>
  <si>
    <t>Virtual Tickle Me Pink</t>
  </si>
  <si>
    <t>tickle me pink</t>
  </si>
  <si>
    <t>albman</t>
  </si>
  <si>
    <t>https://www.munzee.com/m/albman/246/</t>
  </si>
  <si>
    <t>Flamingo R2-C9</t>
  </si>
  <si>
    <t>nyisutter</t>
  </si>
  <si>
    <t>https://www.munzee.com/m/nyisutter/14523/</t>
  </si>
  <si>
    <t>Flamingo R2-C10</t>
  </si>
  <si>
    <t>Alroso</t>
  </si>
  <si>
    <t>https://www.munzee.com/m/Alroso/1040/</t>
  </si>
  <si>
    <t>Flamingo R2-C11</t>
  </si>
  <si>
    <t>https://www.munzee.com/m/230Volt/1323/</t>
  </si>
  <si>
    <t>Flamingo R2-C12</t>
  </si>
  <si>
    <t>TheFrog</t>
  </si>
  <si>
    <t>https://www.munzee.com/m/TheFrog/8090/</t>
  </si>
  <si>
    <t>Flamingo R3-C6</t>
  </si>
  <si>
    <t>Paulus2012</t>
  </si>
  <si>
    <t>https://www.munzee.com/m/paulus2012/8972</t>
  </si>
  <si>
    <t>Flamingo R3-C7</t>
  </si>
  <si>
    <t>girlteam</t>
  </si>
  <si>
    <t>https://www.munzee.com/m/Girlteam/1978</t>
  </si>
  <si>
    <t>Flamingo R3-C8</t>
  </si>
  <si>
    <t>Virtual Brick Red</t>
  </si>
  <si>
    <t>brick red</t>
  </si>
  <si>
    <t>https://www.munzee.com/m/230Volt/1329/</t>
  </si>
  <si>
    <t>Flamingo R3-C9</t>
  </si>
  <si>
    <t>https://www.munzee.com/m/AmezorC/13974</t>
  </si>
  <si>
    <t>Flamingo R3-C10</t>
  </si>
  <si>
    <t>https://www.munzee.com/m/Ingetje/5709/</t>
  </si>
  <si>
    <t>Flamingo R3-C11</t>
  </si>
  <si>
    <t>123xilef</t>
  </si>
  <si>
    <t>https://www.munzee.com/m/123xilef/24445/</t>
  </si>
  <si>
    <t>Flamingo R3-C12</t>
  </si>
  <si>
    <t>Amerod</t>
  </si>
  <si>
    <t>https://www.munzee.com/m/Amerod/5581/</t>
  </si>
  <si>
    <t>Flamingo R3-C13</t>
  </si>
  <si>
    <t>gerardz</t>
  </si>
  <si>
    <t>https://www.munzee.com/m/gerardz/8137/</t>
  </si>
  <si>
    <t>Flamingo R4-C5</t>
  </si>
  <si>
    <t>Virtual Chestnut</t>
  </si>
  <si>
    <t>chestnut</t>
  </si>
  <si>
    <t>https://www.munzee.com/m/keromar/8543/</t>
  </si>
  <si>
    <t>Flamingo R4-C6</t>
  </si>
  <si>
    <t>Virtual Bittersweet</t>
  </si>
  <si>
    <t>bittersweet</t>
  </si>
  <si>
    <t>https://www.munzee.com/m/Wawie/2235/</t>
  </si>
  <si>
    <t>Flamingo R4-C7</t>
  </si>
  <si>
    <t>Virtual Violet Red</t>
  </si>
  <si>
    <t>violet red</t>
  </si>
  <si>
    <t>Flamingo R4-C8</t>
  </si>
  <si>
    <t>Virtual Plum</t>
  </si>
  <si>
    <t>plum</t>
  </si>
  <si>
    <t>https://www.munzee.com/m/MarioVN/1740/</t>
  </si>
  <si>
    <t>Flamingo R4-C9</t>
  </si>
  <si>
    <t>Virtual Black</t>
  </si>
  <si>
    <t>black</t>
  </si>
  <si>
    <t>https://www.munzee.com/m/Wawie/2203/</t>
  </si>
  <si>
    <t>Flamingo R4-C10</t>
  </si>
  <si>
    <t>Virtual Violet</t>
  </si>
  <si>
    <t>violet</t>
  </si>
  <si>
    <t>https://www.munzee.com/m/keromar/8558/</t>
  </si>
  <si>
    <t>Flamingo R4-C11</t>
  </si>
  <si>
    <t>Flamingo R4-C12</t>
  </si>
  <si>
    <t>https://www.munzee.com/m/Wawie/2202/</t>
  </si>
  <si>
    <t>Flamingo R4-C13</t>
  </si>
  <si>
    <t>https://www.munzee.com/m/raftjen/6805/</t>
  </si>
  <si>
    <t>Flamingo R4-C14</t>
  </si>
  <si>
    <t>https://www.munzee.com/m/AmezorC/13969</t>
  </si>
  <si>
    <t>Flamingo R5-C5</t>
  </si>
  <si>
    <t>Virtual Olive Green</t>
  </si>
  <si>
    <t>olive green</t>
  </si>
  <si>
    <t>https://www.munzee.com/m/TheFrog/8089/</t>
  </si>
  <si>
    <t>Flamingo R5-C6</t>
  </si>
  <si>
    <t>Virtual Raw Sienna</t>
  </si>
  <si>
    <t>raw sienna</t>
  </si>
  <si>
    <t>https://www.munzee.com/m/does/1720/</t>
  </si>
  <si>
    <t>Flamingo R5-C7</t>
  </si>
  <si>
    <t>https://www.munzee.com/m/MariaHTJ/20335/</t>
  </si>
  <si>
    <t>Flamingo R5-C8</t>
  </si>
  <si>
    <t>https://www.munzee.com/m/destrandman/5843/</t>
  </si>
  <si>
    <t>Flamingo R5-C9</t>
  </si>
  <si>
    <t>TURTLE</t>
  </si>
  <si>
    <t>https://www.munzee.com/m/TURTLE/12365/</t>
  </si>
  <si>
    <t>Flamingo R5-C10</t>
  </si>
  <si>
    <t>https://www.munzee.com/m/MariaHTJ/20217/</t>
  </si>
  <si>
    <t>Flamingo R5-C11</t>
  </si>
  <si>
    <t>https://www.munzee.com/m/Alroso/2839/</t>
  </si>
  <si>
    <t>Flamingo R5-C12</t>
  </si>
  <si>
    <t>https://www.munzee.com/m/230Volt/1330/</t>
  </si>
  <si>
    <t>Flamingo R5-C13</t>
  </si>
  <si>
    <t>https://www.munzee.com/m/paulus2012/8971/</t>
  </si>
  <si>
    <t>Flamingo R5-C14</t>
  </si>
  <si>
    <t>MrsSourflush</t>
  </si>
  <si>
    <t>https://www.munzee.com/m/MrsSourflush/7114/</t>
  </si>
  <si>
    <t>Flamingo R5-C15</t>
  </si>
  <si>
    <t>https://www.munzee.com/m/MariaHTJ/20216/</t>
  </si>
  <si>
    <t>Flamingo R6-C3</t>
  </si>
  <si>
    <t>https://www.munzee.com/m/AmezorC/13968</t>
  </si>
  <si>
    <t>Flamingo R6-C4</t>
  </si>
  <si>
    <t>Virtual Orange</t>
  </si>
  <si>
    <t>orange</t>
  </si>
  <si>
    <t>https://www.munzee.com/m/230Volt/1331/</t>
  </si>
  <si>
    <t>Flamingo R6-C5</t>
  </si>
  <si>
    <t>https://www.munzee.com/m/Amerod/5580/</t>
  </si>
  <si>
    <t>Flamingo R6-C6</t>
  </si>
  <si>
    <t>SpaceCoastGeoStore</t>
  </si>
  <si>
    <t>https://www.munzee.com/m/SpaceCoastGeoStore/15947/</t>
  </si>
  <si>
    <t>Flamingo R6-C7</t>
  </si>
  <si>
    <t>Virtual Brown</t>
  </si>
  <si>
    <t>brown</t>
  </si>
  <si>
    <t>DarbyJoan</t>
  </si>
  <si>
    <t>https://www.munzee.com/m/DarbyJoan/2875/</t>
  </si>
  <si>
    <t>Flamingo R6-C8</t>
  </si>
  <si>
    <t>https://www.munzee.com/m/Alroso/2992/</t>
  </si>
  <si>
    <t>Flamingo R6-C9</t>
  </si>
  <si>
    <t>https://www.munzee.com/m/230Volt/1344/</t>
  </si>
  <si>
    <t>Flamingo R6-C10</t>
  </si>
  <si>
    <t>https://www.munzee.com/m/paulus2012/8970/</t>
  </si>
  <si>
    <t>Flamingo R6-C11</t>
  </si>
  <si>
    <t>https://www.munzee.com/m/123xilef/25761/</t>
  </si>
  <si>
    <t>Flamingo R6-C12</t>
  </si>
  <si>
    <t>Kegelhexe</t>
  </si>
  <si>
    <t>https://www.munzee.com/m/Kegelhexe/5357/</t>
  </si>
  <si>
    <t>Flamingo R6-C13</t>
  </si>
  <si>
    <t>https://www.munzee.com/m/destrandman/5841/</t>
  </si>
  <si>
    <t>Flamingo R6-C14</t>
  </si>
  <si>
    <t>Cleland</t>
  </si>
  <si>
    <t>https://www.munzee.com/m/Cleland/1618/</t>
  </si>
  <si>
    <t>Flamingo R6-C15</t>
  </si>
  <si>
    <t>lison55</t>
  </si>
  <si>
    <t>https://www.munzee.com/m/lison55/14535</t>
  </si>
  <si>
    <t>Flamingo R6-C16</t>
  </si>
  <si>
    <t>https://www.munzee.com/m/230Volt/1345/</t>
  </si>
  <si>
    <t>Flamingo R7-C2</t>
  </si>
  <si>
    <t>https://www.munzee.com/m/Alroso/2787/</t>
  </si>
  <si>
    <t>Flamingo R7-C3</t>
  </si>
  <si>
    <t>Virtual Yellow</t>
  </si>
  <si>
    <t>yellow</t>
  </si>
  <si>
    <t>https://www.munzee.com/m/paulus2012/8969</t>
  </si>
  <si>
    <t>Flamingo R7-C4</t>
  </si>
  <si>
    <t>Flamingo R7-C5</t>
  </si>
  <si>
    <t>raftjen</t>
  </si>
  <si>
    <t>https://www.munzee.com/m/raftjen/6707/</t>
  </si>
  <si>
    <t>Flamingo R7-C6</t>
  </si>
  <si>
    <t>RTHawk</t>
  </si>
  <si>
    <t>https://www.munzee.com/m/RTHawk/5649</t>
  </si>
  <si>
    <t>Flamingo R7-C7</t>
  </si>
  <si>
    <t>Flamingo R7-C8</t>
  </si>
  <si>
    <t>https://www.munzee.com/m/AmezorC/13967/</t>
  </si>
  <si>
    <t>Flamingo R7-C9</t>
  </si>
  <si>
    <t>CzPeet</t>
  </si>
  <si>
    <t>https://www.munzee.com/m/CzPeet/11198/</t>
  </si>
  <si>
    <t>Flamingo R7-C10</t>
  </si>
  <si>
    <t>https://www.munzee.com/m/keromar/8454/</t>
  </si>
  <si>
    <t>Flamingo R7-C11</t>
  </si>
  <si>
    <t>https://www.munzee.com/m/DarbyJoan/3163/</t>
  </si>
  <si>
    <t>Flamingo R7-C12</t>
  </si>
  <si>
    <t>https://www.munzee.com/m/Marcelkooyman/57/</t>
  </si>
  <si>
    <t>Flamingo R7-C13</t>
  </si>
  <si>
    <t>Helefant</t>
  </si>
  <si>
    <t>https://www.munzee.com/m/Helefant/5562</t>
  </si>
  <si>
    <t>Flamingo R7-C14</t>
  </si>
  <si>
    <t>GMariusz</t>
  </si>
  <si>
    <t>https://www.munzee.com/m/GMariusz/1986</t>
  </si>
  <si>
    <t>Flamingo R7-C15</t>
  </si>
  <si>
    <t>https://www.munzee.com/m/keromar/8301/</t>
  </si>
  <si>
    <t>Flamingo R7-C16</t>
  </si>
  <si>
    <t>https://www.munzee.com/m/Alroso/3191/</t>
  </si>
  <si>
    <t>Flamingo R8-C2</t>
  </si>
  <si>
    <t>Virtual Forest Green</t>
  </si>
  <si>
    <t>forest green</t>
  </si>
  <si>
    <t>https://www.munzee.com/m/Wawie/2200/</t>
  </si>
  <si>
    <t>Flamingo R8-C3</t>
  </si>
  <si>
    <t>https://www.munzee.com/m/destrandman/5839/</t>
  </si>
  <si>
    <t>Flamingo R8-C4</t>
  </si>
  <si>
    <t>https://www.munzee.com/m/keromar/8513/admin/</t>
  </si>
  <si>
    <t>Flamingo R8-C5</t>
  </si>
  <si>
    <t>https://www.munzee.com/m/Wawie/2199/</t>
  </si>
  <si>
    <t>Flamingo R8-C6</t>
  </si>
  <si>
    <t>https://www.munzee.com/m/amundadus/1655</t>
  </si>
  <si>
    <t>Flamingo R8-C7</t>
  </si>
  <si>
    <t>https://www.munzee.com/m/destrandman/5838/</t>
  </si>
  <si>
    <t>Flamingo R8-C8</t>
  </si>
  <si>
    <t>https://www.munzee.com/m/Wawie/2198/</t>
  </si>
  <si>
    <t>Flamingo R8-C9</t>
  </si>
  <si>
    <t>sidcup</t>
  </si>
  <si>
    <t>https://www.munzee.com/m/Sidcup/16499/</t>
  </si>
  <si>
    <t>Flamingo R8-C10</t>
  </si>
  <si>
    <t>https://www.munzee.com/m/RobS/5070/</t>
  </si>
  <si>
    <t>Flamingo R8-C11</t>
  </si>
  <si>
    <t>https://www.munzee.com/m/Wawie/2192/</t>
  </si>
  <si>
    <t>Flamingo R8-C14</t>
  </si>
  <si>
    <t>https://www.munzee.com/m/AmezorC/13931</t>
  </si>
  <si>
    <t>Flamingo R8-C15</t>
  </si>
  <si>
    <t>annabanana</t>
  </si>
  <si>
    <t>https://www.munzee.com/m/annabanana/17731/</t>
  </si>
  <si>
    <t>Flamingo R8-C16</t>
  </si>
  <si>
    <t>https://www.munzee.com/m/Wawie/2191/</t>
  </si>
  <si>
    <t>Flamingo R9-C1</t>
  </si>
  <si>
    <t>Flamingo R9-C2</t>
  </si>
  <si>
    <t>https://www.munzee.com/m/230Volt/1353/</t>
  </si>
  <si>
    <t>Flamingo R9-C3</t>
  </si>
  <si>
    <t>https://www.munzee.com/m/DarbyJoan/3262/</t>
  </si>
  <si>
    <t>Flamingo R9-C4</t>
  </si>
  <si>
    <t>https://www.munzee.com/m/Rubin/3466/</t>
  </si>
  <si>
    <t>Flamingo R9-C14</t>
  </si>
  <si>
    <t>https://www.munzee.com/m/destrandman/5835/</t>
  </si>
  <si>
    <t>Flamingo R9-C15</t>
  </si>
  <si>
    <t>https://www.munzee.com/m/Kegelhexe/5356/</t>
  </si>
  <si>
    <t>Flamingo R9-C16</t>
  </si>
  <si>
    <t>https://www.munzee.com/m/230Volt/1355/</t>
  </si>
  <si>
    <t>Flamingo R10-C1</t>
  </si>
  <si>
    <t>https://www.munzee.com/m/AmezorC/13930</t>
  </si>
  <si>
    <t>Flamingo R10-C2</t>
  </si>
  <si>
    <t>https://www.munzee.com/m/Alroso/3134/</t>
  </si>
  <si>
    <t>Flamingo R10-C3</t>
  </si>
  <si>
    <t>Virtual Gray</t>
  </si>
  <si>
    <t>gray</t>
  </si>
  <si>
    <t>https://www.munzee.com/m/paulus2012/8968</t>
  </si>
  <si>
    <t>Flamingo R10-C14</t>
  </si>
  <si>
    <t>Hogglespike</t>
  </si>
  <si>
    <t>https://www.munzee.com/m/Hogglespike/10228</t>
  </si>
  <si>
    <t>Flamingo R10-C15</t>
  </si>
  <si>
    <t>darrenjones</t>
  </si>
  <si>
    <t>https://www.munzee.com/m/darrenjones/8811</t>
  </si>
  <si>
    <t>Flamingo R10-C16</t>
  </si>
  <si>
    <t>Cadonkey</t>
  </si>
  <si>
    <t>https://www.munzee.com/m/Cadonkey/2041</t>
  </si>
  <si>
    <t>Flamingo R11-C2</t>
  </si>
  <si>
    <t>https://www.munzee.com/m/Wawie/2376/</t>
  </si>
  <si>
    <t>Flamingo R11-C14</t>
  </si>
  <si>
    <t>https://www.munzee.com/m/Wawie/958/</t>
  </si>
  <si>
    <t>Flamingo R11-C15</t>
  </si>
  <si>
    <t>https://www.munzee.com/m/Helefant/5560</t>
  </si>
  <si>
    <t>Flamingo R11-C16</t>
  </si>
  <si>
    <t>https://www.munzee.com/m/DarbyJoan/3263/</t>
  </si>
  <si>
    <t>Flamingo R12-C14</t>
  </si>
  <si>
    <t>https://www.munzee.com/m/AmezorC/13879</t>
  </si>
  <si>
    <t>Flamingo R12-C15</t>
  </si>
  <si>
    <t>FlamingoFlurrier</t>
  </si>
  <si>
    <t>https://www.munzee.com/m/FlamingoFlurrier/11217/</t>
  </si>
  <si>
    <t>Flamingo R12-C16</t>
  </si>
  <si>
    <t>wemissmo</t>
  </si>
  <si>
    <t>https://www.munzee.com/m/wemissmo/11766/</t>
  </si>
  <si>
    <t>Flamingo R13-C14</t>
  </si>
  <si>
    <t>theLuckyFinders</t>
  </si>
  <si>
    <t>https://www.munzee.com/m/theLuckyFinders/4692</t>
  </si>
  <si>
    <t>Flamingo R13-C15</t>
  </si>
  <si>
    <t>Finnleo</t>
  </si>
  <si>
    <t>https://www.munzee.com/m/Finnleo/2987/</t>
  </si>
  <si>
    <t>Flamingo R13-C16</t>
  </si>
  <si>
    <t>Trunte2002</t>
  </si>
  <si>
    <t>https://www.munzee.com/m/Trunte2002/3190/</t>
  </si>
  <si>
    <t>Flamingo R14-C14</t>
  </si>
  <si>
    <t>Mariabettina</t>
  </si>
  <si>
    <t>https://www.munzee.com/m/Mariabettina/3199/</t>
  </si>
  <si>
    <t>Flamingo R14-C15</t>
  </si>
  <si>
    <t>https://www.munzee.com/m/230Volt/1356/</t>
  </si>
  <si>
    <t>Flamingo R14-C16</t>
  </si>
  <si>
    <t>https://www.munzee.com/m/Alroso/3132/</t>
  </si>
  <si>
    <t>Flamingo R15-C13</t>
  </si>
  <si>
    <t>https://www.munzee.com/m/paulus2012/8967/</t>
  </si>
  <si>
    <t>Flamingo R15-C14</t>
  </si>
  <si>
    <t>https://www.munzee.com/m/AmezorC/13878</t>
  </si>
  <si>
    <t>Flamingo R15-C15</t>
  </si>
  <si>
    <t>https://www.munzee.com/m/Wawie/947/</t>
  </si>
  <si>
    <t>Flamingo R16-C12</t>
  </si>
  <si>
    <t>https://www.munzee.com/m/230Volt/1357/</t>
  </si>
  <si>
    <t>Flamingo R16-C13</t>
  </si>
  <si>
    <t>heathcote07</t>
  </si>
  <si>
    <t>https://www.munzee.com/m/heathcote07/7123</t>
  </si>
  <si>
    <t>Flamingo R16-C14</t>
  </si>
  <si>
    <t>naturelover</t>
  </si>
  <si>
    <t>https://www.munzee.com/m/naturelover/10595</t>
  </si>
  <si>
    <t>Flamingo R16-C15</t>
  </si>
  <si>
    <t>https://www.munzee.com/m/theLuckyFinders/4688</t>
  </si>
  <si>
    <t>Flamingo R17-C11</t>
  </si>
  <si>
    <t>hems79</t>
  </si>
  <si>
    <t>https://www.munzee.com/m/hems79/10588/</t>
  </si>
  <si>
    <t>Flamingo R17-C12</t>
  </si>
  <si>
    <t>Flamingo R17-C13</t>
  </si>
  <si>
    <t>https://www.munzee.com/m/keromar/8584/</t>
  </si>
  <si>
    <t>Flamingo R17-C14</t>
  </si>
  <si>
    <t>https://www.munzee.com/m/jm/3070/</t>
  </si>
  <si>
    <t>Flamingo R18-C10</t>
  </si>
  <si>
    <t>https://www.munzee.com/m/AmezorC/13774</t>
  </si>
  <si>
    <t>Flamingo R18-C11</t>
  </si>
  <si>
    <t>https://www.munzee.com/m/jm/3071/</t>
  </si>
  <si>
    <t>Flamingo R18-C12</t>
  </si>
  <si>
    <t>https://www.munzee.com/m/Wawie/802/</t>
  </si>
  <si>
    <t>Flamingo R18-C13</t>
  </si>
  <si>
    <t>https://www.munzee.com/m/Alroso/3058/</t>
  </si>
  <si>
    <t>Flamingo R19-C10</t>
  </si>
  <si>
    <t>https://www.munzee.com/m/230Volt/1358/</t>
  </si>
  <si>
    <t>Flamingo R19-C11</t>
  </si>
  <si>
    <t>https://www.munzee.com/m/paulus2012/8966</t>
  </si>
  <si>
    <t>Flamingo R19-C12</t>
  </si>
  <si>
    <t>https://www.munzee.com/m/Finnleo/3003/</t>
  </si>
  <si>
    <t>Flamingo R20-C9</t>
  </si>
  <si>
    <t>https://www.munzee.com/m/Trunte2002/3167/</t>
  </si>
  <si>
    <t>Flamingo R20-C10</t>
  </si>
  <si>
    <t>https://www.munzee.com/m/Mariabettina/3286/</t>
  </si>
  <si>
    <t>Flamingo R20-C11</t>
  </si>
  <si>
    <t>https://www.munzee.com/m/Rubin/3508/</t>
  </si>
  <si>
    <t>Flamingo R20-C12</t>
  </si>
  <si>
    <t>https://www.munzee.com/m/Sikko/5435/</t>
  </si>
  <si>
    <t>Flamingo R21-C8</t>
  </si>
  <si>
    <t>https://www.munzee.com/m/AmezorC/13671</t>
  </si>
  <si>
    <t>Flamingo R21-C9</t>
  </si>
  <si>
    <t>https://www.munzee.com/m/Sikko/5453/</t>
  </si>
  <si>
    <t>Flamingo R21-C10</t>
  </si>
  <si>
    <t>https://www.munzee.com/m/Helefant/5559</t>
  </si>
  <si>
    <t>Flamingo R21-C11</t>
  </si>
  <si>
    <t>bazfum</t>
  </si>
  <si>
    <t>https://www.munzee.com/m/bazfum/18363/</t>
  </si>
  <si>
    <t>Flamingo R21-C19</t>
  </si>
  <si>
    <t>Virtual Purple Mountains Majesty</t>
  </si>
  <si>
    <t>purple mountains majesty</t>
  </si>
  <si>
    <t>https://www.munzee.com/m/Alroso/3057/</t>
  </si>
  <si>
    <t>Flamingo R21-C20</t>
  </si>
  <si>
    <t>ksullivan</t>
  </si>
  <si>
    <t>https://www.munzee.com/m/ksullivan/3164/</t>
  </si>
  <si>
    <t>Flamingo R21-C21</t>
  </si>
  <si>
    <t>MsYB</t>
  </si>
  <si>
    <t>https://www.munzee.com/m/MsYB/22575/</t>
  </si>
  <si>
    <t>Flamingo R21-C22</t>
  </si>
  <si>
    <t>https://www.munzee.com/m/paulus2012/8964</t>
  </si>
  <si>
    <t>Flamingo R22-C7</t>
  </si>
  <si>
    <t>Flamingo R22-C8</t>
  </si>
  <si>
    <t>https://www.munzee.com/m/keromar/8589/</t>
  </si>
  <si>
    <t>Flamingo R22-C9</t>
  </si>
  <si>
    <t>https://www.munzee.com/m/230Volt/1360/</t>
  </si>
  <si>
    <t>Flamingo R22-C10</t>
  </si>
  <si>
    <t>Flamingo R22-C16</t>
  </si>
  <si>
    <t>Flamingo R22-C17</t>
  </si>
  <si>
    <t>https://www.munzee.com/m/keromar/8591/</t>
  </si>
  <si>
    <t>Flamingo R22-C18</t>
  </si>
  <si>
    <t>Virtual Orchid</t>
  </si>
  <si>
    <t>orchid</t>
  </si>
  <si>
    <t>https://www.munzee.com/m/AmezorC/13649</t>
  </si>
  <si>
    <t>Flamingo R22-C19</t>
  </si>
  <si>
    <t>Virtual Pink</t>
  </si>
  <si>
    <t>pink</t>
  </si>
  <si>
    <t>Flamingo R22-C20</t>
  </si>
  <si>
    <t>Flamingo R22-C21</t>
  </si>
  <si>
    <t>https://www.munzee.com/m/230Volt/1369/</t>
  </si>
  <si>
    <t>Flamingo R22-C22</t>
  </si>
  <si>
    <t>Flamingo R22-C23</t>
  </si>
  <si>
    <t>https://www.munzee.com/m/VLoopSouth/2908/</t>
  </si>
  <si>
    <t>Flamingo R22-C24</t>
  </si>
  <si>
    <t>WVKiwi</t>
  </si>
  <si>
    <t>https://www.munzee.com/m/wvkiwi/9456</t>
  </si>
  <si>
    <t>Flamingo R22-C25</t>
  </si>
  <si>
    <t>Flamingo R23-C7</t>
  </si>
  <si>
    <t>sverlaan</t>
  </si>
  <si>
    <t>https://www.munzee.com/m/sverlaan/6603/</t>
  </si>
  <si>
    <t>Flamingo R23-C8</t>
  </si>
  <si>
    <t>EmileP68</t>
  </si>
  <si>
    <t>https://www.munzee.com/m/EmileP68/5444/</t>
  </si>
  <si>
    <t>Flamingo R23-C9</t>
  </si>
  <si>
    <t>PawPatrolThomas</t>
  </si>
  <si>
    <t>https://www.munzee.com/m/PawPatrolThomas/4606/</t>
  </si>
  <si>
    <t>Flamingo R23-C10</t>
  </si>
  <si>
    <t>https://www.munzee.com/m/sverlaan/6562/</t>
  </si>
  <si>
    <t>Flamingo R23-C15</t>
  </si>
  <si>
    <t>RoversEnd</t>
  </si>
  <si>
    <t>https://www.munzee.com/m/RoversEnd/4381/</t>
  </si>
  <si>
    <t>Flamingo R23-C16</t>
  </si>
  <si>
    <t>https://www.munzee.com/m/PawPatrolThomas/4570/</t>
  </si>
  <si>
    <t>Flamingo R23-C17</t>
  </si>
  <si>
    <t>https://www.munzee.com/m/sverlaan/6561/</t>
  </si>
  <si>
    <t>Flamingo R23-C18</t>
  </si>
  <si>
    <t>https://www.munzee.com/m/EmileP68/5399/</t>
  </si>
  <si>
    <t>Flamingo R23-C19</t>
  </si>
  <si>
    <t>https://www.munzee.com/m/PawPatrolThomas/4569/</t>
  </si>
  <si>
    <t>Flamingo R23-C20</t>
  </si>
  <si>
    <t>https://www.munzee.com/m/sverlaan/6555/</t>
  </si>
  <si>
    <t>Flamingo R23-C21</t>
  </si>
  <si>
    <t>https://www.munzee.com/m/EmileP68/5398/</t>
  </si>
  <si>
    <t>Flamingo R23-C22</t>
  </si>
  <si>
    <t>https://www.munzee.com/m/PawPatrolThomas/4556/</t>
  </si>
  <si>
    <t>Flamingo R23-C23</t>
  </si>
  <si>
    <t>https://www.munzee.com/m/sverlaan/6547/</t>
  </si>
  <si>
    <t>Flamingo R23-C24</t>
  </si>
  <si>
    <t>https://www.munzee.com/m/EmileP68/5382/</t>
  </si>
  <si>
    <t>Flamingo R23-C25</t>
  </si>
  <si>
    <t>https://www.munzee.com/m/PawPatrolThomas/4554/</t>
  </si>
  <si>
    <t>Flamingo R23-C26</t>
  </si>
  <si>
    <t>https://www.munzee.com/m/AmezorC/13404</t>
  </si>
  <si>
    <t>Flamingo R23-C27</t>
  </si>
  <si>
    <t>https://www.munzee.com/m/Kegelhexe/5348/</t>
  </si>
  <si>
    <t>Flamingo R24-C6</t>
  </si>
  <si>
    <t>https://www.munzee.com/m/paulus2012/8963/</t>
  </si>
  <si>
    <t>Flamingo R24-C7</t>
  </si>
  <si>
    <t>kiitokurre</t>
  </si>
  <si>
    <t>https://www.munzee.com/m/Kiitokurre/16934/</t>
  </si>
  <si>
    <t>Flamingo R24-C8</t>
  </si>
  <si>
    <t>CopperWings</t>
  </si>
  <si>
    <t>https://www.munzee.com/m/CopperWings/2503/</t>
  </si>
  <si>
    <t>Flamingo R24-C9</t>
  </si>
  <si>
    <t>https://www.munzee.com/m/amundadus/1651</t>
  </si>
  <si>
    <t>Flamingo R24-C10</t>
  </si>
  <si>
    <t>https://www.munzee.com/m/5Star/9304</t>
  </si>
  <si>
    <t>Flamingo R24-C14</t>
  </si>
  <si>
    <t>Chivasloyal</t>
  </si>
  <si>
    <t>https://www.munzee.com/m/Chivasloyal/4550/</t>
  </si>
  <si>
    <t>Flamingo R24-C15</t>
  </si>
  <si>
    <t>https://www.munzee.com/m/Alroso/2585/</t>
  </si>
  <si>
    <t>Flamingo R24-C16</t>
  </si>
  <si>
    <t>Virtual Carnation Pink</t>
  </si>
  <si>
    <t>carnation pink</t>
  </si>
  <si>
    <t>Bitux</t>
  </si>
  <si>
    <t>https://www.munzee.com/m/BituX/15351</t>
  </si>
  <si>
    <t>Flamingo R24-C17</t>
  </si>
  <si>
    <t>struwel</t>
  </si>
  <si>
    <t>https://www.munzee.com/m/struwel/22368</t>
  </si>
  <si>
    <t>Flamingo R24-C18</t>
  </si>
  <si>
    <t>piesciuk</t>
  </si>
  <si>
    <t>https://www.munzee.com/m/piesciuk/2056/</t>
  </si>
  <si>
    <t>Flamingo R24-C19</t>
  </si>
  <si>
    <t>https://www.munzee.com/m/Jeffeth/10387</t>
  </si>
  <si>
    <t>Flamingo R24-C20</t>
  </si>
  <si>
    <t>https://www.munzee.com/m/claireth/1908/</t>
  </si>
  <si>
    <t>Flamingo R24-C21</t>
  </si>
  <si>
    <t>Cinnamons</t>
  </si>
  <si>
    <t>https://www.munzee.com/m/Cinnamons/4200/</t>
  </si>
  <si>
    <t>Flamingo R24-C22</t>
  </si>
  <si>
    <t>Leatherbottom</t>
  </si>
  <si>
    <t>https://www.munzee.com/m/Leatherbottom/3771/</t>
  </si>
  <si>
    <t>Flamingo R24-C23</t>
  </si>
  <si>
    <t>https://www.munzee.com/m/AmezorC/13403</t>
  </si>
  <si>
    <t>Flamingo R24-C24</t>
  </si>
  <si>
    <t>https://www.munzee.com/m/theLuckyFinders/4687</t>
  </si>
  <si>
    <t>Flamingo R24-C25</t>
  </si>
  <si>
    <t>Jafo43</t>
  </si>
  <si>
    <t>https://www.munzee.com/m/Jafo43/33598</t>
  </si>
  <si>
    <t>Flamingo R24-C26</t>
  </si>
  <si>
    <t>sagabi</t>
  </si>
  <si>
    <t>https://www.munzee.com/m/sagabi/13148/</t>
  </si>
  <si>
    <t>Flamingo R24-C27</t>
  </si>
  <si>
    <t>chickenrun</t>
  </si>
  <si>
    <t>https://www.munzee.com/m/ChickenRun/22555</t>
  </si>
  <si>
    <t>Flamingo R24-C28</t>
  </si>
  <si>
    <t>https://www.munzee.com/m/theLuckyFinders/4681</t>
  </si>
  <si>
    <t>Flamingo R25-C6</t>
  </si>
  <si>
    <t>https://www.munzee.com/m/Rhaegal/6625/</t>
  </si>
  <si>
    <t>Flamingo R25-C7</t>
  </si>
  <si>
    <t>Flamingo R25-C8</t>
  </si>
  <si>
    <t>Flamingo R25-C9</t>
  </si>
  <si>
    <t>xptwo</t>
  </si>
  <si>
    <t>https://www.munzee.com/m/xptwo/35971/</t>
  </si>
  <si>
    <t>Flamingo R25-C10</t>
  </si>
  <si>
    <t>Flamingo R25-C13</t>
  </si>
  <si>
    <t>https://www.munzee.com/m/AmezorC/13402</t>
  </si>
  <si>
    <t>Flamingo R25-C14</t>
  </si>
  <si>
    <t>https://www.munzee.com/m/theLuckyFinders/4677</t>
  </si>
  <si>
    <t>Flamingo R25-C15</t>
  </si>
  <si>
    <t>Flamingo R25-C16</t>
  </si>
  <si>
    <t>https://www.munzee.com/m/Helefant/5558</t>
  </si>
  <si>
    <t>Flamingo R25-C17</t>
  </si>
  <si>
    <t>ahagmann</t>
  </si>
  <si>
    <t>https://www.munzee.com/m/ahagmann/12145/</t>
  </si>
  <si>
    <t>Flamingo R25-C18</t>
  </si>
  <si>
    <t>Flamingo R25-C19</t>
  </si>
  <si>
    <t>https://www.munzee.com/m/paulus2012/8959</t>
  </si>
  <si>
    <t>Flamingo R25-C20</t>
  </si>
  <si>
    <t>90mile</t>
  </si>
  <si>
    <t>https://www.munzee.com/m/90mile/7400/</t>
  </si>
  <si>
    <t>Flamingo R25-C21</t>
  </si>
  <si>
    <t>Flamingo R25-C22</t>
  </si>
  <si>
    <t>https://www.munzee.com/m/paulus2012/8956/</t>
  </si>
  <si>
    <t>Flamingo R25-C23</t>
  </si>
  <si>
    <t>https://www.munzee.com/m/ahagmann/12165/</t>
  </si>
  <si>
    <t>Flamingo R25-C24</t>
  </si>
  <si>
    <t>Flamingo R25-C25</t>
  </si>
  <si>
    <t>ol0n0lo</t>
  </si>
  <si>
    <t>https://www.munzee.com/m/ol0n0lo/1968/</t>
  </si>
  <si>
    <t>Flamingo R25-C26</t>
  </si>
  <si>
    <t>Tornado</t>
  </si>
  <si>
    <t>https://www.munzee.com/m/Tornado/5595/</t>
  </si>
  <si>
    <t>Flamingo R25-C27</t>
  </si>
  <si>
    <t>Flamingo R25-C28</t>
  </si>
  <si>
    <t>https://www.munzee.com/m/paulus2012/8742</t>
  </si>
  <si>
    <t>Flamingo R25-C29</t>
  </si>
  <si>
    <t>https://www.munzee.com/m/AmezorC/13401</t>
  </si>
  <si>
    <t>Flamingo R26-C6</t>
  </si>
  <si>
    <t>https://www.munzee.com/m/sverlaan/6554/</t>
  </si>
  <si>
    <t>Flamingo R26-C7</t>
  </si>
  <si>
    <t>https://www.munzee.com/m/EmileP68/5375/</t>
  </si>
  <si>
    <t>Flamingo R26-C8</t>
  </si>
  <si>
    <t>https://www.munzee.com/m/PawPatrolThomas/4462/</t>
  </si>
  <si>
    <t>Flamingo R26-C9</t>
  </si>
  <si>
    <t>https://www.munzee.com/m/sverlaan/6546/</t>
  </si>
  <si>
    <t>Flamingo R26-C10</t>
  </si>
  <si>
    <t>https://www.munzee.com/m/EmileP68/5311/</t>
  </si>
  <si>
    <t>Flamingo R26-C11</t>
  </si>
  <si>
    <t>https://www.munzee.com/m/PawPatrolThomas/4414/</t>
  </si>
  <si>
    <t>Flamingo R26-C12</t>
  </si>
  <si>
    <t>https://www.munzee.com/m/sverlaan/6540/</t>
  </si>
  <si>
    <t>Flamingo R26-C13</t>
  </si>
  <si>
    <t>https://www.munzee.com/m/EmileP68/5297/</t>
  </si>
  <si>
    <t>Flamingo R26-C14</t>
  </si>
  <si>
    <t>https://www.munzee.com/m/PawPatrolThomas/4401/</t>
  </si>
  <si>
    <t>Flamingo R26-C15</t>
  </si>
  <si>
    <t>https://www.munzee.com/m/sverlaan/6455/</t>
  </si>
  <si>
    <t>Flamingo R26-C16</t>
  </si>
  <si>
    <t>https://www.munzee.com/m/EmileP68/5244/</t>
  </si>
  <si>
    <t>Flamingo R26-C17</t>
  </si>
  <si>
    <t>https://www.munzee.com/m/PawPatrolThomas/4400/</t>
  </si>
  <si>
    <t>Flamingo R26-C18</t>
  </si>
  <si>
    <t>https://www.munzee.com/m/sverlaan/6388/</t>
  </si>
  <si>
    <t>Flamingo R26-C19</t>
  </si>
  <si>
    <t>https://www.munzee.com/m/EmileP68/5234/</t>
  </si>
  <si>
    <t>Flamingo R26-C20</t>
  </si>
  <si>
    <t>https://www.munzee.com/m/PawPatrolThomas/4184/</t>
  </si>
  <si>
    <t>Flamingo R26-C21</t>
  </si>
  <si>
    <t>https://www.munzee.com/m/theLuckyFinders/4025</t>
  </si>
  <si>
    <t>Flamingo R26-C22</t>
  </si>
  <si>
    <t>https://www.munzee.com/m/amundadus/1613</t>
  </si>
  <si>
    <t>Flamingo R26-C23</t>
  </si>
  <si>
    <t>jesterjeff007</t>
  </si>
  <si>
    <t>https://www.munzee.com/m/jesterjeff007/6978/</t>
  </si>
  <si>
    <t>Flamingo R26-C24</t>
  </si>
  <si>
    <t>kpcrystal07</t>
  </si>
  <si>
    <t>https://www.munzee.com/m/kpcrystal07/23951/</t>
  </si>
  <si>
    <t>Flamingo R26-C25</t>
  </si>
  <si>
    <t>jacksparrow</t>
  </si>
  <si>
    <t>https://www.munzee.com/m/JackSparrow/45425/</t>
  </si>
  <si>
    <t>Flamingo R26-C26</t>
  </si>
  <si>
    <t>https://www.munzee.com/m/RoversEnd/4267/</t>
  </si>
  <si>
    <t>Flamingo R26-C27</t>
  </si>
  <si>
    <t>https://www.munzee.com/m/kpcrystal07/23952/</t>
  </si>
  <si>
    <t>Flamingo R26-C28</t>
  </si>
  <si>
    <t>Aniara</t>
  </si>
  <si>
    <t>https://www.munzee.com/m/Aniara/16276/</t>
  </si>
  <si>
    <t>Flamingo R26-C29</t>
  </si>
  <si>
    <t>BonnieB1</t>
  </si>
  <si>
    <t>https://www.munzee.com/m/BonnieB1/15566/</t>
  </si>
  <si>
    <t>Flamingo R26-C30</t>
  </si>
  <si>
    <t>https://www.munzee.com/m/kpcrystal07/23953</t>
  </si>
  <si>
    <t>Flamingo R27-C6</t>
  </si>
  <si>
    <t>janzattic</t>
  </si>
  <si>
    <t>https://www.munzee.com/m/janzattic/15131</t>
  </si>
  <si>
    <t>Flamingo R27-C7</t>
  </si>
  <si>
    <t>hz</t>
  </si>
  <si>
    <t>https://www.munzee.com/m/hz/5785/</t>
  </si>
  <si>
    <t>Flamingo R27-C8</t>
  </si>
  <si>
    <t>https://www.munzee.com/m/kpcrystal07/23954/</t>
  </si>
  <si>
    <t>Flamingo R27-C9</t>
  </si>
  <si>
    <t>https://www.munzee.com/m/Tornado/5474/</t>
  </si>
  <si>
    <t>Flamingo R27-C10</t>
  </si>
  <si>
    <t>https://www.munzee.com/m/hz/5784/</t>
  </si>
  <si>
    <t>Flamingo R27-C11</t>
  </si>
  <si>
    <t>https://www.munzee.com/m/kpcrystal07/23955/</t>
  </si>
  <si>
    <t>Flamingo R27-C12</t>
  </si>
  <si>
    <t>Eskiss</t>
  </si>
  <si>
    <t>https://www.munzee.com/m/Eskiss/5789</t>
  </si>
  <si>
    <t>Flamingo R27-C13</t>
  </si>
  <si>
    <t>https://www.munzee.com/m/hz/5781/</t>
  </si>
  <si>
    <t>Flamingo R27-C14</t>
  </si>
  <si>
    <t>https://www.munzee.com/m/kpcrystal07/23956/</t>
  </si>
  <si>
    <t>Flamingo R27-C15</t>
  </si>
  <si>
    <t>https://www.munzee.com/m/Jafo43/33597</t>
  </si>
  <si>
    <t>Flamingo R27-C16</t>
  </si>
  <si>
    <t>https://www.munzee.com/m/hz/5780/</t>
  </si>
  <si>
    <t>Flamingo R27-C17</t>
  </si>
  <si>
    <t>Andrew81</t>
  </si>
  <si>
    <t>https://www.munzee.com/m/Andrew81/1642</t>
  </si>
  <si>
    <t>Flamingo R27-C18</t>
  </si>
  <si>
    <t>https://www.munzee.com/m/Jafo43/33596/</t>
  </si>
  <si>
    <t>Flamingo R27-C19</t>
  </si>
  <si>
    <t>https://www.munzee.com/m/Eskiss/5798</t>
  </si>
  <si>
    <t>Flamingo R27-C20</t>
  </si>
  <si>
    <t>CoalCracker7</t>
  </si>
  <si>
    <t>https://www.munzee.com/m/CoalCracker7/15168/</t>
  </si>
  <si>
    <t>Flamingo R27-C21</t>
  </si>
  <si>
    <t>https://www.munzee.com/m/sagabi/13171/</t>
  </si>
  <si>
    <t>Flamingo R27-C22</t>
  </si>
  <si>
    <t>https://www.munzee.com/m/RobS/4987/</t>
  </si>
  <si>
    <t>Flamingo R27-C23</t>
  </si>
  <si>
    <t>kepke3</t>
  </si>
  <si>
    <t>https://www.munzee.com/m/kepke3/3318/</t>
  </si>
  <si>
    <t>Flamingo R27-C24</t>
  </si>
  <si>
    <t>https://www.munzee.com/m/nicmar/10022/</t>
  </si>
  <si>
    <t>Flamingo R27-C25</t>
  </si>
  <si>
    <t>https://www.munzee.com/m/ChickenRun/22554/</t>
  </si>
  <si>
    <t>Flamingo R27-C26</t>
  </si>
  <si>
    <t>Mon4ikaCriss</t>
  </si>
  <si>
    <t>https://www.munzee.com/m/Mon4ikaCriss/3626/</t>
  </si>
  <si>
    <t>Flamingo R27-C27</t>
  </si>
  <si>
    <t>https://www.munzee.com/m/kepke3/3317/</t>
  </si>
  <si>
    <t>Flamingo R27-C28</t>
  </si>
  <si>
    <t>Attis</t>
  </si>
  <si>
    <t>https://www.munzee.com/m/Attis/31558/</t>
  </si>
  <si>
    <t>Flamingo R27-C29</t>
  </si>
  <si>
    <t>https://www.munzee.com/m/geomatrix/17415/</t>
  </si>
  <si>
    <t>Flamingo R27-C30</t>
  </si>
  <si>
    <t>https://www.munzee.com/m/Mon4ikaCriss/3619/</t>
  </si>
  <si>
    <t>Flamingo R27-C31</t>
  </si>
  <si>
    <t>meka</t>
  </si>
  <si>
    <t>https://www.munzee.com/m/meka/8706/</t>
  </si>
  <si>
    <t>Flamingo R28-C6</t>
  </si>
  <si>
    <t>https://www.munzee.com/m/theLuckyFinders/3970</t>
  </si>
  <si>
    <t>Flamingo R28-C7</t>
  </si>
  <si>
    <t>Flamingo R28-C8</t>
  </si>
  <si>
    <t>Flamingo R28-C9</t>
  </si>
  <si>
    <t>jm</t>
  </si>
  <si>
    <t>https://www.munzee.com/m/jm/2997/</t>
  </si>
  <si>
    <t>Flamingo R28-C10</t>
  </si>
  <si>
    <t>Flamingo R28-C11</t>
  </si>
  <si>
    <t>Sikko</t>
  </si>
  <si>
    <t>https://www.munzee.com/m/Sikko/5366/</t>
  </si>
  <si>
    <t>Flamingo R28-C12</t>
  </si>
  <si>
    <t>TheOneWhoScans</t>
  </si>
  <si>
    <t>https://www.munzee.com/m/TheOneWhoScans/10891/</t>
  </si>
  <si>
    <t>Flamingo R28-C13</t>
  </si>
  <si>
    <t>Flamingo R28-C14</t>
  </si>
  <si>
    <t>https://www.munzee.com/m/paulus2012/8375</t>
  </si>
  <si>
    <t>Flamingo R28-C15</t>
  </si>
  <si>
    <t>https://www.munzee.com/m/ahagmann/12063/</t>
  </si>
  <si>
    <t>Flamingo R28-C16</t>
  </si>
  <si>
    <t>Flamingo R28-C17</t>
  </si>
  <si>
    <t>https://www.munzee.com/m/paulus2012/8371</t>
  </si>
  <si>
    <t>Flamingo R28-C18</t>
  </si>
  <si>
    <t>https://www.munzee.com/m/anni56/23030/</t>
  </si>
  <si>
    <t>Flamingo R28-C19</t>
  </si>
  <si>
    <t>Flamingo R28-C20</t>
  </si>
  <si>
    <t>https://www.munzee.com/m/paulus2012/8370</t>
  </si>
  <si>
    <t>Flamingo R28-C21</t>
  </si>
  <si>
    <t>https://www.munzee.com/m/anni56/21161/</t>
  </si>
  <si>
    <t>Flamingo R28-C22</t>
  </si>
  <si>
    <t>Flamingo R28-C23</t>
  </si>
  <si>
    <t>https://www.munzee.com/m/paulus2012/8369</t>
  </si>
  <si>
    <t>Flamingo R28-C24</t>
  </si>
  <si>
    <t>https://www.munzee.com/m/anni56/22735/</t>
  </si>
  <si>
    <t>Flamingo R28-C25</t>
  </si>
  <si>
    <t>Flamingo R28-C26</t>
  </si>
  <si>
    <t>https://www.munzee.com/m/Maattmoo/11578/</t>
  </si>
  <si>
    <t>Flamingo R28-C27</t>
  </si>
  <si>
    <t>https://www.munzee.com/m/anni56/21113/</t>
  </si>
  <si>
    <t>Flamingo R28-C28</t>
  </si>
  <si>
    <t>Flamingo R28-C29</t>
  </si>
  <si>
    <t>https://www.munzee.com/m/paulus2012/8367</t>
  </si>
  <si>
    <t>Flamingo R28-C30</t>
  </si>
  <si>
    <t>https://www.munzee.com/m/theLuckyFinders/3965</t>
  </si>
  <si>
    <t>Flamingo R28-C31</t>
  </si>
  <si>
    <t>Flamingo R28-C32</t>
  </si>
  <si>
    <t>https://www.munzee.com/m/Alroso/2584/</t>
  </si>
  <si>
    <t>Flamingo R29-C6</t>
  </si>
  <si>
    <t>https://www.munzee.com/m/DeLeeuwen/3383/</t>
  </si>
  <si>
    <t>Flamingo R29-C7</t>
  </si>
  <si>
    <t>https://www.munzee.com/m/Eskiss/5801</t>
  </si>
  <si>
    <t>Flamingo R29-C8</t>
  </si>
  <si>
    <t>Knightwood</t>
  </si>
  <si>
    <t>https://www.munzee.com/m/knightwood/9039</t>
  </si>
  <si>
    <t>Flamingo R29-C9</t>
  </si>
  <si>
    <t>TwoHoots</t>
  </si>
  <si>
    <t>https://www.munzee.com/m/twohoots/9314</t>
  </si>
  <si>
    <t>Flamingo R29-C10</t>
  </si>
  <si>
    <t>NewTwo</t>
  </si>
  <si>
    <t>https://www.munzee.com/m/newtwo/7396</t>
  </si>
  <si>
    <t>Flamingo R29-C11</t>
  </si>
  <si>
    <t>LittleMeggie</t>
  </si>
  <si>
    <t>https://www.munzee.com/m/LittleMeggie/1534</t>
  </si>
  <si>
    <t>Flamingo R29-C12</t>
  </si>
  <si>
    <t>Sidekicks</t>
  </si>
  <si>
    <t>https://www.munzee.com/m/sidekicks/7911/</t>
  </si>
  <si>
    <t>Flamingo R29-C13</t>
  </si>
  <si>
    <t>https://www.munzee.com/m/anni56/21112/</t>
  </si>
  <si>
    <t>Flamingo R29-C14</t>
  </si>
  <si>
    <t>https://www.munzee.com/m/albman/210</t>
  </si>
  <si>
    <t>Flamingo R29-C15</t>
  </si>
  <si>
    <t>Warriors</t>
  </si>
  <si>
    <t>https://www.munzee.com/m/Warriors/6543/</t>
  </si>
  <si>
    <t>Flamingo R29-C16</t>
  </si>
  <si>
    <t>https://www.munzee.com/m/sidekicks/7912/</t>
  </si>
  <si>
    <t>Flamingo R29-C17</t>
  </si>
  <si>
    <t>https://www.munzee.com/m/theLuckyFinders/4663</t>
  </si>
  <si>
    <t>Flamingo R29-C18</t>
  </si>
  <si>
    <t>KillerSnail</t>
  </si>
  <si>
    <t>https://www.munzee.com/m/KillerSnail/9951/</t>
  </si>
  <si>
    <t>Flamingo R29-C19</t>
  </si>
  <si>
    <t>https://www.munzee.com/m/Marnic/12333/</t>
  </si>
  <si>
    <t>Flamingo R29-C20</t>
  </si>
  <si>
    <t>https://www.munzee.com/m/nicmar/10023/</t>
  </si>
  <si>
    <t>Flamingo R29-C21</t>
  </si>
  <si>
    <t>https://www.munzee.com/m/KillerSnail/9950/</t>
  </si>
  <si>
    <t>Flamingo R29-C22</t>
  </si>
  <si>
    <t>https://www.munzee.com/m/Aniara/16081/</t>
  </si>
  <si>
    <t>Flamingo R29-C23</t>
  </si>
  <si>
    <t>https://www.munzee.com/m/Marnic/12335/</t>
  </si>
  <si>
    <t>Flamingo R29-C24</t>
  </si>
  <si>
    <t>https://www.munzee.com/m/KillerSnail/9781/</t>
  </si>
  <si>
    <t>Flamingo R29-C25</t>
  </si>
  <si>
    <t>breinie</t>
  </si>
  <si>
    <t>https://www.munzee.com/m/breinie/443/</t>
  </si>
  <si>
    <t>Flamingo R29-C26</t>
  </si>
  <si>
    <t>https://www.munzee.com/m/Marnic/12341/</t>
  </si>
  <si>
    <t>Flamingo R29-C27</t>
  </si>
  <si>
    <t>https://www.munzee.com/m/KillerSnail/9207/</t>
  </si>
  <si>
    <t>Flamingo R29-C28</t>
  </si>
  <si>
    <t>https://www.munzee.com/m/nicmar/10025/</t>
  </si>
  <si>
    <t>Flamingo R29-C29</t>
  </si>
  <si>
    <t>https://www.munzee.com/m/Marnic/12346/</t>
  </si>
  <si>
    <t>Flamingo R29-C30</t>
  </si>
  <si>
    <t>https://www.munzee.com/m/KillerSnail/9208/</t>
  </si>
  <si>
    <t>Flamingo R29-C31</t>
  </si>
  <si>
    <t>https://www.munzee.com/m/nicmar/10029/</t>
  </si>
  <si>
    <t>Flamingo R29-C32</t>
  </si>
  <si>
    <t>https://www.munzee.com/m/breinie/442/</t>
  </si>
  <si>
    <t>Flamingo R30-C7</t>
  </si>
  <si>
    <t>CrissOldouvelleRoute</t>
  </si>
  <si>
    <t>https://www.munzee.com/m/CrissOldNouvelleRoute/252/</t>
  </si>
  <si>
    <t>Flamingo R30-C8</t>
  </si>
  <si>
    <t>https://www.munzee.com/m/Mon4ikaCriss/3538/</t>
  </si>
  <si>
    <t>Flamingo R30-C9</t>
  </si>
  <si>
    <t>kaliho</t>
  </si>
  <si>
    <t>https://www.munzee.com/m/kaliho/1091</t>
  </si>
  <si>
    <t>Flamingo R30-C10</t>
  </si>
  <si>
    <t>https://www.munzee.com/m/granitente/13004/</t>
  </si>
  <si>
    <t>Flamingo R30-C11</t>
  </si>
  <si>
    <t>https://www.munzee.com/m/RobS/4990/</t>
  </si>
  <si>
    <t>Flamingo R30-C12</t>
  </si>
  <si>
    <t>https://www.munzee.com/m/gerardz/9334/</t>
  </si>
  <si>
    <t>Flamingo R30-C13</t>
  </si>
  <si>
    <t>https://www.munzee.com/m/Kyrandia/6029/</t>
  </si>
  <si>
    <t>Flamingo R30-C14</t>
  </si>
  <si>
    <t>https://www.munzee.com/m/Suomieven/12064/</t>
  </si>
  <si>
    <t>Flamingo R30-C15</t>
  </si>
  <si>
    <t>https://www.munzee.com/m/granitente/12810/</t>
  </si>
  <si>
    <t>Flamingo R30-C16</t>
  </si>
  <si>
    <t>https://www.munzee.com/m/RobS/4995/</t>
  </si>
  <si>
    <t>Flamingo R30-C17</t>
  </si>
  <si>
    <t>https://www.munzee.com/m/gerardz/9358/</t>
  </si>
  <si>
    <t>Flamingo R30-C18</t>
  </si>
  <si>
    <t xml:space="preserve">Warriors </t>
  </si>
  <si>
    <t>https://www.munzee.com/m/Warriors/6542/</t>
  </si>
  <si>
    <t>Flamingo R30-C19</t>
  </si>
  <si>
    <t>https://www.munzee.com/m/thelanes/23983/</t>
  </si>
  <si>
    <t>Flamingo R30-C20</t>
  </si>
  <si>
    <t>https://www.munzee.com/m/granitente/12773/</t>
  </si>
  <si>
    <t>Flamingo R30-C21</t>
  </si>
  <si>
    <t>https://www.munzee.com/m/gerardz/9485/</t>
  </si>
  <si>
    <t>Flamingo R30-C22</t>
  </si>
  <si>
    <t>https://www.munzee.com/m/RobS/4996/</t>
  </si>
  <si>
    <t>Flamingo R30-C23</t>
  </si>
  <si>
    <t>nufrat</t>
  </si>
  <si>
    <t>https://www.munzee.com/m/nufrat/412/</t>
  </si>
  <si>
    <t>Flamingo R30-C24</t>
  </si>
  <si>
    <t>YankaBucs</t>
  </si>
  <si>
    <t>https://www.munzee.com/m/YankaBucs/12501/</t>
  </si>
  <si>
    <t>Flamingo R30-C25</t>
  </si>
  <si>
    <t>https://www.munzee.com/m/granitente/12696/</t>
  </si>
  <si>
    <t>Flamingo R30-C26</t>
  </si>
  <si>
    <t>https://www.munzee.com/m/RobS/4998/</t>
  </si>
  <si>
    <t>Flamingo R30-C27</t>
  </si>
  <si>
    <t>https://www.munzee.com/m/gerardz/9571/</t>
  </si>
  <si>
    <t>Flamingo R30-C28</t>
  </si>
  <si>
    <t>johnsjen</t>
  </si>
  <si>
    <t>https://www.munzee.com/m/Johnsjen/3971/</t>
  </si>
  <si>
    <t>Flamingo R30-C29</t>
  </si>
  <si>
    <t>https://www.munzee.com/m/RobS/5033/</t>
  </si>
  <si>
    <t>Flamingo R30-C30</t>
  </si>
  <si>
    <t>https://www.munzee.com/m/granitente/12695/</t>
  </si>
  <si>
    <t>Flamingo R30-C31</t>
  </si>
  <si>
    <t>https://www.munzee.com/m/gerardz/9618/</t>
  </si>
  <si>
    <t>Flamingo R30-C32</t>
  </si>
  <si>
    <t>https://www.munzee.com/m/RobS/5042/</t>
  </si>
  <si>
    <t>Flamingo R30-C33</t>
  </si>
  <si>
    <t>Emput1</t>
  </si>
  <si>
    <t>https://www.munzee.com/m/Emput1/2424/</t>
  </si>
  <si>
    <t>Flamingo R31-C8</t>
  </si>
  <si>
    <t>mding4gold</t>
  </si>
  <si>
    <t>https://www.munzee.com/m/mding4gold/11365</t>
  </si>
  <si>
    <t>Flamingo R31-C9</t>
  </si>
  <si>
    <t>https://www.munzee.com/m/raftjen/4265/</t>
  </si>
  <si>
    <t>Flamingo R31-C10</t>
  </si>
  <si>
    <t>tissa1020FoxhoundCepheus7</t>
  </si>
  <si>
    <t>https://www.munzee.com/m/tissa1020FoxhoundCepheus7/7766/</t>
  </si>
  <si>
    <t>Flamingo R31-C11</t>
  </si>
  <si>
    <t>aufbau</t>
  </si>
  <si>
    <t>https://www.munzee.com/m/aufbau/16301</t>
  </si>
  <si>
    <t>Flamingo R31-C12</t>
  </si>
  <si>
    <t>https://www.munzee.com/m/raftjen/4264/</t>
  </si>
  <si>
    <t>Flamingo R31-C13</t>
  </si>
  <si>
    <t>https://www.munzee.com/m/LonelyWalker/894/</t>
  </si>
  <si>
    <t>Flamingo R31-C14</t>
  </si>
  <si>
    <t xml:space="preserve"> rgforsythe</t>
  </si>
  <si>
    <t>https://www.munzee.com/m/rgforsythe/19440/</t>
  </si>
  <si>
    <t>Flamingo R31-C15</t>
  </si>
  <si>
    <t>https://www.munzee.com/m/EmileP68/5406/</t>
  </si>
  <si>
    <t>Flamingo R31-C16</t>
  </si>
  <si>
    <t>https://www.munzee.com/m/LonelyWalker/889/</t>
  </si>
  <si>
    <t>Flamingo R31-C17</t>
  </si>
  <si>
    <t>https://www.munzee.com/m/RoversEnd/4328/</t>
  </si>
  <si>
    <t>Flamingo R31-C18</t>
  </si>
  <si>
    <t>Bisquick2</t>
  </si>
  <si>
    <t>https://www.munzee.com/m/Bisquick2/11509/</t>
  </si>
  <si>
    <t>Flamingo R31-C19</t>
  </si>
  <si>
    <t>Virtual Red</t>
  </si>
  <si>
    <t>red</t>
  </si>
  <si>
    <t>https://www.munzee.com/m/Alroso/2310/</t>
  </si>
  <si>
    <t>Flamingo R31-C20</t>
  </si>
  <si>
    <t>https://www.munzee.com/m/anni56/20947/</t>
  </si>
  <si>
    <t>Flamingo R31-C21</t>
  </si>
  <si>
    <t>https://www.munzee.com/m/Liekensboys/397/</t>
  </si>
  <si>
    <t>Flamingo R31-C22</t>
  </si>
  <si>
    <t>dQuest</t>
  </si>
  <si>
    <t>https://www.munzee.com/m/dQuest/8604</t>
  </si>
  <si>
    <t>Flamingo R31-C23</t>
  </si>
  <si>
    <t>https://www.munzee.com/m/anni56/20946/</t>
  </si>
  <si>
    <t>Flamingo R31-C24</t>
  </si>
  <si>
    <t>BrotherWilliam</t>
  </si>
  <si>
    <t>https://www.munzee.com/m/BrotherWilliam/6132/</t>
  </si>
  <si>
    <t>Flamingo R31-C25</t>
  </si>
  <si>
    <t>ArtofEco</t>
  </si>
  <si>
    <t>https://www.munzee.com/m/ArtofEco/3850/</t>
  </si>
  <si>
    <t>Flamingo R31-C26</t>
  </si>
  <si>
    <t>GroteSufferd</t>
  </si>
  <si>
    <t>https://www.munzee.com/m/GroteSufferd/767/</t>
  </si>
  <si>
    <t>Flamingo R31-C27</t>
  </si>
  <si>
    <t>https://www.munzee.com/m/BrotherWilliam/6133/</t>
  </si>
  <si>
    <t>Flamingo R31-C28</t>
  </si>
  <si>
    <t>https://www.munzee.com/m/ArtofEco/3851/</t>
  </si>
  <si>
    <t>Flamingo R31-C29</t>
  </si>
  <si>
    <t>https://www.munzee.com/m/GroteSufferd/768/</t>
  </si>
  <si>
    <t>Flamingo R31-C30</t>
  </si>
  <si>
    <t>https://www.munzee.com/m/BrotherWilliam/6177/</t>
  </si>
  <si>
    <t>Flamingo R31-C31</t>
  </si>
  <si>
    <t>https://www.munzee.com/m/ArtofEco/3852/</t>
  </si>
  <si>
    <t>Flamingo R31-C32</t>
  </si>
  <si>
    <t>https://www.munzee.com/m/GroteSufferd/779/</t>
  </si>
  <si>
    <t>Flamingo R31-C33</t>
  </si>
  <si>
    <t>https://www.munzee.com/m/BrotherWilliam/6183/</t>
  </si>
  <si>
    <t>Flamingo R31-C34</t>
  </si>
  <si>
    <t>https://www.munzee.com/m/Ingetje/5531/</t>
  </si>
  <si>
    <t>Flamingo R32-C9</t>
  </si>
  <si>
    <t>https://www.munzee.com/m/theLuckyFinders/3928</t>
  </si>
  <si>
    <t>Flamingo R32-C10</t>
  </si>
  <si>
    <t xml:space="preserve">Sidekicks </t>
  </si>
  <si>
    <t>https://www.munzee.com/m/sidekicks/7908/</t>
  </si>
  <si>
    <t>Flamingo R32-C11</t>
  </si>
  <si>
    <t>https://www.munzee.com/m/Warriors/6547/</t>
  </si>
  <si>
    <t>Flamingo R32-C12</t>
  </si>
  <si>
    <t>https://www.munzee.com/m/Marnic/12348/</t>
  </si>
  <si>
    <t>Flamingo R32-C13</t>
  </si>
  <si>
    <t>https://www.munzee.com/m/nicmar/10031/</t>
  </si>
  <si>
    <t>Flamingo R32-C14</t>
  </si>
  <si>
    <t>https://www.munzee.com/m/nufrat/432/</t>
  </si>
  <si>
    <t>Flamingo R32-C15</t>
  </si>
  <si>
    <t>https://www.munzee.com/m/Marnic/12376/</t>
  </si>
  <si>
    <t>Flamingo R32-C16</t>
  </si>
  <si>
    <t>https://www.munzee.com/m/nicmar/10034/</t>
  </si>
  <si>
    <t>Flamingo R32-C17</t>
  </si>
  <si>
    <t>https://www.munzee.com/m/Ingetje/5537/</t>
  </si>
  <si>
    <t>Flamingo R32-C18</t>
  </si>
  <si>
    <t>https://www.munzee.com/m/Marnic/12377/</t>
  </si>
  <si>
    <t>Flamingo R32-C19</t>
  </si>
  <si>
    <t>https://www.munzee.com/m/nicmar/10037/</t>
  </si>
  <si>
    <t>Flamingo R32-C20</t>
  </si>
  <si>
    <t>https://www.munzee.com/m/Ingetje/4582/</t>
  </si>
  <si>
    <t>Flamingo R32-C21</t>
  </si>
  <si>
    <t>https://www.munzee.com/m/Marnic/12382/</t>
  </si>
  <si>
    <t>Flamingo R32-C22</t>
  </si>
  <si>
    <t>https://www.munzee.com/m/nicmar/10040/</t>
  </si>
  <si>
    <t>Flamingo R32-C23</t>
  </si>
  <si>
    <t>piupardo</t>
  </si>
  <si>
    <t>https://www.munzee.com/m/piupardo/4903/</t>
  </si>
  <si>
    <t>Flamingo R32-C24</t>
  </si>
  <si>
    <t>https://www.munzee.com/m/Marnic/12406/</t>
  </si>
  <si>
    <t>Flamingo R32-C25</t>
  </si>
  <si>
    <t>https://www.munzee.com/m/nicmar/10122/</t>
  </si>
  <si>
    <t>Flamingo R32-C26</t>
  </si>
  <si>
    <t>https://www.munzee.com/m/piupardo/4977/</t>
  </si>
  <si>
    <t>Flamingo R32-C27</t>
  </si>
  <si>
    <t>https://www.munzee.com/m/Marnic/12462/</t>
  </si>
  <si>
    <t>Flamingo R32-C28</t>
  </si>
  <si>
    <t>https://www.munzee.com/m/nicmar/10123/</t>
  </si>
  <si>
    <t>Flamingo R32-C29</t>
  </si>
  <si>
    <t>https://www.munzee.com/m/piupardo/5042/</t>
  </si>
  <si>
    <t>Flamingo R32-C30</t>
  </si>
  <si>
    <t>https://www.munzee.com/m/Ingetje/5536/</t>
  </si>
  <si>
    <t>Flamingo R32-C31</t>
  </si>
  <si>
    <t>https://www.munzee.com/m/nicmar/10174/</t>
  </si>
  <si>
    <t>Flamingo R32-C32</t>
  </si>
  <si>
    <t>https://www.munzee.com/m/does/1203/</t>
  </si>
  <si>
    <t>Flamingo R32-C33</t>
  </si>
  <si>
    <t>https://www.munzee.com/m/RoversEnd/4305/</t>
  </si>
  <si>
    <t>Flamingo R33-C10</t>
  </si>
  <si>
    <t>https://www.munzee.com/m/RobS/5044/</t>
  </si>
  <si>
    <t>Flamingo R33-C11</t>
  </si>
  <si>
    <t>https://www.munzee.com/m/does/1201/</t>
  </si>
  <si>
    <t>Flamingo R33-C12</t>
  </si>
  <si>
    <t>TeamBlackie</t>
  </si>
  <si>
    <t>https://www.munzee.com/m/TeamBlackie/1095/</t>
  </si>
  <si>
    <t>Flamingo R33-C13</t>
  </si>
  <si>
    <t>https://www.munzee.com/m/RobS/5060/</t>
  </si>
  <si>
    <t>Flamingo R33-C14</t>
  </si>
  <si>
    <t>Bayermunzeer</t>
  </si>
  <si>
    <t>https://www.munzee.com/m/Bayermunzeer/1471/</t>
  </si>
  <si>
    <t>Flamingo R33-C15</t>
  </si>
  <si>
    <t>https://www.munzee.com/m/raftjen/7642/</t>
  </si>
  <si>
    <t>Flamingo R33-C16</t>
  </si>
  <si>
    <t>https://www.munzee.com/m/RobS/5061/</t>
  </si>
  <si>
    <t>Flamingo R33-C17</t>
  </si>
  <si>
    <t>Boersentrader</t>
  </si>
  <si>
    <t>https://www.munzee.com/m/Boersentrader/7904/</t>
  </si>
  <si>
    <t>Flamingo R33-C18</t>
  </si>
  <si>
    <t>https://www.munzee.com/m/raftjen/7641/</t>
  </si>
  <si>
    <t>Flamingo R33-C19</t>
  </si>
  <si>
    <t>Sandrius</t>
  </si>
  <si>
    <t>https://www.munzee.com/m/Sandrius/7635/</t>
  </si>
  <si>
    <t>Flamingo R33-C20</t>
  </si>
  <si>
    <t>https://www.munzee.com/m/KillerSnail/9317/</t>
  </si>
  <si>
    <t>Flamingo R33-C21</t>
  </si>
  <si>
    <t>https://www.munzee.com/m/raftjen/7640/</t>
  </si>
  <si>
    <t>Flamingo R33-C22</t>
  </si>
  <si>
    <t>Flamingo R33-C23</t>
  </si>
  <si>
    <t>https://www.munzee.com/m/Ingetje/5630/</t>
  </si>
  <si>
    <t>Flamingo R33-C24</t>
  </si>
  <si>
    <t>https://www.munzee.com/m/Sandrius/7588/</t>
  </si>
  <si>
    <t>Flamingo R33-C25</t>
  </si>
  <si>
    <t>dlbisblest</t>
  </si>
  <si>
    <t>https://www.munzee.com/m/dlbisblest/15395/</t>
  </si>
  <si>
    <t>Flamingo R33-C26</t>
  </si>
  <si>
    <t>https://www.munzee.com/m/McCormick64/672/</t>
  </si>
  <si>
    <t>Flamingo R33-C29</t>
  </si>
  <si>
    <t>https://www.munzee.com/m/raftjen/7639/</t>
  </si>
  <si>
    <t>Flamingo R33-C30</t>
  </si>
  <si>
    <t>Vezliukai</t>
  </si>
  <si>
    <t>https://www.munzee.com/m/Vezliukai/1790/</t>
  </si>
  <si>
    <t>Flamingo R33-C31</t>
  </si>
  <si>
    <t>Vanduo62</t>
  </si>
  <si>
    <t>https://www.munzee.com/m/Vanduo62/654/</t>
  </si>
  <si>
    <t>Flamingo R34-C11</t>
  </si>
  <si>
    <t>https://www.munzee.com/m/LonelyWalker/888/</t>
  </si>
  <si>
    <t>Flamingo R34-C12</t>
  </si>
  <si>
    <t>https://www.munzee.com/m/Ingetje/4015/</t>
  </si>
  <si>
    <t>Flamingo R34-C13</t>
  </si>
  <si>
    <t>Vonney</t>
  </si>
  <si>
    <t>https://www.munzee.com/m/Vonney/3387/</t>
  </si>
  <si>
    <t>Flamingo R34-C14</t>
  </si>
  <si>
    <t>Tossie</t>
  </si>
  <si>
    <t>https://www.munzee.com/m/Tossie/11894/</t>
  </si>
  <si>
    <t>Flamingo R34-C15</t>
  </si>
  <si>
    <t>DiSaRu</t>
  </si>
  <si>
    <t>https://www.munzee.com/m/DiSaRu/6728/</t>
  </si>
  <si>
    <t>Flamingo R34-C16</t>
  </si>
  <si>
    <t>https://www.munzee.com/m/LonelyWalker/881/</t>
  </si>
  <si>
    <t>Flamingo R34-C17</t>
  </si>
  <si>
    <t xml:space="preserve">TeamBlackie </t>
  </si>
  <si>
    <t>https://www.munzee.com/m/TeamBlackie/1084/</t>
  </si>
  <si>
    <t>Flamingo R34-C18</t>
  </si>
  <si>
    <t>https://www.munzee.com/m/Liekensboys/859/</t>
  </si>
  <si>
    <t>Flamingo R34-C19</t>
  </si>
  <si>
    <t>https://www.munzee.com/m/Cleland/1617/</t>
  </si>
  <si>
    <t>Flamingo R34-C20</t>
  </si>
  <si>
    <t>https://www.munzee.com/m/Johnsjen/4290/</t>
  </si>
  <si>
    <t>Flamingo R34-C21</t>
  </si>
  <si>
    <t>https://www.munzee.com/m/LonelyWalker/880/</t>
  </si>
  <si>
    <t>Flamingo R34-C22</t>
  </si>
  <si>
    <t>rgforsythe</t>
  </si>
  <si>
    <t>http://munzee.com/m/rgforsythe/19439/</t>
  </si>
  <si>
    <t>Flamingo R34-C23</t>
  </si>
  <si>
    <t>GeodudeDK</t>
  </si>
  <si>
    <t>https://www.munzee.com/m/GeodudeDK/10957/</t>
  </si>
  <si>
    <t>Flamingo R34-C24</t>
  </si>
  <si>
    <t>https://www.munzee.com/m/theLuckyFinders/3926</t>
  </si>
  <si>
    <t>Flamingo R35-C13</t>
  </si>
  <si>
    <t>Flamingo R35-C14</t>
  </si>
  <si>
    <t>Flamingo R35-C15</t>
  </si>
  <si>
    <t>Flamingo R35-C16</t>
  </si>
  <si>
    <t>Flamingo R35-C17</t>
  </si>
  <si>
    <t>Flamingo R35-C18</t>
  </si>
  <si>
    <t>Flamingo R35-C19</t>
  </si>
  <si>
    <t>Flamingo R35-C20</t>
  </si>
  <si>
    <t>Flamingo R35-C21</t>
  </si>
  <si>
    <t>Flamingo R35-C22</t>
  </si>
  <si>
    <t>https://www.munzee.com/m/TeamBlackie/1097/</t>
  </si>
  <si>
    <t>Flamingo R36-C14</t>
  </si>
  <si>
    <t>Intel9</t>
  </si>
  <si>
    <t>https://www.munzee.com/m/Intel9/536/</t>
  </si>
  <si>
    <t>Flamingo R36-C15</t>
  </si>
  <si>
    <t>https://www.munzee.com/m/Vezliukai/1789/</t>
  </si>
  <si>
    <t>Flamingo R36-C16</t>
  </si>
  <si>
    <t>Dikkedoos</t>
  </si>
  <si>
    <t>https://www.munzee.com/m/Dikkedoos/3368/</t>
  </si>
  <si>
    <t>Flamingo R36-C17</t>
  </si>
  <si>
    <t>https://www.munzee.com/m/Vanduo62/488/</t>
  </si>
  <si>
    <t>Flamingo R36-C18</t>
  </si>
  <si>
    <t>https://www.munzee.com/m/raftjen/7646/</t>
  </si>
  <si>
    <t>Flamingo R36-C19</t>
  </si>
  <si>
    <t>edwin21</t>
  </si>
  <si>
    <t>https://www.munzee.com/m/edwin21/1207/</t>
  </si>
  <si>
    <t>Flamingo R36-C20</t>
  </si>
  <si>
    <t>https://www.munzee.com/m/Iphoney/800/</t>
  </si>
  <si>
    <t>Flamingo R37-C14</t>
  </si>
  <si>
    <t>https://www.munzee.com/m/Ingetje/5443/</t>
  </si>
  <si>
    <t>Flamingo R37-C15</t>
  </si>
  <si>
    <t>https://www.munzee.com/m/TeamBlackie/1100/</t>
  </si>
  <si>
    <t>Flamingo R37-C16</t>
  </si>
  <si>
    <t>https://www.munzee.com/m/HtV/9713/</t>
  </si>
  <si>
    <t>Flamingo R37-C18</t>
  </si>
  <si>
    <t>https://www.munzee.com/m/Ingetje/5408/</t>
  </si>
  <si>
    <t>Flamingo R37-C19</t>
  </si>
  <si>
    <t>https://www.munzee.com/m/Dikkedoos/3324/</t>
  </si>
  <si>
    <t>Flamingo R37-C20</t>
  </si>
  <si>
    <t>https://www.munzee.com/m/theLuckyFinders/3920/</t>
  </si>
  <si>
    <t>Flamingo R38-C3</t>
  </si>
  <si>
    <t>Electric Mystery</t>
  </si>
  <si>
    <t>electric mystery</t>
  </si>
  <si>
    <t>Flamingo R38-C4</t>
  </si>
  <si>
    <t>Flamingo R38-C8</t>
  </si>
  <si>
    <t>Flamingo R38-C9</t>
  </si>
  <si>
    <t>https://www.munzee.com/m/Marnic/18343/</t>
  </si>
  <si>
    <t>Flamingo R38-C14</t>
  </si>
  <si>
    <t>https://www.munzee.com/m/Tossie/11892/</t>
  </si>
  <si>
    <t>Flamingo R38-C15</t>
  </si>
  <si>
    <t>https://www.munzee.com/m/DiSaRu/6729/</t>
  </si>
  <si>
    <t>Flamingo R38-C18</t>
  </si>
  <si>
    <t>halizwein</t>
  </si>
  <si>
    <t>https://www.munzee.com/m/halizwein/25205/</t>
  </si>
  <si>
    <t>Flamingo R38-C19</t>
  </si>
  <si>
    <t>Lehmis</t>
  </si>
  <si>
    <t>https://www.munzee.com/m/Lehmis/9476/</t>
  </si>
  <si>
    <t>Flamingo R38-C20</t>
  </si>
  <si>
    <t>https://www.munzee.com/m/FreezeMan073/2428/</t>
  </si>
  <si>
    <t>Flamingo R38-C25</t>
  </si>
  <si>
    <t>https://www.munzee.com/m/RoversEnd/3908/</t>
  </si>
  <si>
    <t>Flamingo R38-C26</t>
  </si>
  <si>
    <t>Flamingo R38-C30</t>
  </si>
  <si>
    <t>Flamingo R38-C31</t>
  </si>
  <si>
    <t>Flamingo R39-C2</t>
  </si>
  <si>
    <t>https://www.munzee.com/m/Johnsjen/3750/</t>
  </si>
  <si>
    <t>Flamingo R39-C5</t>
  </si>
  <si>
    <t>Derlame</t>
  </si>
  <si>
    <t>https://www.munzee.com/m/Derlame/37182/</t>
  </si>
  <si>
    <t>Flamingo R39-C7</t>
  </si>
  <si>
    <t>humbird7</t>
  </si>
  <si>
    <t>https://www.munzee.com/m/humbird7/40405/</t>
  </si>
  <si>
    <t>Flamingo R39-C10</t>
  </si>
  <si>
    <t>https://www.munzee.com/m/DeLeeuwen/3450/</t>
  </si>
  <si>
    <t>Flamingo R39-C14</t>
  </si>
  <si>
    <t>https://www.munzee.com/m/breinie/301/</t>
  </si>
  <si>
    <t>Flamingo R39-C19</t>
  </si>
  <si>
    <t>https://www.munzee.com/m/humbird7/43277/</t>
  </si>
  <si>
    <t>Flamingo R39-C20</t>
  </si>
  <si>
    <t>https://www.munzee.com/m/Eskiss/5809</t>
  </si>
  <si>
    <t>Flamingo R39-C24</t>
  </si>
  <si>
    <t>https://www.munzee.com/m/Ingetje/4573/</t>
  </si>
  <si>
    <t>Flamingo R39-C27</t>
  </si>
  <si>
    <t>https://www.munzee.com/m/humbird7/40245/</t>
  </si>
  <si>
    <t>Flamingo R39-C29</t>
  </si>
  <si>
    <t>https://www.munzee.com/m/Alroso/2582/</t>
  </si>
  <si>
    <t>Flamingo R39-C32</t>
  </si>
  <si>
    <t>Dinsdagskind</t>
  </si>
  <si>
    <t>https://www.munzee.com/m/Dinsdagskind/273/</t>
  </si>
  <si>
    <t>Flamingo R40-C4</t>
  </si>
  <si>
    <t>Flamingo R40-C7</t>
  </si>
  <si>
    <t>https://www.munzee.com/m/xptwo/35781/</t>
  </si>
  <si>
    <t>Flamingo R40-C10</t>
  </si>
  <si>
    <t>Flamingo R40-C14</t>
  </si>
  <si>
    <t>https://www.munzee.com/m/CopperWings/2504/</t>
  </si>
  <si>
    <t>Flamingo R40-C20</t>
  </si>
  <si>
    <t>thelanes</t>
  </si>
  <si>
    <t>https://www.munzee.com/m/thelanes/23967/</t>
  </si>
  <si>
    <t>Flamingo R40-C26</t>
  </si>
  <si>
    <t>Flamingo R40-C31</t>
  </si>
  <si>
    <t>https://www.munzee.com/m/Hogglespike/7533</t>
  </si>
  <si>
    <t>Flamingo R41-C3</t>
  </si>
  <si>
    <t>https://www.munzee.com/m/darrenjones/8525</t>
  </si>
  <si>
    <t>Flamingo R41-C7</t>
  </si>
  <si>
    <t>https://www.munzee.com/m/Cadonkey/1663</t>
  </si>
  <si>
    <t>Flamingo R41-C10</t>
  </si>
  <si>
    <t>https://www.munzee.com/m/Andrew81/1516</t>
  </si>
  <si>
    <t>Flamingo R41-C14</t>
  </si>
  <si>
    <t>https://www.munzee.com/m/gerardz/8138/</t>
  </si>
  <si>
    <t>Flamingo R41-C20</t>
  </si>
  <si>
    <t>https://www.munzee.com/m/FreezeMan073/2429/</t>
  </si>
  <si>
    <t>Flamingo R41-C25</t>
  </si>
  <si>
    <t>mdtt</t>
  </si>
  <si>
    <t>https://www.munzee.com/m/mdtt/9321/</t>
  </si>
  <si>
    <t>Flamingo R41-C30</t>
  </si>
  <si>
    <t>https://www.munzee.com/m/Helefant/5629</t>
  </si>
  <si>
    <t>Flamingo R42-C2</t>
  </si>
  <si>
    <t>Flamingo R42-C3</t>
  </si>
  <si>
    <t>https://www.munzee.com/m/Ingetje/4554/</t>
  </si>
  <si>
    <t>Flamingo R42-C4</t>
  </si>
  <si>
    <t>lanyasummer</t>
  </si>
  <si>
    <t>https://www.munzee.com/m/Lanyasummer/7961/</t>
  </si>
  <si>
    <t>Flamingo R42-C5</t>
  </si>
  <si>
    <t>Flamingo R42-C8</t>
  </si>
  <si>
    <t>babyw</t>
  </si>
  <si>
    <t>https://www.munzee.com/m/babyw/4313/</t>
  </si>
  <si>
    <t>Flamingo R42-C9</t>
  </si>
  <si>
    <t>https://www.munzee.com/m/Ingetje/4141</t>
  </si>
  <si>
    <t>Flamingo R42-C13</t>
  </si>
  <si>
    <t>https://www.munzee.com/m/theLuckyFinders/3888</t>
  </si>
  <si>
    <t>Flamingo R42-C20</t>
  </si>
  <si>
    <t>https://www.munzee.com/m/Alroso/2499/</t>
  </si>
  <si>
    <t>Flamingo R42-C24</t>
  </si>
  <si>
    <t>Flamingo R42-C25</t>
  </si>
  <si>
    <t>Flamingo R42-C26</t>
  </si>
  <si>
    <t>Flamingo R42-C27</t>
  </si>
  <si>
    <t>Flamingo R42-C29</t>
  </si>
  <si>
    <t>Flamingo R42-C30</t>
  </si>
  <si>
    <t>Flamingo R42-C31</t>
  </si>
  <si>
    <t>teamsturms</t>
  </si>
  <si>
    <t>https://www.munzee.com/m/teamsturms/8293/</t>
  </si>
  <si>
    <t>Flamingo R42-C32</t>
  </si>
  <si>
    <t>Franske</t>
  </si>
  <si>
    <t>https://www.munzee.com/m/Franske/1867/</t>
  </si>
  <si>
    <t>Flamingo R43-C1</t>
  </si>
  <si>
    <t>Crossbow</t>
  </si>
  <si>
    <t>crossbow</t>
  </si>
  <si>
    <t>https://www.munzee.com/m/Wawie/2279/</t>
  </si>
  <si>
    <t>Flamingo R43-C2</t>
  </si>
  <si>
    <t>Flamingo R43-C3</t>
  </si>
  <si>
    <t>Flamingo R43-C4</t>
  </si>
  <si>
    <t>Flamingo R43-C5</t>
  </si>
  <si>
    <t>Theceoikjes</t>
  </si>
  <si>
    <t>https://www.munzee.com/m/Theceoiksjes/7834/</t>
  </si>
  <si>
    <t>Flamingo R43-C6</t>
  </si>
  <si>
    <t>Flamingo R43-C7</t>
  </si>
  <si>
    <t>https://www.munzee.com/m/Wawie/2278/</t>
  </si>
  <si>
    <t>Flamingo R43-C8</t>
  </si>
  <si>
    <t>Flamingo R43-C9</t>
  </si>
  <si>
    <t>Flamingo R43-C10</t>
  </si>
  <si>
    <t>https://www.munzee.com/m/Wawie/2273/</t>
  </si>
  <si>
    <t>Flamingo R43-C11</t>
  </si>
  <si>
    <t>Flamingo R43-C13</t>
  </si>
  <si>
    <t>https://www.munzee.com/m/Wawie/1303/</t>
  </si>
  <si>
    <t>Flamingo R43-C20</t>
  </si>
  <si>
    <t>https://www.munzee.com/m/Wawie/1302/</t>
  </si>
  <si>
    <t>Flamingo R43-C23</t>
  </si>
  <si>
    <t>https://www.munzee.com/m/Wawie/2272/</t>
  </si>
  <si>
    <t>Flamingo R43-C24</t>
  </si>
  <si>
    <t>Flamingo R43-C25</t>
  </si>
  <si>
    <t>Pronkrug</t>
  </si>
  <si>
    <t>https://www.munzee.com/m/Pronkrug/2884</t>
  </si>
  <si>
    <t>Flamingo R43-C26</t>
  </si>
  <si>
    <t>https://www.munzee.com/m/Wawie/2270/</t>
  </si>
  <si>
    <t>Flamingo R43-C27</t>
  </si>
  <si>
    <t>Flamingo R43-C28</t>
  </si>
  <si>
    <t>barefootguru</t>
  </si>
  <si>
    <t>https://www.munzee.com/m/barefootguru/16853/</t>
  </si>
  <si>
    <t>Flamingo R43-C29</t>
  </si>
  <si>
    <t>https://www.munzee.com/m/Wawie/2387/</t>
  </si>
  <si>
    <t>Flamingo R43-C30</t>
  </si>
  <si>
    <t>https://www.munzee.com/m/destolkjes4ever/8180/</t>
  </si>
  <si>
    <t>Flamingo R43-C31</t>
  </si>
  <si>
    <t>https://www.munzee.com/m/NikitaStolk/4787/</t>
  </si>
  <si>
    <t>Flamingo R43-C32</t>
  </si>
  <si>
    <t>https://www.munzee.com/m/Wawie/2386/</t>
  </si>
  <si>
    <t>Flamingo R43-C33</t>
  </si>
  <si>
    <t>https://www.munzee.com/m/Frikandelbroodjes/1217/</t>
  </si>
  <si>
    <t>Flamingo R44-C13</t>
  </si>
  <si>
    <t>https://www.munzee.com/m/Eskiss/5812</t>
  </si>
  <si>
    <t>Flamingo R44-C21</t>
  </si>
  <si>
    <t>HingeAndBracket</t>
  </si>
  <si>
    <t>https://www.munzee.com/m/HingeAndBracket/7133/</t>
  </si>
  <si>
    <t>Flamingo R45-C13</t>
  </si>
  <si>
    <t>https://www.munzee.com/m/Suomieven/12067/</t>
  </si>
  <si>
    <t>Flamingo R45-C21</t>
  </si>
  <si>
    <t>https://www.munzee.com/m/Boersentrader/8264/</t>
  </si>
  <si>
    <t>Flamingo R46-C13</t>
  </si>
  <si>
    <t>https://www.munzee.com/m/Wawie/2468/</t>
  </si>
  <si>
    <t>Flamingo R46-C21</t>
  </si>
  <si>
    <t>https://www.munzee.com/m/Wawie/2431/</t>
  </si>
  <si>
    <t>Flamingo R47-C12</t>
  </si>
  <si>
    <t>https://www.munzee.com/m/Ingetje/5535</t>
  </si>
  <si>
    <t>Flamingo R47-C21</t>
  </si>
  <si>
    <t>https://www.munzee.com/m/TeamBlackie/1099/</t>
  </si>
  <si>
    <t>Flamingo R48-C12</t>
  </si>
  <si>
    <t>https://www.munzee.com/m/TeamBlackie/1098/</t>
  </si>
  <si>
    <t>Flamingo R48-C21</t>
  </si>
  <si>
    <t>taska1981</t>
  </si>
  <si>
    <t>https://www.munzee.com/m/taska1981/7579/</t>
  </si>
  <si>
    <t>Flamingo R49-C12</t>
  </si>
  <si>
    <t>https://www.munzee.com/m/Vezliukai/1736/</t>
  </si>
  <si>
    <t>Flamingo R49-C22</t>
  </si>
  <si>
    <t>https://www.munzee.com/m/Intel9/517/</t>
  </si>
  <si>
    <t>Flamingo R50-C12</t>
  </si>
  <si>
    <t>https://www.munzee.com/m/does/1185/</t>
  </si>
  <si>
    <t>Flamingo R50-C22</t>
  </si>
  <si>
    <t>https://www.munzee.com/m/Johnsjen/4304/</t>
  </si>
  <si>
    <t>Flamingo R51-C11</t>
  </si>
  <si>
    <t>https://www.munzee.com/m/Boersentrader/8023/</t>
  </si>
  <si>
    <t>Flamingo R51-C22</t>
  </si>
  <si>
    <t>bordentaxi</t>
  </si>
  <si>
    <t>https://www.munzee.com/m/bordentaxi/11614</t>
  </si>
  <si>
    <t>Flamingo R52-C11</t>
  </si>
  <si>
    <t>https://www.munzee.com/m/edwin21/1208</t>
  </si>
  <si>
    <t>Flamingo R52-C22</t>
  </si>
  <si>
    <t>https://www.munzee.com/m/Jafo43/33593</t>
  </si>
  <si>
    <t>Flamingo R53-C11</t>
  </si>
  <si>
    <t>https://www.munzee.com/m/ahagmann/12061/</t>
  </si>
  <si>
    <t>Flamingo R53-C22</t>
  </si>
  <si>
    <t>https://www.munzee.com/m/edwin21/1209</t>
  </si>
  <si>
    <t>Flamingo R54-C11</t>
  </si>
  <si>
    <t>https://www.munzee.com/m/Jafo43/33592</t>
  </si>
  <si>
    <t>Flamingo R54-C23</t>
  </si>
  <si>
    <t>https://www.munzee.com/m/Vonney/3522/</t>
  </si>
  <si>
    <t>Flamingo R55-C10</t>
  </si>
  <si>
    <t>https://www.munzee.com/m/Vonney/3523/</t>
  </si>
  <si>
    <t>Flamingo R55-C11</t>
  </si>
  <si>
    <t>https://www.munzee.com/m/Wawie/795/</t>
  </si>
  <si>
    <t>Flamingo R55-C23</t>
  </si>
  <si>
    <t>https://www.munzee.com/m/Wawie/794/</t>
  </si>
  <si>
    <t>Flamingo R56-C10</t>
  </si>
  <si>
    <t>https://www.munzee.com/m/ahagmann/12062/</t>
  </si>
  <si>
    <t>Flamingo R56-C23</t>
  </si>
  <si>
    <t>https://www.munzee.com/m/Iphoney/803/</t>
  </si>
  <si>
    <t>Flamingo R57-C10</t>
  </si>
  <si>
    <t>https://www.munzee.com/m/Dariuneee/8303/</t>
  </si>
  <si>
    <t>Flamingo R57-C23</t>
  </si>
  <si>
    <t>https://www.munzee.com/m/FRH/6980/</t>
  </si>
  <si>
    <t>Flamingo R58-C8</t>
  </si>
  <si>
    <t>https://www.munzee.com/m/Wawie/978/</t>
  </si>
  <si>
    <t>Flamingo R58-C9</t>
  </si>
  <si>
    <t>https://www.munzee.com/m/Sivontim/15956/</t>
  </si>
  <si>
    <t>Flamingo R58-C10</t>
  </si>
  <si>
    <t>https://www.munzee.com/m/Andrew81/1664</t>
  </si>
  <si>
    <t>Flamingo R58-C11</t>
  </si>
  <si>
    <t>https://www.munzee.com/m/Wawie/975/</t>
  </si>
  <si>
    <t>Flamingo R58-C22</t>
  </si>
  <si>
    <t>https://www.munzee.com/m/Wawie/974/</t>
  </si>
  <si>
    <t>Flamingo R58-C23</t>
  </si>
  <si>
    <t>https://www.munzee.com/m/Helefant/5537</t>
  </si>
  <si>
    <t>Flamingo R58-C24</t>
  </si>
  <si>
    <t>purplecourgette</t>
  </si>
  <si>
    <t>https://www.munzee.com/m/purplecourgette/8850/</t>
  </si>
  <si>
    <t>Flamingo R58-C25</t>
  </si>
  <si>
    <t>https://www.munzee.com/m/Wawie/966/</t>
  </si>
  <si>
    <t>Types in deze kolom met CTRL-C &gt; CTRL-V onderaan kolom P plakken</t>
  </si>
  <si>
    <t>Types</t>
  </si>
  <si>
    <t>Spots</t>
  </si>
  <si>
    <t>Claimed</t>
  </si>
  <si>
    <t>Reserved</t>
  </si>
  <si>
    <t>Deployed</t>
  </si>
  <si>
    <t>AVG Points</t>
  </si>
  <si>
    <t>Filled</t>
  </si>
  <si>
    <t>Totaal :</t>
  </si>
  <si>
    <t>Type</t>
  </si>
  <si>
    <t>Points</t>
  </si>
  <si>
    <t>Toe te voegen</t>
  </si>
  <si>
    <t>Aanwezigheids test</t>
  </si>
  <si>
    <t>types</t>
  </si>
  <si>
    <t>Deployers:</t>
  </si>
  <si>
    <t>In dit blad niets wijzigen.</t>
  </si>
  <si>
    <t>Word automatisch bijgewerkt!</t>
  </si>
  <si>
    <t>DEPLOYERS</t>
  </si>
  <si>
    <t>RESERVED</t>
  </si>
  <si>
    <t>CLAIMED</t>
  </si>
  <si>
    <t>https://www.munzee.com/m/</t>
  </si>
  <si>
    <t>Nr.</t>
  </si>
  <si>
    <t>Deploys</t>
  </si>
  <si>
    <t>Aantal</t>
  </si>
  <si>
    <t>Link to deploys</t>
  </si>
  <si>
    <t>Map link:</t>
  </si>
  <si>
    <t>https://www.munzee.com/map/u17b6ry3k/14.2</t>
  </si>
  <si>
    <t>Sheet link:</t>
  </si>
  <si>
    <t>https://tinyurl.com/4rt8vb6d</t>
  </si>
  <si>
    <t>↓ Deployed URL ↓</t>
  </si>
  <si>
    <t>Flamingo #001</t>
  </si>
  <si>
    <t>Flamingo #002</t>
  </si>
  <si>
    <t>Flamingo #003</t>
  </si>
  <si>
    <t>Flamingo #004</t>
  </si>
  <si>
    <t>03-01-20222 start clan wars</t>
  </si>
  <si>
    <t>Flamingo #005</t>
  </si>
  <si>
    <t>Flamingo #006</t>
  </si>
  <si>
    <t>Flamingo #007</t>
  </si>
  <si>
    <t>Flamingo #008</t>
  </si>
  <si>
    <t>Flamingo #009</t>
  </si>
  <si>
    <t>Flamingo #010</t>
  </si>
  <si>
    <t>Flamingo #011</t>
  </si>
  <si>
    <t>Flamingo #012</t>
  </si>
  <si>
    <t>Flamingo #013</t>
  </si>
  <si>
    <t>Flamingo #014</t>
  </si>
  <si>
    <t>Flamingo #015</t>
  </si>
  <si>
    <t>Flamingo #016</t>
  </si>
  <si>
    <t>Flamingo #017</t>
  </si>
  <si>
    <t>Flamingo #018</t>
  </si>
  <si>
    <t>Flamingo #019</t>
  </si>
  <si>
    <t>Flamingo #020</t>
  </si>
  <si>
    <t>Flamingo #021</t>
  </si>
  <si>
    <t>Flamingo #022</t>
  </si>
  <si>
    <t>Flamingo #023</t>
  </si>
  <si>
    <t>https://www.munzee.com/m/raftjen/6865/</t>
  </si>
  <si>
    <t>Flamingo #024</t>
  </si>
  <si>
    <t>Flamingo #025</t>
  </si>
  <si>
    <t>Flamingo #026</t>
  </si>
  <si>
    <t>Flamingo #027</t>
  </si>
  <si>
    <t>does</t>
  </si>
  <si>
    <t>https://www.munzee.com/m/does/1729/</t>
  </si>
  <si>
    <t>Flamingo #028</t>
  </si>
  <si>
    <t>Flamingo #029</t>
  </si>
  <si>
    <t>Flamingo #030</t>
  </si>
  <si>
    <t>Flamingo #031</t>
  </si>
  <si>
    <t>Flamingo #032</t>
  </si>
  <si>
    <t>Flamingo #033</t>
  </si>
  <si>
    <t>Flamingo #034</t>
  </si>
  <si>
    <t>Flamingo #035</t>
  </si>
  <si>
    <t>Flamingo #036</t>
  </si>
  <si>
    <t>Flamingo #037</t>
  </si>
  <si>
    <t>Flamingo #038</t>
  </si>
  <si>
    <t>Flamingo #039</t>
  </si>
  <si>
    <t>Flamingo #040</t>
  </si>
  <si>
    <t>Flamingo #041</t>
  </si>
  <si>
    <t>Flamingo #042</t>
  </si>
  <si>
    <t>Flamingo #043</t>
  </si>
  <si>
    <t>Flamingo #044</t>
  </si>
  <si>
    <t>Flamingo #045</t>
  </si>
  <si>
    <t>Flamingo #046</t>
  </si>
  <si>
    <t>Flamingo #047</t>
  </si>
  <si>
    <t>Flamingo #048</t>
  </si>
  <si>
    <t>Flamingo #049</t>
  </si>
  <si>
    <t>Flamingo #050</t>
  </si>
  <si>
    <t>Flamingo #051</t>
  </si>
  <si>
    <t>Flamingo #052</t>
  </si>
  <si>
    <t>Flamingo #053</t>
  </si>
  <si>
    <t>Flamingo #054</t>
  </si>
  <si>
    <t>Flamingo #055</t>
  </si>
  <si>
    <t>Flamingo #056</t>
  </si>
  <si>
    <t>Flamingo #057</t>
  </si>
  <si>
    <t>Flamingo #058</t>
  </si>
  <si>
    <t>Marcelkooyman</t>
  </si>
  <si>
    <t>https://www.munzee.com/m/Marcelkooyman/170/</t>
  </si>
  <si>
    <t>Flamingo #059</t>
  </si>
  <si>
    <t>Flamingo #060</t>
  </si>
  <si>
    <t>Flamingo #061</t>
  </si>
  <si>
    <t>https://www.munzee.com/m/Marcelkooyman/169/</t>
  </si>
  <si>
    <t>Flamingo #062</t>
  </si>
  <si>
    <t>Flamingo #063</t>
  </si>
  <si>
    <t>Flamingo #064</t>
  </si>
  <si>
    <t>Flamingo #065</t>
  </si>
  <si>
    <t>Flamingo #066</t>
  </si>
  <si>
    <t>https://www.munzee.com/m/Marcelkooyman/91/</t>
  </si>
  <si>
    <t>Flamingo #067</t>
  </si>
  <si>
    <t>Flamingo #068</t>
  </si>
  <si>
    <t>Flamingo #069</t>
  </si>
  <si>
    <t>Flamingo #070</t>
  </si>
  <si>
    <t>Flamingo #071</t>
  </si>
  <si>
    <t>Flamingo #072</t>
  </si>
  <si>
    <t>Flamingo #073</t>
  </si>
  <si>
    <t>Flamingo #074</t>
  </si>
  <si>
    <t>Flamingo #075</t>
  </si>
  <si>
    <t>Flamingo #076</t>
  </si>
  <si>
    <t>Flamingo #077</t>
  </si>
  <si>
    <t>Flamingo #078</t>
  </si>
  <si>
    <t>Flamingo #079</t>
  </si>
  <si>
    <t>Flamingo #080</t>
  </si>
  <si>
    <t>Flamingo #081</t>
  </si>
  <si>
    <t>Flamingo #082</t>
  </si>
  <si>
    <t>Flamingo #083</t>
  </si>
  <si>
    <t>Flamingo #084</t>
  </si>
  <si>
    <t>Flamingo #085</t>
  </si>
  <si>
    <t>Flamingo #086</t>
  </si>
  <si>
    <t>Flamingo #087</t>
  </si>
  <si>
    <t>Flamingo #088</t>
  </si>
  <si>
    <t>Flamingo #089</t>
  </si>
  <si>
    <t>Flamingo #090</t>
  </si>
  <si>
    <t>Flamingo #091</t>
  </si>
  <si>
    <t>Flamingo #092</t>
  </si>
  <si>
    <t>Flamingo #093</t>
  </si>
  <si>
    <t>Flamingo #094</t>
  </si>
  <si>
    <t>Flamingo #095</t>
  </si>
  <si>
    <t>Flamingo #096</t>
  </si>
  <si>
    <t>Flamingo #097</t>
  </si>
  <si>
    <t>Flamingo #098</t>
  </si>
  <si>
    <t>Flamingo #099</t>
  </si>
  <si>
    <t>Flamingo #100</t>
  </si>
  <si>
    <t>Flamingo #101</t>
  </si>
  <si>
    <t>Flamingo #102</t>
  </si>
  <si>
    <t>Flamingo #103</t>
  </si>
  <si>
    <t>Flamingo #104</t>
  </si>
  <si>
    <t>Flamingo #105</t>
  </si>
  <si>
    <t>Flamingo #106</t>
  </si>
  <si>
    <t>Flamingo #107</t>
  </si>
  <si>
    <t>Flamingo #108</t>
  </si>
  <si>
    <t>Flamingo #109</t>
  </si>
  <si>
    <t>Flamingo #110</t>
  </si>
  <si>
    <t>Flamingo #111</t>
  </si>
  <si>
    <t>Flamingo #112</t>
  </si>
  <si>
    <t>Flamingo #113</t>
  </si>
  <si>
    <t>Flamingo #114</t>
  </si>
  <si>
    <t>Flamingo #115</t>
  </si>
  <si>
    <t>Flamingo #116</t>
  </si>
  <si>
    <t>Flamingo #117</t>
  </si>
  <si>
    <t>Flamingo #118</t>
  </si>
  <si>
    <t>https://www.munzee.com/m/Marcelkooyman/55/</t>
  </si>
  <si>
    <t>Flamingo #119</t>
  </si>
  <si>
    <t>Flamingo #120</t>
  </si>
  <si>
    <t>Flamingo #121</t>
  </si>
  <si>
    <t>Flamingo #122</t>
  </si>
  <si>
    <t>Flamingo #123</t>
  </si>
  <si>
    <t>Flamingo #124</t>
  </si>
  <si>
    <t>Flamingo #125</t>
  </si>
  <si>
    <t>Flamingo #126</t>
  </si>
  <si>
    <t>Flamingo #127</t>
  </si>
  <si>
    <t>Flamingo #128</t>
  </si>
  <si>
    <t>Flamingo #129</t>
  </si>
  <si>
    <t>Flamingo #130</t>
  </si>
  <si>
    <t>Flamingo #131</t>
  </si>
  <si>
    <t>Flamingo #132</t>
  </si>
  <si>
    <t>Flamingo #133</t>
  </si>
  <si>
    <t>Flamingo #134</t>
  </si>
  <si>
    <t>Flamingo #135</t>
  </si>
  <si>
    <t>Flamingo #136</t>
  </si>
  <si>
    <t>Flamingo #137</t>
  </si>
  <si>
    <t>Flamingo #138</t>
  </si>
  <si>
    <t>Flamingo #139</t>
  </si>
  <si>
    <t>Flamingo #140</t>
  </si>
  <si>
    <t>Trappertje</t>
  </si>
  <si>
    <t>https://www.munzee.com/m/Trappertje/7049/</t>
  </si>
  <si>
    <t>Flamingo #141</t>
  </si>
  <si>
    <t>Flamingo #142</t>
  </si>
  <si>
    <t>Flamingo #143</t>
  </si>
  <si>
    <t>https://www.munzee.com/m/Trappertje/7050/</t>
  </si>
  <si>
    <t>Flamingo #144</t>
  </si>
  <si>
    <t>https://www.munzee.com/m/Trappertje/7068/</t>
  </si>
  <si>
    <t>Flamingo #145</t>
  </si>
  <si>
    <t>Flamingo #146</t>
  </si>
  <si>
    <t>Flamingo #147</t>
  </si>
  <si>
    <t>https://www.munzee.com/m/Trappertje/7235/</t>
  </si>
  <si>
    <t>Flamingo #148</t>
  </si>
  <si>
    <t>Anetzet</t>
  </si>
  <si>
    <t>https://www.munzee.com/m/Anetzet/7659/</t>
  </si>
  <si>
    <t>Flamingo #149</t>
  </si>
  <si>
    <t>Flamingo #150</t>
  </si>
  <si>
    <t>https://www.munzee.com/m/Trappertje/7237/</t>
  </si>
  <si>
    <t>Flamingo #151</t>
  </si>
  <si>
    <t>Flamingo #152</t>
  </si>
  <si>
    <t>Flamingo #153</t>
  </si>
  <si>
    <t>https://www.munzee.com/m/Trappertje/7312/</t>
  </si>
  <si>
    <t>Flamingo #154</t>
  </si>
  <si>
    <t>Flamingo #155</t>
  </si>
  <si>
    <t>Flamingo #156</t>
  </si>
  <si>
    <t>Flamingo #157</t>
  </si>
  <si>
    <t>Flamingo #158</t>
  </si>
  <si>
    <t>Flamingo #159</t>
  </si>
  <si>
    <t>Flamingo #160</t>
  </si>
  <si>
    <t>Flamingo #161</t>
  </si>
  <si>
    <t>Flamingo #162</t>
  </si>
  <si>
    <t>Flamingo #163</t>
  </si>
  <si>
    <t>Flamingo #164</t>
  </si>
  <si>
    <t>Flamingo #165</t>
  </si>
  <si>
    <t>Flamingo #166</t>
  </si>
  <si>
    <t>Flamingo #167</t>
  </si>
  <si>
    <t>Flamingo #168</t>
  </si>
  <si>
    <t>Flamingo #169</t>
  </si>
  <si>
    <t>Flamingo #170</t>
  </si>
  <si>
    <t>Flamingo #171</t>
  </si>
  <si>
    <t>Flamingo #172</t>
  </si>
  <si>
    <t>Flamingo #173</t>
  </si>
  <si>
    <t>Flamingo #174</t>
  </si>
  <si>
    <t>Flamingo #175</t>
  </si>
  <si>
    <t>Flamingo #176</t>
  </si>
  <si>
    <t>Flamingo #177</t>
  </si>
  <si>
    <t>Flamingo #178</t>
  </si>
  <si>
    <t>Flamingo #179</t>
  </si>
  <si>
    <t>Flamingo #180</t>
  </si>
  <si>
    <t>Flamingo #181</t>
  </si>
  <si>
    <t>Flamingo #182</t>
  </si>
  <si>
    <t>Flamingo #183</t>
  </si>
  <si>
    <t>Flamingo #184</t>
  </si>
  <si>
    <t>Flamingo #185</t>
  </si>
  <si>
    <t>Flamingo #186</t>
  </si>
  <si>
    <t>Flamingo #187</t>
  </si>
  <si>
    <t>Flamingo #188</t>
  </si>
  <si>
    <t>Flamingo #189</t>
  </si>
  <si>
    <t>Flamingo #190</t>
  </si>
  <si>
    <t>Flamingo #191</t>
  </si>
  <si>
    <t>Flamingo #192</t>
  </si>
  <si>
    <t>https://www.munzee.com/m/Trappertje/12129/</t>
  </si>
  <si>
    <t>Flamingo #193</t>
  </si>
  <si>
    <t>Thuishuis</t>
  </si>
  <si>
    <t>https://www.munzee.com/m/Thuishuis/12869</t>
  </si>
  <si>
    <t>Flamingo #194</t>
  </si>
  <si>
    <t>Flamingo #195</t>
  </si>
  <si>
    <t>https://www.munzee.com/m/Trappertje/6857/</t>
  </si>
  <si>
    <t>Flamingo #196</t>
  </si>
  <si>
    <t>Flamingo #197</t>
  </si>
  <si>
    <t>Flamingo #198</t>
  </si>
  <si>
    <t>https://www.munzee.com/m/Trappertje/6963/</t>
  </si>
  <si>
    <t>Flamingo #199</t>
  </si>
  <si>
    <t>Flamingo #200</t>
  </si>
  <si>
    <t>Flamingo #201</t>
  </si>
  <si>
    <t>https://www.munzee.com/m/Trappertje/6976/</t>
  </si>
  <si>
    <t>Flamingo #202</t>
  </si>
  <si>
    <t>Flamingo #203</t>
  </si>
  <si>
    <t>Flamingo #204</t>
  </si>
  <si>
    <t>https://www.munzee.com/m/Trappertje/6981/</t>
  </si>
  <si>
    <t>Flamingo #205</t>
  </si>
  <si>
    <t>Flamingo #206</t>
  </si>
  <si>
    <t>Flamingo #207</t>
  </si>
  <si>
    <t>https://www.munzee.com/m/Trappertje/6984/</t>
  </si>
  <si>
    <t>Flamingo #208</t>
  </si>
  <si>
    <t>Flamingo #209</t>
  </si>
  <si>
    <t>Flamingo #210</t>
  </si>
  <si>
    <t>https://www.munzee.com/m/Trappertje/7047/</t>
  </si>
  <si>
    <t>Flamingo #211</t>
  </si>
  <si>
    <t>Flamingo #212</t>
  </si>
  <si>
    <t>Flamingo #213</t>
  </si>
  <si>
    <t>Flamingo #214</t>
  </si>
  <si>
    <t>Flamingo #215</t>
  </si>
  <si>
    <t>Flamingo #216</t>
  </si>
  <si>
    <t>Flamingo #217</t>
  </si>
  <si>
    <t>Flamingo #218</t>
  </si>
  <si>
    <t>Flamingo #219</t>
  </si>
  <si>
    <t>Flamingo #220</t>
  </si>
  <si>
    <t>Flamingo #221</t>
  </si>
  <si>
    <t>Flamingo #222</t>
  </si>
  <si>
    <t>Flamingo #223</t>
  </si>
  <si>
    <t>Flamingo #224</t>
  </si>
  <si>
    <t>Flamingo #225</t>
  </si>
  <si>
    <t>Flamingo #226</t>
  </si>
  <si>
    <t>Flamingo #227</t>
  </si>
  <si>
    <t>Flamingo #228</t>
  </si>
  <si>
    <t>Flamingo #229</t>
  </si>
  <si>
    <t>Flamingo #230</t>
  </si>
  <si>
    <t>Flamingo #231</t>
  </si>
  <si>
    <t>Flamingo #232</t>
  </si>
  <si>
    <t>Flamingo #233</t>
  </si>
  <si>
    <t>Flamingo #234</t>
  </si>
  <si>
    <t>Flamingo #235</t>
  </si>
  <si>
    <t>Flamingo #236</t>
  </si>
  <si>
    <t>Flamingo #237</t>
  </si>
  <si>
    <t>Flamingo #238</t>
  </si>
  <si>
    <t>Flamingo #239</t>
  </si>
  <si>
    <t>Flamingo #240</t>
  </si>
  <si>
    <t>Flamingo #241</t>
  </si>
  <si>
    <t>Flamingo #242</t>
  </si>
  <si>
    <t>Flamingo #243</t>
  </si>
  <si>
    <t>Flamingo #244</t>
  </si>
  <si>
    <t>Flamingo #245</t>
  </si>
  <si>
    <t>Flamingo #246</t>
  </si>
  <si>
    <t>Flamingo #247</t>
  </si>
  <si>
    <t>Flamingo #248</t>
  </si>
  <si>
    <t>Flamingo #249</t>
  </si>
  <si>
    <t>Flamingo #250</t>
  </si>
  <si>
    <t>Flamingo #251</t>
  </si>
  <si>
    <t>Flamingo #252</t>
  </si>
  <si>
    <t>Flamingo #253</t>
  </si>
  <si>
    <t>Flamingo #254</t>
  </si>
  <si>
    <t>Flamingo #255</t>
  </si>
  <si>
    <t>Flamingo #256</t>
  </si>
  <si>
    <t>Flamingo #257</t>
  </si>
  <si>
    <t>Flamingo #258</t>
  </si>
  <si>
    <t>Flamingo #259</t>
  </si>
  <si>
    <t>Flamingo #260</t>
  </si>
  <si>
    <t>Flamingo #261</t>
  </si>
  <si>
    <t>Flamingo #262</t>
  </si>
  <si>
    <t>Flamingo #263</t>
  </si>
  <si>
    <t>Flamingo #264</t>
  </si>
  <si>
    <t>Flamingo #265</t>
  </si>
  <si>
    <t>https://www.munzee.com/m/Trappertje/7402/</t>
  </si>
  <si>
    <t>Flamingo #266</t>
  </si>
  <si>
    <t>https://www.munzee.com/m/Anetzet/7655/</t>
  </si>
  <si>
    <t>Flamingo #267</t>
  </si>
  <si>
    <t>Flamingo #268</t>
  </si>
  <si>
    <t>https://www.munzee.com/m/Trappertje/7403/</t>
  </si>
  <si>
    <t>Flamingo #269</t>
  </si>
  <si>
    <t>Flamingo #270</t>
  </si>
  <si>
    <t>Flamingo #271</t>
  </si>
  <si>
    <t>https://www.munzee.com/m/Trappertje/7404/</t>
  </si>
  <si>
    <t>Flamingo #272</t>
  </si>
  <si>
    <t>Flamingo #273</t>
  </si>
  <si>
    <t>Flamingo #274</t>
  </si>
  <si>
    <t>https://www.munzee.com/m/Trappertje/7405/</t>
  </si>
  <si>
    <t>Flamingo #275</t>
  </si>
  <si>
    <t>Flamingo #276</t>
  </si>
  <si>
    <t>Flamingo #277</t>
  </si>
  <si>
    <t>https://www.munzee.com/m/Trappertje/7446/</t>
  </si>
  <si>
    <t>Flamingo #278</t>
  </si>
  <si>
    <t>Flamingo #279</t>
  </si>
  <si>
    <t>Flamingo #280</t>
  </si>
  <si>
    <t>https://www.munzee.com/m/Trappertje/7708/</t>
  </si>
  <si>
    <t>Flamingo #281</t>
  </si>
  <si>
    <t>Flamingo #282</t>
  </si>
  <si>
    <t>Flamingo #283</t>
  </si>
  <si>
    <t>https://www.munzee.com/m/Trappertje/7810/</t>
  </si>
  <si>
    <t>Flamingo #284</t>
  </si>
  <si>
    <t>Flamingo #285</t>
  </si>
  <si>
    <t>Flamingo #286</t>
  </si>
  <si>
    <t>https://www.munzee.com/m/Trappertje/7839/</t>
  </si>
  <si>
    <t>Flamingo #287</t>
  </si>
  <si>
    <t>Flamingo #288</t>
  </si>
  <si>
    <t>Flamingo #289</t>
  </si>
  <si>
    <t>https://www.munzee.com/m/Trappertje/7854/</t>
  </si>
  <si>
    <t>Flamingo #290</t>
  </si>
  <si>
    <t>Flamingo #291</t>
  </si>
  <si>
    <t>Flamingo #292</t>
  </si>
  <si>
    <t>Flamingo #293</t>
  </si>
  <si>
    <t>Flamingo #294</t>
  </si>
  <si>
    <t>Flamingo #295</t>
  </si>
  <si>
    <t>Flamingo #296</t>
  </si>
  <si>
    <t>Flamingo #297</t>
  </si>
  <si>
    <t>Flamingo #298</t>
  </si>
  <si>
    <t>Flamingo #299</t>
  </si>
  <si>
    <t>Flamingo #300</t>
  </si>
  <si>
    <t>Flamingo #301</t>
  </si>
  <si>
    <t>Flamingo #302</t>
  </si>
  <si>
    <t>Flamingo #303</t>
  </si>
  <si>
    <t>Flamingo #304</t>
  </si>
  <si>
    <t>Flamingo #305</t>
  </si>
  <si>
    <t>Flamingo #306</t>
  </si>
  <si>
    <t>Flamingo #307</t>
  </si>
  <si>
    <t>Flamingo #308</t>
  </si>
  <si>
    <t>Flamingo #309</t>
  </si>
  <si>
    <t>Flamingo #310</t>
  </si>
  <si>
    <t>Flamingo #311</t>
  </si>
  <si>
    <t>Flamingo #312</t>
  </si>
  <si>
    <t>Flamingo #313</t>
  </si>
  <si>
    <t>Flamingo #314</t>
  </si>
  <si>
    <t>Flamingo #315</t>
  </si>
  <si>
    <t>Flamingo #316</t>
  </si>
  <si>
    <t>Flamingo #317</t>
  </si>
  <si>
    <t>Flamingo #318</t>
  </si>
  <si>
    <t>Flamingo #319</t>
  </si>
  <si>
    <t>Flamingo #320</t>
  </si>
  <si>
    <t>Flamingo #321</t>
  </si>
  <si>
    <t>Flamingo #322</t>
  </si>
  <si>
    <t>Flamingo #323</t>
  </si>
  <si>
    <t>Flamingo #324</t>
  </si>
  <si>
    <t>Flamingo #325</t>
  </si>
  <si>
    <t>Flamingo #326</t>
  </si>
  <si>
    <t>Flamingo #327</t>
  </si>
  <si>
    <t>Flamingo #328</t>
  </si>
  <si>
    <t>Flamingo #329</t>
  </si>
  <si>
    <t>Flamingo #330</t>
  </si>
  <si>
    <t>Flamingo #331</t>
  </si>
  <si>
    <t>Flamingo #332</t>
  </si>
  <si>
    <t>Flamingo #333</t>
  </si>
  <si>
    <t>Flamingo #334</t>
  </si>
  <si>
    <t>Flamingo #335</t>
  </si>
  <si>
    <t>Flamingo #336</t>
  </si>
  <si>
    <t>Flamingo #337</t>
  </si>
  <si>
    <t>Flamingo #338</t>
  </si>
  <si>
    <t>Flamingo #339</t>
  </si>
  <si>
    <t>Flamingo #340</t>
  </si>
  <si>
    <t>Flamingo #341</t>
  </si>
  <si>
    <t>Flamingo #342</t>
  </si>
  <si>
    <t>Flamingo #343</t>
  </si>
  <si>
    <t>Flamingo #344</t>
  </si>
  <si>
    <t>Flamingo #345</t>
  </si>
  <si>
    <t>Flamingo #346</t>
  </si>
  <si>
    <t>Flamingo #347</t>
  </si>
  <si>
    <t>Flamingo #348</t>
  </si>
  <si>
    <t>Flamingo #349</t>
  </si>
  <si>
    <t>Flamingo #350</t>
  </si>
  <si>
    <t>Flamingo #351</t>
  </si>
  <si>
    <t>Flamingo #352</t>
  </si>
  <si>
    <t>Flamingo #353</t>
  </si>
  <si>
    <t>Flamingo #354</t>
  </si>
  <si>
    <t>Flamingo #355</t>
  </si>
  <si>
    <t>Flamingo #356</t>
  </si>
  <si>
    <t>Flamingo #357</t>
  </si>
  <si>
    <t>Flamingo #358</t>
  </si>
  <si>
    <t>Flamingo #359</t>
  </si>
  <si>
    <t>Flamingo #360</t>
  </si>
  <si>
    <t>Flamingo #361</t>
  </si>
  <si>
    <t>Flamingo #362</t>
  </si>
  <si>
    <t>Flamingo #363</t>
  </si>
  <si>
    <t>Flamingo #364</t>
  </si>
  <si>
    <t>Flamingo #365</t>
  </si>
  <si>
    <t>Flamingo #366</t>
  </si>
  <si>
    <t>Flamingo #367</t>
  </si>
  <si>
    <t>Flamingo #368</t>
  </si>
  <si>
    <t>Flamingo #369</t>
  </si>
  <si>
    <t>Flamingo #370</t>
  </si>
  <si>
    <t>Flamingo #371</t>
  </si>
  <si>
    <t>Flamingo #372</t>
  </si>
  <si>
    <t>Flamingo #373</t>
  </si>
  <si>
    <t>Flamingo #374</t>
  </si>
  <si>
    <t>Flamingo #375</t>
  </si>
  <si>
    <t>Flamingo #376</t>
  </si>
  <si>
    <t>Flamingo #377</t>
  </si>
  <si>
    <t>Flamingo #378</t>
  </si>
  <si>
    <t>Flamingo #379</t>
  </si>
  <si>
    <t>Flamingo #380</t>
  </si>
  <si>
    <t>Flamingo #381</t>
  </si>
  <si>
    <t>Flamingo #382</t>
  </si>
  <si>
    <t>Flamingo #383</t>
  </si>
  <si>
    <t>Flamingo #384</t>
  </si>
  <si>
    <t>Flamingo #385</t>
  </si>
  <si>
    <t>Flamingo #386</t>
  </si>
  <si>
    <t>Flamingo #387</t>
  </si>
  <si>
    <t>Flamingo #388</t>
  </si>
  <si>
    <t>Flamingo #389</t>
  </si>
  <si>
    <t>Flamingo #390</t>
  </si>
  <si>
    <t>Flamingo #391</t>
  </si>
  <si>
    <t>Flamingo #392</t>
  </si>
  <si>
    <t>Flamingo #393</t>
  </si>
  <si>
    <t>Flamingo #394</t>
  </si>
  <si>
    <t>Flamingo #395</t>
  </si>
  <si>
    <t>Flamingo #396</t>
  </si>
  <si>
    <t>Flamingo #397</t>
  </si>
  <si>
    <t>Flamingo #398</t>
  </si>
  <si>
    <t>Flamingo #399</t>
  </si>
  <si>
    <t>Flamingo #400</t>
  </si>
  <si>
    <t>Flamingo #401</t>
  </si>
  <si>
    <t>Flamingo #402</t>
  </si>
  <si>
    <t>Flamingo #403</t>
  </si>
  <si>
    <t>Flamingo #404</t>
  </si>
  <si>
    <t>Flamingo #405</t>
  </si>
  <si>
    <t>Flamingo #406</t>
  </si>
  <si>
    <t>Flamingo #407</t>
  </si>
  <si>
    <t>Flamingo #408</t>
  </si>
  <si>
    <t>Flamingo #409</t>
  </si>
  <si>
    <t>Flamingo #410</t>
  </si>
  <si>
    <t>Flamingo #411</t>
  </si>
  <si>
    <t>Flamingo #412</t>
  </si>
  <si>
    <t>Flamingo #413</t>
  </si>
  <si>
    <t>Flamingo #414</t>
  </si>
  <si>
    <t>Flamingo #415</t>
  </si>
  <si>
    <t>Flamingo #416</t>
  </si>
  <si>
    <t>Flamingo #417</t>
  </si>
  <si>
    <t>Flamingo #418</t>
  </si>
  <si>
    <t>Flamingo #419</t>
  </si>
  <si>
    <t>Flamingo #420</t>
  </si>
  <si>
    <t>Flamingo #421</t>
  </si>
  <si>
    <t>Flamingo #422</t>
  </si>
  <si>
    <t>Flamingo #423</t>
  </si>
  <si>
    <t>Flamingo #424</t>
  </si>
  <si>
    <t>Flamingo #425</t>
  </si>
  <si>
    <t>Flamingo #426</t>
  </si>
  <si>
    <t>Flamingo #427</t>
  </si>
  <si>
    <t>Flamingo #428</t>
  </si>
  <si>
    <t>Flamingo #429</t>
  </si>
  <si>
    <t>Flamingo #430</t>
  </si>
  <si>
    <t>Flamingo #431</t>
  </si>
  <si>
    <t>https://www.munzee.com/m/bordentaxi/11434/</t>
  </si>
  <si>
    <t>Flamingo #432</t>
  </si>
  <si>
    <t>felixbongers</t>
  </si>
  <si>
    <t>https://www.munzee.com/m/felixbongers/10945/</t>
  </si>
  <si>
    <t>Flamingo #433</t>
  </si>
  <si>
    <t>feikjen</t>
  </si>
  <si>
    <t>https://www.munzee.com/m/feikjen/11282</t>
  </si>
  <si>
    <t>Flamingo #434</t>
  </si>
  <si>
    <t>https://www.munzee.com/m/bordentaxi/11433/</t>
  </si>
  <si>
    <t>Flamingo #435</t>
  </si>
  <si>
    <t>https://www.munzee.com/m/felixbongers/10944/</t>
  </si>
  <si>
    <t>Flamingo #436</t>
  </si>
  <si>
    <t>https://www.munzee.com/m/feikjen/11281</t>
  </si>
  <si>
    <t>Flamingo #437</t>
  </si>
  <si>
    <t>https://www.munzee.com/m/bordentaxi/11429/</t>
  </si>
  <si>
    <t>Flamingo #438</t>
  </si>
  <si>
    <t>https://www.munzee.com/m/felixbongers/10941/</t>
  </si>
  <si>
    <t>Flamingo #439</t>
  </si>
  <si>
    <t>https://www.munzee.com/m/feikjen/11273</t>
  </si>
  <si>
    <t>Flamingo #440</t>
  </si>
  <si>
    <t>Flamingo #441</t>
  </si>
  <si>
    <t>Flamingo #442</t>
  </si>
  <si>
    <t>Flamingo #443</t>
  </si>
  <si>
    <t>Flamingo #444</t>
  </si>
  <si>
    <t>Flamingo #445</t>
  </si>
  <si>
    <t>Flamingo #446</t>
  </si>
  <si>
    <t>Flamingo #447</t>
  </si>
  <si>
    <t>Flamingo #448</t>
  </si>
  <si>
    <t>Flamingo #449</t>
  </si>
  <si>
    <t>Flamingo #450</t>
  </si>
  <si>
    <t>Flamingo #451</t>
  </si>
  <si>
    <t>Flamingo #452</t>
  </si>
  <si>
    <t>Flamingo #453</t>
  </si>
  <si>
    <t>Flamingo #454</t>
  </si>
  <si>
    <t>https://www.munzee.com/m/bordentaxi/8241/</t>
  </si>
  <si>
    <t>Flamingo #455</t>
  </si>
  <si>
    <t>https://www.munzee.com/m/felixbongers/10558/</t>
  </si>
  <si>
    <t>Flamingo #456</t>
  </si>
  <si>
    <t>https://www.munzee.com/m/feikjen/10805</t>
  </si>
  <si>
    <t>Flamingo #457</t>
  </si>
  <si>
    <t>Flamingo #458</t>
  </si>
  <si>
    <t>Flamingo #459</t>
  </si>
  <si>
    <t>Flamingo #460</t>
  </si>
  <si>
    <t>Flamingo #461</t>
  </si>
  <si>
    <t>Flamingo #462</t>
  </si>
  <si>
    <t>Flamingo #463</t>
  </si>
  <si>
    <t>ingetje</t>
  </si>
  <si>
    <t>Flamingo #464</t>
  </si>
  <si>
    <t>https://www.munzee.com/m/bordentaxi/8332/</t>
  </si>
  <si>
    <t>Flamingo #465</t>
  </si>
  <si>
    <t>https://www.munzee.com/m/felixbongers/9685</t>
  </si>
  <si>
    <t>Flamingo #466</t>
  </si>
  <si>
    <t>https://www.munzee.com/m/feikjen/9921</t>
  </si>
  <si>
    <t>Flamingo #467</t>
  </si>
  <si>
    <t>Flamingo #468</t>
  </si>
  <si>
    <t>Flamingo #469</t>
  </si>
  <si>
    <t>Flamingo #470</t>
  </si>
  <si>
    <t>Flamingo #471</t>
  </si>
  <si>
    <t>Flamingo #472</t>
  </si>
  <si>
    <t>Flamingo #473</t>
  </si>
  <si>
    <t>Flamingo #474</t>
  </si>
  <si>
    <t>Flamingo #475</t>
  </si>
  <si>
    <t>Flamingo #476</t>
  </si>
  <si>
    <t>Flamingo #477</t>
  </si>
  <si>
    <t>Flamingo #478</t>
  </si>
  <si>
    <t>https://www.munzee.com/m/Wawie/2190/</t>
  </si>
  <si>
    <t>Flamingo #479</t>
  </si>
  <si>
    <t>Flamingo #480</t>
  </si>
  <si>
    <t>https://www.munzee.com/m/Wawie/1734/</t>
  </si>
  <si>
    <t>Flamingo #481</t>
  </si>
  <si>
    <t>Flamingo #482</t>
  </si>
  <si>
    <t>Flamingo #483</t>
  </si>
  <si>
    <t>https://www.munzee.com/m/Wawie/1507/</t>
  </si>
  <si>
    <t>Flamingo #484</t>
  </si>
  <si>
    <t>Flamingo #485</t>
  </si>
  <si>
    <t>Flamingo #486</t>
  </si>
  <si>
    <t>Flamingo #487</t>
  </si>
  <si>
    <t>Flamingo #488</t>
  </si>
  <si>
    <t>Flamingo #489</t>
  </si>
  <si>
    <t>Flamingo #490</t>
  </si>
  <si>
    <t>Flamingo #491</t>
  </si>
  <si>
    <t>Flamingo #492</t>
  </si>
  <si>
    <t>https://www.munzee.com/m/Trappertje/7933/</t>
  </si>
  <si>
    <t>Flamingo #493</t>
  </si>
  <si>
    <t>Flamingo #494</t>
  </si>
  <si>
    <t>Flamingo #495</t>
  </si>
  <si>
    <t>https://www.munzee.com/m/Trappertje/8461/</t>
  </si>
  <si>
    <t>Flamingo #496</t>
  </si>
  <si>
    <t>Flamingo #497</t>
  </si>
  <si>
    <t>Flamingo #498</t>
  </si>
  <si>
    <t>Flamingo #499</t>
  </si>
  <si>
    <t>Flamingo #500</t>
  </si>
  <si>
    <t>https://www.munzee.com/m/bordentaxi/8339/</t>
  </si>
  <si>
    <t>Flamingo #501</t>
  </si>
  <si>
    <t>https://www.munzee.com/m/felixbongers/9596/</t>
  </si>
  <si>
    <t>Flamingo #502</t>
  </si>
  <si>
    <t>https://www.munzee.com/m/feikjen/9818</t>
  </si>
  <si>
    <t>Flamingo #503</t>
  </si>
  <si>
    <t>https://www.munzee.com/m/bordentaxi/8341/</t>
  </si>
  <si>
    <t>Flamingo #504</t>
  </si>
  <si>
    <t>https://www.munzee.com/m/felixbongers/9437</t>
  </si>
  <si>
    <t>Flamingo #505</t>
  </si>
  <si>
    <t>https://www.munzee.com/m/feikjen/9653</t>
  </si>
  <si>
    <t>Flamingo #506</t>
  </si>
  <si>
    <t>Flamingo #507</t>
  </si>
  <si>
    <t>Flamingo #508</t>
  </si>
  <si>
    <t>Flamingo #509</t>
  </si>
  <si>
    <t>https://www.munzee.com/m/bordentaxi/8568/</t>
  </si>
  <si>
    <t>Flamingo #510</t>
  </si>
  <si>
    <t>https://www.munzee.com/m/felixbongers/8838/</t>
  </si>
  <si>
    <t>Flamingo #511</t>
  </si>
  <si>
    <t>https://www.munzee.com/m/feikjen/8951</t>
  </si>
  <si>
    <t>Flamingo #512</t>
  </si>
  <si>
    <t>Flamingo #513</t>
  </si>
  <si>
    <t>Appeltje32</t>
  </si>
  <si>
    <t>https://www.munzee.com/m/appeltje32/7807/</t>
  </si>
  <si>
    <t>Deploy in January</t>
  </si>
  <si>
    <t>Flamingo #514</t>
  </si>
  <si>
    <t>Flamingo #515</t>
  </si>
  <si>
    <t>https://www.munzee.com/m/Anetzet/7227/</t>
  </si>
  <si>
    <t>Flamingo #516</t>
  </si>
  <si>
    <t>https://www.munzee.com/m/Trappertje/5198/</t>
  </si>
  <si>
    <t>Flamingo #517</t>
  </si>
  <si>
    <t>Flamingo #518</t>
  </si>
  <si>
    <t>https://www.munzee.com/m/appeltje32/7808/</t>
  </si>
  <si>
    <t>Flamingo #519</t>
  </si>
  <si>
    <t>Flamingo #520</t>
  </si>
  <si>
    <t>Flamingo #521</t>
  </si>
  <si>
    <t>Flamingo #522</t>
  </si>
  <si>
    <t>https://www.munzee.com/m/appeltje32/7809/</t>
  </si>
  <si>
    <t>Flamingo #523</t>
  </si>
  <si>
    <t>Flamingo #524</t>
  </si>
  <si>
    <t>Flamingo #525</t>
  </si>
  <si>
    <t>https://www.munzee.com/m/appeltje32/7810/</t>
  </si>
  <si>
    <t>Flamingo #526</t>
  </si>
  <si>
    <t>Flamingo #527</t>
  </si>
  <si>
    <t>Flamingo #528</t>
  </si>
  <si>
    <t>destolkjes4ever</t>
  </si>
  <si>
    <t>ASAP</t>
  </si>
  <si>
    <t>Flamingo #529</t>
  </si>
  <si>
    <t>NikitaStolk</t>
  </si>
  <si>
    <t>Flamingo #530</t>
  </si>
  <si>
    <t>Flamingo #531</t>
  </si>
  <si>
    <t>Frikandelbroodjes</t>
  </si>
  <si>
    <t>Flamingo #532</t>
  </si>
  <si>
    <t>Flamingo #533</t>
  </si>
  <si>
    <t>Flamingo #534</t>
  </si>
  <si>
    <t>Flamingo #535</t>
  </si>
  <si>
    <t>Flamingo #536</t>
  </si>
  <si>
    <t>Flamingo #537</t>
  </si>
  <si>
    <t>Flamingo #538</t>
  </si>
  <si>
    <t>Flamingo #539</t>
  </si>
  <si>
    <t>Flamingo #540</t>
  </si>
  <si>
    <t>Flamingo #541</t>
  </si>
  <si>
    <t>Flamingo #542</t>
  </si>
  <si>
    <t>Flamingo #543</t>
  </si>
  <si>
    <t>Flamingo #544</t>
  </si>
  <si>
    <t>Flamingo #545</t>
  </si>
  <si>
    <t>Flamingo #546</t>
  </si>
  <si>
    <t>Flamingo #547</t>
  </si>
  <si>
    <t>Flamingo #548</t>
  </si>
  <si>
    <t>Flamingo #549</t>
  </si>
  <si>
    <t>Flamingo #550</t>
  </si>
  <si>
    <t>Flamingo #551</t>
  </si>
  <si>
    <t>Flamingo #552</t>
  </si>
  <si>
    <t>Flamingo #553</t>
  </si>
  <si>
    <t>Flamingo #554</t>
  </si>
  <si>
    <t>Flamingo #555</t>
  </si>
  <si>
    <t>Flamingo #556</t>
  </si>
  <si>
    <t>Flamingo #557</t>
  </si>
  <si>
    <t>Flamingo #558</t>
  </si>
  <si>
    <t>Flamingo #559</t>
  </si>
  <si>
    <t>Flamingo #560</t>
  </si>
  <si>
    <t>Flamingo #561</t>
  </si>
  <si>
    <t>Flamingo #562</t>
  </si>
  <si>
    <t>Flamingo #563</t>
  </si>
  <si>
    <t>Flamingo #564</t>
  </si>
  <si>
    <t>Flamingo #565</t>
  </si>
  <si>
    <t>Flamingo #566</t>
  </si>
  <si>
    <t>Flamingo #567</t>
  </si>
  <si>
    <t>Flamingo #568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</si>
</sst>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&quot;-&quot;yyyy"/>
    <numFmt numFmtId="165" formatCode="0.000000"/>
    <numFmt numFmtId="166" formatCode="d-M-yyyy"/>
  </numFmts>
  <fonts count="54">
    <font>
      <sz val="10.0"/>
      <color rgb="FF000000"/>
      <name val="Arial"/>
      <scheme val="minor"/>
    </font>
    <font>
      <color theme="1"/>
      <name val="Arial"/>
      <scheme val="minor"/>
    </font>
    <font>
      <b/>
      <sz val="22.0"/>
      <color rgb="FFFF00FF"/>
      <name val="Merriweather"/>
    </font>
    <font/>
    <font>
      <b/>
      <sz val="11.0"/>
      <color rgb="FFFF0000"/>
      <name val="Arial"/>
      <scheme val="minor"/>
    </font>
    <font>
      <sz val="12.0"/>
      <color theme="1"/>
      <name val="Merriweather"/>
    </font>
    <font>
      <b/>
      <sz val="12.0"/>
      <color rgb="FF000000"/>
      <name val="Merriweather"/>
    </font>
    <font>
      <b/>
      <color theme="1"/>
      <name val="Arial"/>
    </font>
    <font>
      <b/>
      <sz val="11.0"/>
      <color rgb="FFFF0000"/>
      <name val="Roboto"/>
    </font>
    <font>
      <color theme="1"/>
      <name val="Merriweather"/>
    </font>
    <font>
      <color theme="1"/>
      <name val="Arial"/>
    </font>
    <font>
      <b/>
      <sz val="12.0"/>
      <color theme="1"/>
      <name val="Merriweather"/>
    </font>
    <font>
      <u/>
      <sz val="12.0"/>
      <color rgb="FF1155CC"/>
      <name val="Merriweather"/>
    </font>
    <font>
      <b/>
      <sz val="36.0"/>
      <color rgb="FFFFF2CC"/>
      <name val="Arial"/>
      <scheme val="minor"/>
    </font>
    <font>
      <b/>
      <sz val="24.0"/>
      <color rgb="FFFF00FF"/>
      <name val="Merriweather"/>
    </font>
    <font>
      <b/>
      <color theme="1"/>
      <name val="Arial"/>
      <scheme val="minor"/>
    </font>
    <font>
      <b/>
      <sz val="14.0"/>
      <color theme="1"/>
      <name val="Merriweather"/>
    </font>
    <font>
      <b/>
      <sz val="12.0"/>
      <color rgb="FFFF0000"/>
      <name val="Merriweather"/>
    </font>
    <font>
      <b/>
      <sz val="12.0"/>
      <color theme="1"/>
      <name val="Arial"/>
      <scheme val="minor"/>
    </font>
    <font>
      <b/>
      <sz val="11.0"/>
      <color rgb="FFFFFFFF"/>
      <name val="Merriweather"/>
    </font>
    <font>
      <b/>
      <sz val="11.0"/>
      <color rgb="FFFFFFFF"/>
      <name val="Arial"/>
    </font>
    <font>
      <sz val="11.0"/>
      <color rgb="FF016930"/>
      <name val="Arial"/>
      <scheme val="minor"/>
    </font>
    <font>
      <u/>
      <color rgb="FF0000FF"/>
    </font>
    <font>
      <u/>
      <sz val="11.0"/>
      <color rgb="FF016930"/>
    </font>
    <font>
      <u/>
      <color rgb="FF0000FF"/>
    </font>
    <font>
      <u/>
      <sz val="11.0"/>
      <color rgb="FF016930"/>
    </font>
    <font>
      <b/>
      <color rgb="FFFFFFFF"/>
      <name val="Arial"/>
      <scheme val="minor"/>
    </font>
    <font>
      <u/>
      <color rgb="FF000000"/>
      <name val="Roboto"/>
    </font>
    <font>
      <u/>
      <sz val="11.0"/>
      <color rgb="FFFFFFFF"/>
    </font>
    <font>
      <u/>
      <color rgb="FF0000FF"/>
    </font>
    <font>
      <color rgb="FF000000"/>
      <name val="Arial"/>
      <scheme val="minor"/>
    </font>
    <font>
      <u/>
      <color rgb="FF0000FF"/>
    </font>
    <font>
      <u/>
      <sz val="11.0"/>
      <color rgb="FF016930"/>
    </font>
    <font>
      <u/>
      <color rgb="FF0000FF"/>
    </font>
    <font>
      <u/>
      <sz val="11.0"/>
      <color rgb="FF1155CC"/>
    </font>
    <font>
      <sz val="11.0"/>
      <color rgb="FF000000"/>
    </font>
    <font>
      <sz val="11.0"/>
      <color rgb="FF016930"/>
    </font>
    <font>
      <color rgb="FF9900FF"/>
      <name val="Arial"/>
      <scheme val="minor"/>
    </font>
    <font>
      <u/>
      <sz val="11.0"/>
      <color rgb="FF6611CC"/>
      <name val="Roboto"/>
    </font>
    <font>
      <u/>
      <sz val="11.0"/>
      <color rgb="FF016930"/>
    </font>
    <font>
      <u/>
      <color rgb="FF0000FF"/>
    </font>
    <font>
      <sz val="10.0"/>
      <color theme="1"/>
      <name val="Arial"/>
    </font>
    <font>
      <b/>
      <sz val="11.0"/>
      <color theme="1"/>
      <name val="Arial"/>
    </font>
    <font>
      <b/>
      <sz val="12.0"/>
      <color theme="1"/>
      <name val="Arial"/>
    </font>
    <font>
      <b/>
      <color rgb="FFFF0000"/>
      <name val="Arial"/>
    </font>
    <font>
      <u/>
      <color rgb="FFF3F3F3"/>
      <name val="Arial"/>
    </font>
    <font>
      <color rgb="FF000000"/>
      <name val="Arial"/>
    </font>
    <font>
      <sz val="12.0"/>
      <color rgb="FF000000"/>
      <name val="Merriweather"/>
    </font>
    <font>
      <u/>
      <sz val="12.0"/>
      <color rgb="FF0000FF"/>
      <name val="Merriweather"/>
    </font>
    <font>
      <u/>
      <sz val="12.0"/>
      <color rgb="FF1155CC"/>
      <name val="Merriweather"/>
    </font>
    <font>
      <b/>
      <color theme="0"/>
      <name val="Merriweather"/>
    </font>
    <font>
      <b/>
      <color rgb="FFFFFFFF"/>
      <name val="Merriweather"/>
    </font>
    <font>
      <u/>
      <sz val="11.0"/>
      <color rgb="FF016930"/>
    </font>
    <font>
      <u/>
      <sz val="11.0"/>
      <color rgb="FF016930"/>
    </font>
  </fonts>
  <fills count="1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A4C2F4"/>
        <bgColor rgb="FFA4C2F4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F1F3F4"/>
        <bgColor rgb="FFF1F3F4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</fills>
  <borders count="5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</border>
    <border>
      <left style="dotted">
        <color rgb="FF000000"/>
      </left>
      <right style="thin">
        <color rgb="FF000000"/>
      </right>
      <top style="dotted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right style="dotted">
        <color rgb="FF000000"/>
      </right>
      <bottom style="dotted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n">
        <color rgb="FF000000"/>
      </right>
      <bottom style="dotted">
        <color rgb="FF000000"/>
      </bottom>
    </border>
    <border>
      <left style="dotted">
        <color rgb="FF000000"/>
      </left>
      <bottom style="dotted">
        <color rgb="FF000000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right style="dotted">
        <color rgb="FF000000"/>
      </right>
      <top style="dotted">
        <color rgb="FF000000"/>
      </top>
    </border>
    <border>
      <left style="dotted">
        <color rgb="FF000000"/>
      </left>
      <right style="dotted">
        <color rgb="FF000000"/>
      </right>
      <top style="dotted">
        <color rgb="FF000000"/>
      </top>
    </border>
    <border>
      <left style="dotted">
        <color rgb="FF000000"/>
      </left>
      <top style="dotted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top style="thin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FF0000"/>
      </left>
      <right/>
      <top style="medium">
        <color rgb="FFFF0000"/>
      </top>
    </border>
    <border>
      <right style="medium">
        <color rgb="FFFF0000"/>
      </right>
      <top style="medium">
        <color rgb="FFFF0000"/>
      </top>
    </border>
    <border>
      <left style="medium">
        <color rgb="FFFF0000"/>
      </left>
      <bottom style="medium">
        <color rgb="FFFF0000"/>
      </bottom>
    </border>
    <border>
      <right style="medium">
        <color rgb="FFFF0000"/>
      </right>
      <bottom style="medium">
        <color rgb="FFFF0000"/>
      </bottom>
    </border>
    <border>
      <right style="thick">
        <color rgb="FF000000"/>
      </right>
      <bottom style="thin">
        <color rgb="FF000000"/>
      </bottom>
    </border>
    <border>
      <left style="thin">
        <color rgb="FF000000"/>
      </left>
      <right style="dotted">
        <color rgb="FF000000"/>
      </right>
      <bottom style="dotted">
        <color rgb="FF000000"/>
      </bottom>
    </border>
    <border>
      <right style="thin">
        <color rgb="FF000000"/>
      </right>
      <bottom style="dotted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</borders>
  <cellStyleXfs count="1">
    <xf borderId="0" fillId="0" fontId="0" numFmtId="0" applyAlignment="1" applyFont="1"/>
  </cellStyleXfs>
  <cellXfs count="22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readingOrder="0"/>
    </xf>
    <xf borderId="1" fillId="2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center" readingOrder="0" shrinkToFit="0" vertical="top" wrapText="1"/>
    </xf>
    <xf borderId="5" fillId="2" fontId="5" numFmtId="0" xfId="0" applyAlignment="1" applyBorder="1" applyFont="1">
      <alignment horizontal="left" readingOrder="0" vertical="center"/>
    </xf>
    <xf borderId="6" fillId="2" fontId="6" numFmtId="0" xfId="0" applyAlignment="1" applyBorder="1" applyFont="1">
      <alignment horizontal="left" readingOrder="0" vertical="center"/>
    </xf>
    <xf borderId="0" fillId="2" fontId="1" numFmtId="0" xfId="0" applyAlignment="1" applyFont="1">
      <alignment horizontal="right"/>
    </xf>
    <xf borderId="0" fillId="3" fontId="7" numFmtId="0" xfId="0" applyAlignment="1" applyFill="1" applyFont="1">
      <alignment horizontal="center" vertical="bottom"/>
    </xf>
    <xf borderId="0" fillId="3" fontId="8" numFmtId="3" xfId="0" applyAlignment="1" applyFont="1" applyNumberFormat="1">
      <alignment shrinkToFit="0" wrapText="1"/>
    </xf>
    <xf borderId="7" fillId="3" fontId="7" numFmtId="164" xfId="0" applyAlignment="1" applyBorder="1" applyFont="1" applyNumberFormat="1">
      <alignment horizontal="center" vertical="bottom"/>
    </xf>
    <xf borderId="8" fillId="4" fontId="7" numFmtId="0" xfId="0" applyAlignment="1" applyBorder="1" applyFill="1" applyFont="1">
      <alignment horizontal="center" vertical="bottom"/>
    </xf>
    <xf borderId="9" fillId="0" fontId="3" numFmtId="0" xfId="0" applyBorder="1" applyFont="1"/>
    <xf borderId="10" fillId="0" fontId="3" numFmtId="0" xfId="0" applyBorder="1" applyFont="1"/>
    <xf borderId="0" fillId="2" fontId="9" numFmtId="0" xfId="0" applyFont="1"/>
    <xf borderId="11" fillId="0" fontId="3" numFmtId="0" xfId="0" applyBorder="1" applyFont="1"/>
    <xf borderId="7" fillId="0" fontId="3" numFmtId="0" xfId="0" applyBorder="1" applyFont="1"/>
    <xf borderId="12" fillId="0" fontId="3" numFmtId="0" xfId="0" applyBorder="1" applyFont="1"/>
    <xf borderId="13" fillId="5" fontId="5" numFmtId="0" xfId="0" applyAlignment="1" applyBorder="1" applyFill="1" applyFont="1">
      <alignment horizontal="left" readingOrder="0" vertical="center"/>
    </xf>
    <xf borderId="14" fillId="2" fontId="6" numFmtId="0" xfId="0" applyAlignment="1" applyBorder="1" applyFont="1">
      <alignment horizontal="left"/>
    </xf>
    <xf borderId="7" fillId="3" fontId="10" numFmtId="164" xfId="0" applyAlignment="1" applyBorder="1" applyFont="1" applyNumberFormat="1">
      <alignment vertical="bottom"/>
    </xf>
    <xf borderId="0" fillId="0" fontId="10" numFmtId="0" xfId="0" applyAlignment="1" applyFont="1">
      <alignment vertical="bottom"/>
    </xf>
    <xf borderId="0" fillId="4" fontId="10" numFmtId="0" xfId="0" applyAlignment="1" applyFont="1">
      <alignment vertical="bottom"/>
    </xf>
    <xf borderId="7" fillId="4" fontId="10" numFmtId="0" xfId="0" applyAlignment="1" applyBorder="1" applyFont="1">
      <alignment vertical="bottom"/>
    </xf>
    <xf borderId="0" fillId="2" fontId="5" numFmtId="0" xfId="0" applyAlignment="1" applyFont="1">
      <alignment readingOrder="0"/>
    </xf>
    <xf borderId="0" fillId="2" fontId="5" numFmtId="0" xfId="0" applyFont="1"/>
    <xf borderId="15" fillId="2" fontId="11" numFmtId="0" xfId="0" applyAlignment="1" applyBorder="1" applyFont="1">
      <alignment horizontal="center" readingOrder="0"/>
    </xf>
    <xf borderId="16" fillId="0" fontId="3" numFmtId="0" xfId="0" applyBorder="1" applyFont="1"/>
    <xf borderId="17" fillId="0" fontId="3" numFmtId="0" xfId="0" applyBorder="1" applyFont="1"/>
    <xf borderId="18" fillId="6" fontId="5" numFmtId="0" xfId="0" applyAlignment="1" applyBorder="1" applyFill="1" applyFont="1">
      <alignment horizontal="left" readingOrder="0" vertical="center"/>
    </xf>
    <xf borderId="19" fillId="2" fontId="6" numFmtId="0" xfId="0" applyAlignment="1" applyBorder="1" applyFont="1">
      <alignment horizontal="left"/>
    </xf>
    <xf borderId="0" fillId="3" fontId="10" numFmtId="0" xfId="0" applyAlignment="1" applyFont="1">
      <alignment vertical="bottom"/>
    </xf>
    <xf borderId="11" fillId="2" fontId="12" numFmtId="0" xfId="0" applyAlignment="1" applyBorder="1" applyFont="1">
      <alignment readingOrder="0"/>
    </xf>
    <xf borderId="0" fillId="2" fontId="5" numFmtId="165" xfId="0" applyFont="1" applyNumberFormat="1"/>
    <xf borderId="0" fillId="2" fontId="13" numFmtId="0" xfId="0" applyAlignment="1" applyFont="1">
      <alignment horizontal="center" readingOrder="0" vertical="center"/>
    </xf>
    <xf borderId="9" fillId="2" fontId="14" numFmtId="0" xfId="0" applyAlignment="1" applyBorder="1" applyFont="1">
      <alignment readingOrder="0"/>
    </xf>
    <xf borderId="10" fillId="2" fontId="15" numFmtId="0" xfId="0" applyAlignment="1" applyBorder="1" applyFont="1">
      <alignment horizontal="center" readingOrder="0"/>
    </xf>
    <xf borderId="18" fillId="7" fontId="5" numFmtId="0" xfId="0" applyAlignment="1" applyBorder="1" applyFill="1" applyFont="1">
      <alignment horizontal="left" readingOrder="0" vertical="center"/>
    </xf>
    <xf borderId="0" fillId="3" fontId="10" numFmtId="166" xfId="0" applyAlignment="1" applyFont="1" applyNumberFormat="1">
      <alignment horizontal="center" vertical="bottom"/>
    </xf>
    <xf borderId="10" fillId="2" fontId="15" numFmtId="0" xfId="0" applyAlignment="1" applyBorder="1" applyFont="1">
      <alignment horizontal="left"/>
    </xf>
    <xf borderId="5" fillId="8" fontId="5" numFmtId="0" xfId="0" applyAlignment="1" applyBorder="1" applyFill="1" applyFont="1">
      <alignment readingOrder="0" vertical="center"/>
    </xf>
    <xf borderId="6" fillId="2" fontId="6" numFmtId="0" xfId="0" applyAlignment="1" applyBorder="1" applyFont="1">
      <alignment horizontal="left" vertical="center"/>
    </xf>
    <xf borderId="0" fillId="3" fontId="1" numFmtId="0" xfId="0" applyFont="1"/>
    <xf borderId="0" fillId="2" fontId="16" numFmtId="0" xfId="0" applyAlignment="1" applyFont="1">
      <alignment horizontal="center" readingOrder="0" shrinkToFit="0" vertical="center" wrapText="1"/>
    </xf>
    <xf borderId="0" fillId="2" fontId="14" numFmtId="0" xfId="0" applyAlignment="1" applyFont="1">
      <alignment readingOrder="0"/>
    </xf>
    <xf borderId="0" fillId="2" fontId="17" numFmtId="0" xfId="0" applyAlignment="1" applyFont="1">
      <alignment horizontal="center" readingOrder="0"/>
    </xf>
    <xf borderId="20" fillId="0" fontId="3" numFmtId="0" xfId="0" applyBorder="1" applyFont="1"/>
    <xf borderId="13" fillId="2" fontId="11" numFmtId="0" xfId="0" applyAlignment="1" applyBorder="1" applyFont="1">
      <alignment readingOrder="0"/>
    </xf>
    <xf borderId="14" fillId="2" fontId="6" numFmtId="3" xfId="0" applyAlignment="1" applyBorder="1" applyFont="1" applyNumberFormat="1">
      <alignment horizontal="left" vertical="center"/>
    </xf>
    <xf borderId="21" fillId="2" fontId="17" numFmtId="0" xfId="0" applyAlignment="1" applyBorder="1" applyFont="1">
      <alignment horizontal="center" readingOrder="0"/>
    </xf>
    <xf borderId="22" fillId="2" fontId="18" numFmtId="0" xfId="0" applyAlignment="1" applyBorder="1" applyFont="1">
      <alignment readingOrder="0"/>
    </xf>
    <xf borderId="23" fillId="2" fontId="11" numFmtId="9" xfId="0" applyAlignment="1" applyBorder="1" applyFont="1" applyNumberFormat="1">
      <alignment horizontal="left"/>
    </xf>
    <xf borderId="0" fillId="0" fontId="10" numFmtId="0" xfId="0" applyAlignment="1" applyFont="1">
      <alignment horizontal="center" vertical="bottom"/>
    </xf>
    <xf borderId="7" fillId="0" fontId="10" numFmtId="0" xfId="0" applyAlignment="1" applyBorder="1" applyFont="1">
      <alignment horizontal="center" vertical="bottom"/>
    </xf>
    <xf borderId="21" fillId="9" fontId="19" numFmtId="0" xfId="0" applyAlignment="1" applyBorder="1" applyFill="1" applyFont="1">
      <alignment horizontal="left" readingOrder="0"/>
    </xf>
    <xf borderId="20" fillId="9" fontId="19" numFmtId="0" xfId="0" applyAlignment="1" applyBorder="1" applyFont="1">
      <alignment horizontal="left" readingOrder="0"/>
    </xf>
    <xf borderId="21" fillId="9" fontId="19" numFmtId="164" xfId="0" applyAlignment="1" applyBorder="1" applyFont="1" applyNumberFormat="1">
      <alignment horizontal="left" readingOrder="0"/>
    </xf>
    <xf borderId="21" fillId="9" fontId="19" numFmtId="3" xfId="0" applyAlignment="1" applyBorder="1" applyFont="1" applyNumberFormat="1">
      <alignment horizontal="left" readingOrder="0"/>
    </xf>
    <xf borderId="21" fillId="9" fontId="20" numFmtId="0" xfId="0" applyAlignment="1" applyBorder="1" applyFont="1">
      <alignment horizontal="left" vertical="bottom"/>
    </xf>
    <xf borderId="24" fillId="0" fontId="1" numFmtId="0" xfId="0" applyAlignment="1" applyBorder="1" applyFont="1">
      <alignment readingOrder="0"/>
    </xf>
    <xf borderId="25" fillId="0" fontId="1" numFmtId="0" xfId="0" applyAlignment="1" applyBorder="1" applyFont="1">
      <alignment horizontal="center" readingOrder="0"/>
    </xf>
    <xf borderId="25" fillId="0" fontId="1" numFmtId="165" xfId="0" applyAlignment="1" applyBorder="1" applyFont="1" applyNumberFormat="1">
      <alignment horizontal="center" readingOrder="0"/>
    </xf>
    <xf borderId="26" fillId="0" fontId="1" numFmtId="165" xfId="0" applyAlignment="1" applyBorder="1" applyFont="1" applyNumberFormat="1">
      <alignment horizontal="center" readingOrder="0"/>
    </xf>
    <xf borderId="25" fillId="0" fontId="1" numFmtId="0" xfId="0" applyAlignment="1" applyBorder="1" applyFont="1">
      <alignment readingOrder="0"/>
    </xf>
    <xf borderId="26" fillId="0" fontId="1" numFmtId="0" xfId="0" applyBorder="1" applyFont="1"/>
    <xf borderId="26" fillId="0" fontId="21" numFmtId="0" xfId="0" applyAlignment="1" applyBorder="1" applyFont="1">
      <alignment readingOrder="0"/>
    </xf>
    <xf borderId="25" fillId="0" fontId="1" numFmtId="0" xfId="0" applyAlignment="1" applyBorder="1" applyFont="1">
      <alignment horizontal="left" readingOrder="0"/>
    </xf>
    <xf borderId="25" fillId="0" fontId="1" numFmtId="0" xfId="0" applyBorder="1" applyFont="1"/>
    <xf borderId="27" fillId="0" fontId="1" numFmtId="0" xfId="0" applyBorder="1" applyFont="1"/>
    <xf borderId="24" fillId="0" fontId="1" numFmtId="0" xfId="0" applyBorder="1" applyFont="1"/>
    <xf borderId="25" fillId="0" fontId="1" numFmtId="164" xfId="0" applyBorder="1" applyFont="1" applyNumberFormat="1"/>
    <xf borderId="25" fillId="0" fontId="1" numFmtId="3" xfId="0" applyAlignment="1" applyBorder="1" applyFont="1" applyNumberFormat="1">
      <alignment horizontal="center"/>
    </xf>
    <xf borderId="27" fillId="0" fontId="1" numFmtId="164" xfId="0" applyBorder="1" applyFont="1" applyNumberFormat="1"/>
    <xf borderId="28" fillId="0" fontId="22" numFmtId="0" xfId="0" applyBorder="1" applyFont="1"/>
    <xf borderId="29" fillId="0" fontId="1" numFmtId="0" xfId="0" applyAlignment="1" applyBorder="1" applyFont="1">
      <alignment readingOrder="0"/>
    </xf>
    <xf borderId="26" fillId="0" fontId="1" numFmtId="0" xfId="0" applyAlignment="1" applyBorder="1" applyFont="1">
      <alignment horizontal="center" readingOrder="0"/>
    </xf>
    <xf borderId="26" fillId="0" fontId="1" numFmtId="0" xfId="0" applyAlignment="1" applyBorder="1" applyFont="1">
      <alignment readingOrder="0"/>
    </xf>
    <xf borderId="26" fillId="0" fontId="23" numFmtId="0" xfId="0" applyAlignment="1" applyBorder="1" applyFont="1">
      <alignment readingOrder="0"/>
    </xf>
    <xf borderId="26" fillId="0" fontId="1" numFmtId="0" xfId="0" applyAlignment="1" applyBorder="1" applyFont="1">
      <alignment horizontal="left"/>
    </xf>
    <xf borderId="14" fillId="0" fontId="1" numFmtId="0" xfId="0" applyBorder="1" applyFont="1"/>
    <xf borderId="29" fillId="0" fontId="1" numFmtId="0" xfId="0" applyBorder="1" applyFont="1"/>
    <xf borderId="26" fillId="0" fontId="1" numFmtId="164" xfId="0" applyBorder="1" applyFont="1" applyNumberFormat="1"/>
    <xf borderId="26" fillId="0" fontId="1" numFmtId="3" xfId="0" applyAlignment="1" applyBorder="1" applyFont="1" applyNumberFormat="1">
      <alignment horizontal="center"/>
    </xf>
    <xf borderId="14" fillId="0" fontId="1" numFmtId="164" xfId="0" applyBorder="1" applyFont="1" applyNumberFormat="1"/>
    <xf borderId="30" fillId="0" fontId="24" numFmtId="0" xfId="0" applyBorder="1" applyFont="1"/>
    <xf borderId="26" fillId="0" fontId="25" numFmtId="0" xfId="0" applyAlignment="1" applyBorder="1" applyFont="1">
      <alignment readingOrder="0"/>
    </xf>
    <xf borderId="26" fillId="0" fontId="1" numFmtId="0" xfId="0" applyAlignment="1" applyBorder="1" applyFont="1">
      <alignment horizontal="left" readingOrder="0"/>
    </xf>
    <xf borderId="26" fillId="4" fontId="26" numFmtId="0" xfId="0" applyAlignment="1" applyBorder="1" applyFont="1">
      <alignment horizontal="left" readingOrder="0" vertical="bottom"/>
    </xf>
    <xf borderId="26" fillId="0" fontId="1" numFmtId="0" xfId="0" applyAlignment="1" applyBorder="1" applyFont="1">
      <alignment horizontal="left" vertical="bottom"/>
    </xf>
    <xf borderId="26" fillId="0" fontId="1" numFmtId="0" xfId="0" applyAlignment="1" applyBorder="1" applyFont="1">
      <alignment horizontal="left" readingOrder="0" vertical="bottom"/>
    </xf>
    <xf borderId="26" fillId="0" fontId="10" numFmtId="0" xfId="0" applyAlignment="1" applyBorder="1" applyFont="1">
      <alignment horizontal="left" vertical="bottom"/>
    </xf>
    <xf borderId="0" fillId="0" fontId="27" numFmtId="0" xfId="0" applyAlignment="1" applyFont="1">
      <alignment readingOrder="0"/>
    </xf>
    <xf borderId="26" fillId="0" fontId="28" numFmtId="0" xfId="0" applyAlignment="1" applyBorder="1" applyFont="1">
      <alignment readingOrder="0"/>
    </xf>
    <xf borderId="26" fillId="4" fontId="1" numFmtId="0" xfId="0" applyAlignment="1" applyBorder="1" applyFont="1">
      <alignment horizontal="left" readingOrder="0"/>
    </xf>
    <xf borderId="0" fillId="0" fontId="29" numFmtId="0" xfId="0" applyAlignment="1" applyFont="1">
      <alignment readingOrder="0"/>
    </xf>
    <xf borderId="26" fillId="0" fontId="30" numFmtId="0" xfId="0" applyAlignment="1" applyBorder="1" applyFont="1">
      <alignment readingOrder="0"/>
    </xf>
    <xf borderId="29" fillId="0" fontId="31" numFmtId="0" xfId="0" applyAlignment="1" applyBorder="1" applyFont="1">
      <alignment readingOrder="0"/>
    </xf>
    <xf borderId="26" fillId="0" fontId="32" numFmtId="0" xfId="0" applyAlignment="1" applyBorder="1" applyFont="1">
      <alignment readingOrder="0"/>
    </xf>
    <xf borderId="26" fillId="0" fontId="1" numFmtId="0" xfId="0" applyAlignment="1" applyBorder="1" applyFont="1">
      <alignment horizontal="left" readingOrder="0"/>
    </xf>
    <xf borderId="26" fillId="0" fontId="33" numFmtId="165" xfId="0" applyAlignment="1" applyBorder="1" applyFont="1" applyNumberFormat="1">
      <alignment horizontal="center" readingOrder="0"/>
    </xf>
    <xf borderId="26" fillId="0" fontId="34" numFmtId="0" xfId="0" applyAlignment="1" applyBorder="1" applyFont="1">
      <alignment readingOrder="0"/>
    </xf>
    <xf borderId="26" fillId="0" fontId="35" numFmtId="0" xfId="0" applyAlignment="1" applyBorder="1" applyFont="1">
      <alignment readingOrder="0"/>
    </xf>
    <xf borderId="26" fillId="0" fontId="36" numFmtId="0" xfId="0" applyAlignment="1" applyBorder="1" applyFont="1">
      <alignment readingOrder="0"/>
    </xf>
    <xf borderId="26" fillId="0" fontId="37" numFmtId="0" xfId="0" applyAlignment="1" applyBorder="1" applyFont="1">
      <alignment readingOrder="0"/>
    </xf>
    <xf borderId="26" fillId="0" fontId="1" numFmtId="0" xfId="0" applyAlignment="1" applyBorder="1" applyFont="1">
      <alignment readingOrder="0"/>
    </xf>
    <xf borderId="0" fillId="10" fontId="38" numFmtId="0" xfId="0" applyAlignment="1" applyFill="1" applyFont="1">
      <alignment horizontal="left" readingOrder="0"/>
    </xf>
    <xf borderId="31" fillId="0" fontId="1" numFmtId="0" xfId="0" applyAlignment="1" applyBorder="1" applyFont="1">
      <alignment readingOrder="0"/>
    </xf>
    <xf borderId="32" fillId="0" fontId="1" numFmtId="0" xfId="0" applyAlignment="1" applyBorder="1" applyFont="1">
      <alignment horizontal="center" readingOrder="0"/>
    </xf>
    <xf borderId="32" fillId="0" fontId="1" numFmtId="165" xfId="0" applyAlignment="1" applyBorder="1" applyFont="1" applyNumberFormat="1">
      <alignment horizontal="center" readingOrder="0"/>
    </xf>
    <xf borderId="32" fillId="0" fontId="1" numFmtId="0" xfId="0" applyAlignment="1" applyBorder="1" applyFont="1">
      <alignment readingOrder="0"/>
    </xf>
    <xf borderId="32" fillId="0" fontId="39" numFmtId="0" xfId="0" applyAlignment="1" applyBorder="1" applyFont="1">
      <alignment readingOrder="0"/>
    </xf>
    <xf borderId="32" fillId="0" fontId="1" numFmtId="0" xfId="0" applyAlignment="1" applyBorder="1" applyFont="1">
      <alignment horizontal="left" readingOrder="0"/>
    </xf>
    <xf borderId="32" fillId="0" fontId="1" numFmtId="0" xfId="0" applyBorder="1" applyFont="1"/>
    <xf borderId="19" fillId="0" fontId="1" numFmtId="0" xfId="0" applyBorder="1" applyFont="1"/>
    <xf borderId="31" fillId="0" fontId="1" numFmtId="0" xfId="0" applyBorder="1" applyFont="1"/>
    <xf borderId="32" fillId="0" fontId="1" numFmtId="164" xfId="0" applyBorder="1" applyFont="1" applyNumberFormat="1"/>
    <xf borderId="32" fillId="0" fontId="1" numFmtId="3" xfId="0" applyAlignment="1" applyBorder="1" applyFont="1" applyNumberFormat="1">
      <alignment horizontal="center"/>
    </xf>
    <xf borderId="19" fillId="0" fontId="1" numFmtId="164" xfId="0" applyBorder="1" applyFont="1" applyNumberFormat="1"/>
    <xf borderId="33" fillId="0" fontId="40" numFmtId="0" xfId="0" applyBorder="1" applyFont="1"/>
    <xf borderId="0" fillId="3" fontId="7" numFmtId="0" xfId="0" applyAlignment="1" applyFont="1">
      <alignment horizontal="center" readingOrder="0" vertical="bottom"/>
    </xf>
    <xf borderId="0" fillId="3" fontId="7" numFmtId="3" xfId="0" applyAlignment="1" applyFont="1" applyNumberFormat="1">
      <alignment horizontal="right" readingOrder="0" vertical="bottom"/>
    </xf>
    <xf borderId="0" fillId="3" fontId="1" numFmtId="0" xfId="0" applyFont="1"/>
    <xf borderId="0" fillId="3" fontId="41" numFmtId="0" xfId="0" applyAlignment="1" applyFont="1">
      <alignment readingOrder="0"/>
    </xf>
    <xf borderId="0" fillId="3" fontId="41" numFmtId="0" xfId="0" applyAlignment="1" applyFont="1">
      <alignment horizontal="left"/>
    </xf>
    <xf borderId="0" fillId="3" fontId="41" numFmtId="0" xfId="0" applyFont="1"/>
    <xf borderId="0" fillId="3" fontId="1" numFmtId="0" xfId="0" applyAlignment="1" applyFont="1">
      <alignment horizontal="right"/>
    </xf>
    <xf borderId="4" fillId="3" fontId="1" numFmtId="0" xfId="0" applyAlignment="1" applyBorder="1" applyFont="1">
      <alignment readingOrder="0" shrinkToFit="0" vertical="top" wrapText="1"/>
    </xf>
    <xf borderId="21" fillId="11" fontId="42" numFmtId="0" xfId="0" applyAlignment="1" applyBorder="1" applyFill="1" applyFont="1">
      <alignment horizontal="center" readingOrder="0" vertical="bottom"/>
    </xf>
    <xf borderId="21" fillId="11" fontId="42" numFmtId="3" xfId="0" applyAlignment="1" applyBorder="1" applyFont="1" applyNumberFormat="1">
      <alignment horizontal="right" readingOrder="0" vertical="bottom"/>
    </xf>
    <xf borderId="34" fillId="3" fontId="41" numFmtId="0" xfId="0" applyAlignment="1" applyBorder="1" applyFont="1">
      <alignment readingOrder="0"/>
    </xf>
    <xf borderId="35" fillId="0" fontId="3" numFmtId="0" xfId="0" applyBorder="1" applyFont="1"/>
    <xf borderId="36" fillId="0" fontId="3" numFmtId="0" xfId="0" applyBorder="1" applyFont="1"/>
    <xf borderId="21" fillId="3" fontId="43" numFmtId="0" xfId="0" applyAlignment="1" applyBorder="1" applyFont="1">
      <alignment horizontal="center" readingOrder="0" vertical="bottom"/>
    </xf>
    <xf borderId="21" fillId="3" fontId="7" numFmtId="0" xfId="0" applyAlignment="1" applyBorder="1" applyFont="1">
      <alignment horizontal="center" readingOrder="0" vertical="bottom"/>
    </xf>
    <xf borderId="21" fillId="3" fontId="7" numFmtId="3" xfId="0" applyAlignment="1" applyBorder="1" applyFont="1" applyNumberFormat="1">
      <alignment horizontal="right" readingOrder="0" vertical="bottom"/>
    </xf>
    <xf borderId="21" fillId="3" fontId="7" numFmtId="9" xfId="0" applyAlignment="1" applyBorder="1" applyFont="1" applyNumberFormat="1">
      <alignment horizontal="center" readingOrder="0" vertical="bottom"/>
    </xf>
    <xf borderId="37" fillId="0" fontId="3" numFmtId="0" xfId="0" applyBorder="1" applyFont="1"/>
    <xf borderId="38" fillId="0" fontId="3" numFmtId="0" xfId="0" applyBorder="1" applyFont="1"/>
    <xf borderId="21" fillId="11" fontId="7" numFmtId="0" xfId="0" applyAlignment="1" applyBorder="1" applyFont="1">
      <alignment horizontal="center" readingOrder="0" vertical="bottom"/>
    </xf>
    <xf borderId="4" fillId="11" fontId="7" numFmtId="0" xfId="0" applyAlignment="1" applyBorder="1" applyFont="1">
      <alignment horizontal="center" readingOrder="0" vertical="bottom"/>
    </xf>
    <xf borderId="4" fillId="11" fontId="7" numFmtId="3" xfId="0" applyAlignment="1" applyBorder="1" applyFont="1" applyNumberFormat="1">
      <alignment horizontal="right" readingOrder="0" vertical="bottom"/>
    </xf>
    <xf borderId="21" fillId="11" fontId="1" numFmtId="0" xfId="0" applyAlignment="1" applyBorder="1" applyFont="1">
      <alignment readingOrder="0"/>
    </xf>
    <xf borderId="21" fillId="11" fontId="1" numFmtId="0" xfId="0" applyAlignment="1" applyBorder="1" applyFont="1">
      <alignment horizontal="right" readingOrder="0"/>
    </xf>
    <xf borderId="0" fillId="11" fontId="1" numFmtId="0" xfId="0" applyAlignment="1" applyFont="1">
      <alignment readingOrder="0"/>
    </xf>
    <xf borderId="5" fillId="0" fontId="1" numFmtId="0" xfId="0" applyAlignment="1" applyBorder="1" applyFont="1">
      <alignment horizontal="left"/>
    </xf>
    <xf borderId="39" fillId="3" fontId="7" numFmtId="0" xfId="0" applyAlignment="1" applyBorder="1" applyFont="1">
      <alignment horizontal="center" readingOrder="0" vertical="bottom"/>
    </xf>
    <xf borderId="40" fillId="3" fontId="7" numFmtId="0" xfId="0" applyAlignment="1" applyBorder="1" applyFont="1">
      <alignment horizontal="center" readingOrder="0" vertical="bottom"/>
    </xf>
    <xf borderId="8" fillId="0" fontId="7" numFmtId="0" xfId="0" applyAlignment="1" applyBorder="1" applyFont="1">
      <alignment horizontal="center" readingOrder="0" vertical="bottom"/>
    </xf>
    <xf borderId="9" fillId="0" fontId="7" numFmtId="0" xfId="0" applyAlignment="1" applyBorder="1" applyFont="1">
      <alignment horizontal="center" readingOrder="0" vertical="bottom"/>
    </xf>
    <xf borderId="10" fillId="0" fontId="7" numFmtId="3" xfId="0" applyAlignment="1" applyBorder="1" applyFont="1" applyNumberFormat="1">
      <alignment horizontal="right" readingOrder="0" vertical="bottom"/>
    </xf>
    <xf borderId="0" fillId="3" fontId="1" numFmtId="9" xfId="0" applyFont="1" applyNumberFormat="1"/>
    <xf borderId="5" fillId="0" fontId="1" numFmtId="0" xfId="0" applyAlignment="1" applyBorder="1" applyFont="1">
      <alignment horizontal="left" readingOrder="0"/>
    </xf>
    <xf borderId="6" fillId="3" fontId="1" numFmtId="0" xfId="0" applyAlignment="1" applyBorder="1" applyFont="1">
      <alignment horizontal="right" readingOrder="0"/>
    </xf>
    <xf borderId="0" fillId="3" fontId="1" numFmtId="0" xfId="0" applyAlignment="1" applyFont="1">
      <alignment readingOrder="0"/>
    </xf>
    <xf borderId="13" fillId="0" fontId="1" numFmtId="0" xfId="0" applyAlignment="1" applyBorder="1" applyFont="1">
      <alignment horizontal="left"/>
    </xf>
    <xf borderId="26" fillId="3" fontId="7" numFmtId="0" xfId="0" applyAlignment="1" applyBorder="1" applyFont="1">
      <alignment horizontal="center" readingOrder="0" vertical="bottom"/>
    </xf>
    <xf borderId="25" fillId="3" fontId="7" numFmtId="0" xfId="0" applyAlignment="1" applyBorder="1" applyFont="1">
      <alignment horizontal="center" readingOrder="0" vertical="bottom"/>
    </xf>
    <xf borderId="27" fillId="3" fontId="10" numFmtId="3" xfId="0" applyAlignment="1" applyBorder="1" applyFont="1" applyNumberFormat="1">
      <alignment horizontal="right" readingOrder="0" vertical="bottom"/>
    </xf>
    <xf borderId="13" fillId="0" fontId="1" numFmtId="0" xfId="0" applyAlignment="1" applyBorder="1" applyFont="1">
      <alignment horizontal="left"/>
    </xf>
    <xf borderId="13" fillId="0" fontId="1" numFmtId="0" xfId="0" applyAlignment="1" applyBorder="1" applyFont="1">
      <alignment horizontal="left" readingOrder="0"/>
    </xf>
    <xf borderId="13" fillId="0" fontId="1" numFmtId="0" xfId="0" applyBorder="1" applyFont="1"/>
    <xf borderId="41" fillId="0" fontId="1" numFmtId="0" xfId="0" applyBorder="1" applyFont="1"/>
    <xf borderId="13" fillId="3" fontId="1" numFmtId="0" xfId="0" applyBorder="1" applyFont="1"/>
    <xf borderId="41" fillId="3" fontId="1" numFmtId="0" xfId="0" applyBorder="1" applyFont="1"/>
    <xf borderId="14" fillId="3" fontId="1" numFmtId="0" xfId="0" applyAlignment="1" applyBorder="1" applyFont="1">
      <alignment horizontal="right" readingOrder="0"/>
    </xf>
    <xf borderId="42" fillId="0" fontId="3" numFmtId="0" xfId="0" applyBorder="1" applyFont="1"/>
    <xf borderId="43" fillId="0" fontId="3" numFmtId="0" xfId="0" applyBorder="1" applyFont="1"/>
    <xf borderId="44" fillId="0" fontId="3" numFmtId="0" xfId="0" applyBorder="1" applyFont="1"/>
    <xf borderId="22" fillId="3" fontId="1" numFmtId="0" xfId="0" applyAlignment="1" applyBorder="1" applyFont="1">
      <alignment readingOrder="0"/>
    </xf>
    <xf borderId="23" fillId="3" fontId="1" numFmtId="0" xfId="0" applyAlignment="1" applyBorder="1" applyFont="1">
      <alignment horizontal="right" readingOrder="0"/>
    </xf>
    <xf borderId="7" fillId="3" fontId="10" numFmtId="0" xfId="0" applyAlignment="1" applyBorder="1" applyFont="1">
      <alignment vertical="bottom"/>
    </xf>
    <xf borderId="9" fillId="12" fontId="7" numFmtId="0" xfId="0" applyAlignment="1" applyBorder="1" applyFill="1" applyFont="1">
      <alignment horizontal="right" vertical="bottom"/>
    </xf>
    <xf borderId="10" fillId="12" fontId="7" numFmtId="0" xfId="0" applyAlignment="1" applyBorder="1" applyFont="1">
      <alignment horizontal="right" vertical="bottom"/>
    </xf>
    <xf borderId="0" fillId="3" fontId="10" numFmtId="0" xfId="0" applyAlignment="1" applyFont="1">
      <alignment vertical="bottom"/>
    </xf>
    <xf borderId="45" fillId="0" fontId="44" numFmtId="0" xfId="0" applyAlignment="1" applyBorder="1" applyFont="1">
      <alignment shrinkToFit="0" vertical="bottom" wrapText="0"/>
    </xf>
    <xf borderId="46" fillId="0" fontId="10" numFmtId="0" xfId="0" applyAlignment="1" applyBorder="1" applyFont="1">
      <alignment vertical="bottom"/>
    </xf>
    <xf borderId="16" fillId="12" fontId="7" numFmtId="0" xfId="0" applyAlignment="1" applyBorder="1" applyFont="1">
      <alignment horizontal="right" vertical="bottom"/>
    </xf>
    <xf borderId="47" fillId="0" fontId="44" numFmtId="0" xfId="0" applyAlignment="1" applyBorder="1" applyFont="1">
      <alignment vertical="bottom"/>
    </xf>
    <xf borderId="48" fillId="0" fontId="3" numFmtId="0" xfId="0" applyBorder="1" applyFont="1"/>
    <xf borderId="16" fillId="3" fontId="10" numFmtId="0" xfId="0" applyAlignment="1" applyBorder="1" applyFont="1">
      <alignment vertical="bottom"/>
    </xf>
    <xf borderId="49" fillId="3" fontId="10" numFmtId="0" xfId="0" applyAlignment="1" applyBorder="1" applyFont="1">
      <alignment vertical="bottom"/>
    </xf>
    <xf borderId="0" fillId="11" fontId="7" numFmtId="0" xfId="0" applyAlignment="1" applyFont="1">
      <alignment horizontal="center" vertical="bottom"/>
    </xf>
    <xf borderId="7" fillId="3" fontId="45" numFmtId="0" xfId="0" applyAlignment="1" applyBorder="1" applyFont="1">
      <alignment readingOrder="0" vertical="bottom"/>
    </xf>
    <xf borderId="20" fillId="11" fontId="7" numFmtId="0" xfId="0" applyAlignment="1" applyBorder="1" applyFont="1">
      <alignment vertical="bottom"/>
    </xf>
    <xf borderId="17" fillId="11" fontId="7" numFmtId="0" xfId="0" applyAlignment="1" applyBorder="1" applyFont="1">
      <alignment vertical="bottom"/>
    </xf>
    <xf borderId="17" fillId="11" fontId="7" numFmtId="0" xfId="0" applyAlignment="1" applyBorder="1" applyFont="1">
      <alignment horizontal="center" vertical="bottom"/>
    </xf>
    <xf borderId="50" fillId="0" fontId="10" numFmtId="0" xfId="0" applyAlignment="1" applyBorder="1" applyFont="1">
      <alignment horizontal="right" vertical="bottom"/>
    </xf>
    <xf borderId="24" fillId="0" fontId="10" numFmtId="0" xfId="0" applyAlignment="1" applyBorder="1" applyFont="1">
      <alignment vertical="bottom"/>
    </xf>
    <xf borderId="24" fillId="0" fontId="10" numFmtId="0" xfId="0" applyAlignment="1" applyBorder="1" applyFont="1">
      <alignment horizontal="right" vertical="bottom"/>
    </xf>
    <xf borderId="51" fillId="0" fontId="10" numFmtId="0" xfId="0" applyAlignment="1" applyBorder="1" applyFont="1">
      <alignment horizontal="right" vertical="bottom"/>
    </xf>
    <xf borderId="51" fillId="0" fontId="10" numFmtId="0" xfId="0" applyAlignment="1" applyBorder="1" applyFont="1">
      <alignment horizontal="center" vertical="bottom"/>
    </xf>
    <xf borderId="50" fillId="0" fontId="10" numFmtId="0" xfId="0" applyAlignment="1" applyBorder="1" applyFont="1">
      <alignment vertical="bottom"/>
    </xf>
    <xf borderId="52" fillId="0" fontId="10" numFmtId="0" xfId="0" applyAlignment="1" applyBorder="1" applyFont="1">
      <alignment horizontal="center" vertical="bottom"/>
    </xf>
    <xf borderId="24" fillId="4" fontId="46" numFmtId="0" xfId="0" applyAlignment="1" applyBorder="1" applyFont="1">
      <alignment vertical="bottom"/>
    </xf>
    <xf borderId="24" fillId="4" fontId="10" numFmtId="0" xfId="0" applyAlignment="1" applyBorder="1" applyFont="1">
      <alignment vertical="bottom"/>
    </xf>
    <xf borderId="0" fillId="0" fontId="10" numFmtId="0" xfId="0" applyAlignment="1" applyFont="1">
      <alignment vertical="bottom"/>
    </xf>
    <xf borderId="4" fillId="2" fontId="5" numFmtId="0" xfId="0" applyAlignment="1" applyBorder="1" applyFont="1">
      <alignment horizontal="left" readingOrder="0" vertical="center"/>
    </xf>
    <xf borderId="4" fillId="2" fontId="6" numFmtId="0" xfId="0" applyAlignment="1" applyBorder="1" applyFont="1">
      <alignment horizontal="left" readingOrder="0" vertical="center"/>
    </xf>
    <xf borderId="1" fillId="2" fontId="47" numFmtId="10" xfId="0" applyAlignment="1" applyBorder="1" applyFont="1" applyNumberFormat="1">
      <alignment horizontal="center" vertical="center"/>
    </xf>
    <xf borderId="20" fillId="7" fontId="5" numFmtId="0" xfId="0" applyAlignment="1" applyBorder="1" applyFont="1">
      <alignment horizontal="left" readingOrder="0" vertical="center"/>
    </xf>
    <xf borderId="0" fillId="7" fontId="6" numFmtId="0" xfId="0" applyAlignment="1" applyFont="1">
      <alignment horizontal="left"/>
    </xf>
    <xf borderId="15" fillId="2" fontId="47" numFmtId="10" xfId="0" applyAlignment="1" applyBorder="1" applyFont="1" applyNumberFormat="1">
      <alignment horizontal="center" vertical="center"/>
    </xf>
    <xf borderId="0" fillId="2" fontId="11" numFmtId="0" xfId="0" applyAlignment="1" applyFont="1">
      <alignment readingOrder="0"/>
    </xf>
    <xf borderId="4" fillId="5" fontId="5" numFmtId="0" xfId="0" applyAlignment="1" applyBorder="1" applyFont="1">
      <alignment horizontal="left" readingOrder="0" vertical="center"/>
    </xf>
    <xf borderId="4" fillId="5" fontId="6" numFmtId="0" xfId="0" applyAlignment="1" applyBorder="1" applyFont="1">
      <alignment horizontal="left" vertical="center"/>
    </xf>
    <xf borderId="21" fillId="5" fontId="47" numFmtId="10" xfId="0" applyAlignment="1" applyBorder="1" applyFont="1" applyNumberFormat="1">
      <alignment horizontal="center" vertical="center"/>
    </xf>
    <xf borderId="0" fillId="2" fontId="48" numFmtId="0" xfId="0" applyAlignment="1" applyFont="1">
      <alignment readingOrder="0"/>
    </xf>
    <xf borderId="4" fillId="9" fontId="5" numFmtId="0" xfId="0" applyAlignment="1" applyBorder="1" applyFont="1">
      <alignment readingOrder="0" vertical="center"/>
    </xf>
    <xf borderId="4" fillId="9" fontId="6" numFmtId="0" xfId="0" applyAlignment="1" applyBorder="1" applyFont="1">
      <alignment horizontal="left" vertical="center"/>
    </xf>
    <xf borderId="21" fillId="9" fontId="47" numFmtId="10" xfId="0" applyAlignment="1" applyBorder="1" applyFont="1" applyNumberFormat="1">
      <alignment horizontal="center" vertical="center"/>
    </xf>
    <xf borderId="0" fillId="2" fontId="49" numFmtId="0" xfId="0" applyAlignment="1" applyFont="1">
      <alignment readingOrder="0"/>
    </xf>
    <xf borderId="0" fillId="13" fontId="50" numFmtId="0" xfId="0" applyAlignment="1" applyFill="1" applyFont="1">
      <alignment horizontal="center" readingOrder="0"/>
    </xf>
    <xf borderId="0" fillId="13" fontId="50" numFmtId="165" xfId="0" applyAlignment="1" applyFont="1" applyNumberFormat="1">
      <alignment horizontal="center" readingOrder="0"/>
    </xf>
    <xf borderId="0" fillId="13" fontId="5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52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21" numFmtId="0" xfId="0" applyAlignment="1" applyFont="1">
      <alignment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vertical="bottom"/>
    </xf>
    <xf borderId="0" fillId="0" fontId="10" numFmtId="0" xfId="0" applyAlignment="1" applyFont="1">
      <alignment horizontal="left" vertical="bottom"/>
    </xf>
    <xf borderId="0" fillId="0" fontId="53" numFmtId="0" xfId="0" applyAlignment="1" applyFont="1">
      <alignment readingOrder="0"/>
    </xf>
  </cellXfs>
  <cellStyles count="1">
    <cellStyle xfId="0" name="Normal" builtinId="0"/>
  </cellStyles>
  <dxfs count="17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>
        <color rgb="FFFFFFFF"/>
      </font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>
        <b/>
        <color rgb="FFFFFFFF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000000"/>
      </font>
      <fill>
        <patternFill patternType="solid">
          <fgColor rgb="FF00FF00"/>
          <bgColor rgb="FF00FF00"/>
        </patternFill>
      </fill>
      <border/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0000"/>
      </font>
      <fill>
        <patternFill patternType="solid">
          <fgColor rgb="FFB7E1CD"/>
          <bgColor rgb="FFB7E1CD"/>
        </patternFill>
      </fill>
      <border/>
    </dxf>
    <dxf>
      <font>
        <b/>
        <color rgb="FFFFFFFF"/>
      </font>
      <fill>
        <patternFill patternType="solid">
          <fgColor rgb="FFEA4335"/>
          <bgColor rgb="FFEA4335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DDCE8"/>
          <bgColor rgb="FFFDDCE8"/>
        </patternFill>
      </fill>
      <border/>
    </dxf>
    <dxf>
      <font>
        <b/>
        <color theme="0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</dxfs>
  <tableStyles count="3">
    <tableStyle count="2" pivot="0" name="Spreadsheet-style">
      <tableStyleElement dxfId="11" type="firstRowStripe"/>
      <tableStyleElement dxfId="12" type="secondRowStripe"/>
    </tableStyle>
    <tableStyle count="3" pivot="0" name="Overview-style">
      <tableStyleElement dxfId="14" type="headerRow"/>
      <tableStyleElement dxfId="11" type="firstRowStripe"/>
      <tableStyleElement dxfId="15" type="secondRowStripe"/>
    </tableStyle>
    <tableStyle count="3" pivot="0" name="Overview-style 2">
      <tableStyleElement dxfId="11" type="headerRow"/>
      <tableStyleElement dxfId="15" type="firstRowStripe"/>
      <tableStyleElement dxfId="1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" cy="238125"/>
    <xdr:pic>
      <xdr:nvPicPr>
        <xdr:cNvPr id="0" name="image1.png" title="Afbeeldi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0</xdr:row>
      <xdr:rowOff>0</xdr:rowOff>
    </xdr:from>
    <xdr:ext cx="238125" cy="2381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0</xdr:row>
      <xdr:rowOff>0</xdr:rowOff>
    </xdr:from>
    <xdr:ext cx="171450" cy="238125"/>
    <xdr:pic>
      <xdr:nvPicPr>
        <xdr:cNvPr id="0" name="image1.png" title="Afbeeldi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1</xdr:row>
      <xdr:rowOff>0</xdr:rowOff>
    </xdr:from>
    <xdr:ext cx="142875" cy="200025"/>
    <xdr:pic>
      <xdr:nvPicPr>
        <xdr:cNvPr id="0" name="image1.png" title="Afbeeldi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152400</xdr:colOff>
      <xdr:row>0</xdr:row>
      <xdr:rowOff>0</xdr:rowOff>
    </xdr:from>
    <xdr:ext cx="847725" cy="1123950"/>
    <xdr:pic>
      <xdr:nvPicPr>
        <xdr:cNvPr id="0" name="image1.png" title="Afbeeldi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28575</xdr:colOff>
      <xdr:row>0</xdr:row>
      <xdr:rowOff>0</xdr:rowOff>
    </xdr:from>
    <xdr:ext cx="847725" cy="1123950"/>
    <xdr:pic>
      <xdr:nvPicPr>
        <xdr:cNvPr id="0" name="image1.png" title="Afbeeldi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638175</xdr:colOff>
      <xdr:row>0</xdr:row>
      <xdr:rowOff>9525</xdr:rowOff>
    </xdr:from>
    <xdr:ext cx="762000" cy="1123950"/>
    <xdr:pic>
      <xdr:nvPicPr>
        <xdr:cNvPr id="0" name="image3.jpg" title="Afbeeldi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A9:Y576" displayName="Table_1" id="1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Spreadsheet-style" showColumnStripes="0" showFirstColumn="1" showLastColumn="1" showRowStripes="1"/>
</table>
</file>

<file path=xl/tables/table2.xml><?xml version="1.0" encoding="utf-8"?>
<table xmlns="http://schemas.openxmlformats.org/spreadsheetml/2006/main" headerRowCount="0" ref="A1:H29" displayName="Table_2" id="2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Overview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Q5:U29" displayName="Table_3" id="3">
  <tableColumns count="5">
    <tableColumn name="Column1" id="1"/>
    <tableColumn name="Column2" id="2"/>
    <tableColumn name="Column3" id="3"/>
    <tableColumn name="Column4" id="4"/>
    <tableColumn name="Column5" id="5"/>
  </tableColumns>
  <tableStyleInfo name="Overview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unzee.com/m/ol0n0lo/1968/" TargetMode="External"/><Relationship Id="rId194" Type="http://schemas.openxmlformats.org/officeDocument/2006/relationships/hyperlink" Target="https://www.munzee.com/m/sverlaan/6554/" TargetMode="External"/><Relationship Id="rId193" Type="http://schemas.openxmlformats.org/officeDocument/2006/relationships/hyperlink" Target="https://www.munzee.com/m/AmezorC/13401" TargetMode="External"/><Relationship Id="rId192" Type="http://schemas.openxmlformats.org/officeDocument/2006/relationships/hyperlink" Target="https://www.munzee.com/m/paulus2012/8742" TargetMode="External"/><Relationship Id="rId191" Type="http://schemas.openxmlformats.org/officeDocument/2006/relationships/hyperlink" Target="https://www.munzee.com/m/Tornado/5595/" TargetMode="External"/><Relationship Id="rId187" Type="http://schemas.openxmlformats.org/officeDocument/2006/relationships/hyperlink" Target="https://www.munzee.com/m/90mile/7400/" TargetMode="External"/><Relationship Id="rId186" Type="http://schemas.openxmlformats.org/officeDocument/2006/relationships/hyperlink" Target="https://www.munzee.com/m/paulus2012/8959" TargetMode="External"/><Relationship Id="rId185" Type="http://schemas.openxmlformats.org/officeDocument/2006/relationships/hyperlink" Target="https://www.munzee.com/m/ahagmann/12145/" TargetMode="External"/><Relationship Id="rId184" Type="http://schemas.openxmlformats.org/officeDocument/2006/relationships/hyperlink" Target="https://www.munzee.com/m/Helefant/5558" TargetMode="External"/><Relationship Id="rId189" Type="http://schemas.openxmlformats.org/officeDocument/2006/relationships/hyperlink" Target="https://www.munzee.com/m/ahagmann/12165/" TargetMode="External"/><Relationship Id="rId188" Type="http://schemas.openxmlformats.org/officeDocument/2006/relationships/hyperlink" Target="https://www.munzee.com/m/paulus2012/8956/" TargetMode="External"/><Relationship Id="rId183" Type="http://schemas.openxmlformats.org/officeDocument/2006/relationships/hyperlink" Target="https://www.munzee.com/m/theLuckyFinders/4677" TargetMode="External"/><Relationship Id="rId182" Type="http://schemas.openxmlformats.org/officeDocument/2006/relationships/hyperlink" Target="https://www.munzee.com/m/AmezorC/13402" TargetMode="External"/><Relationship Id="rId181" Type="http://schemas.openxmlformats.org/officeDocument/2006/relationships/hyperlink" Target="https://www.munzee.com/m/xptwo/35971/" TargetMode="External"/><Relationship Id="rId180" Type="http://schemas.openxmlformats.org/officeDocument/2006/relationships/hyperlink" Target="https://www.munzee.com/m/Rhaegal/6625/" TargetMode="External"/><Relationship Id="rId176" Type="http://schemas.openxmlformats.org/officeDocument/2006/relationships/hyperlink" Target="https://www.munzee.com/m/Jafo43/33598" TargetMode="External"/><Relationship Id="rId297" Type="http://schemas.openxmlformats.org/officeDocument/2006/relationships/hyperlink" Target="https://www.munzee.com/m/granitente/12810/" TargetMode="External"/><Relationship Id="rId175" Type="http://schemas.openxmlformats.org/officeDocument/2006/relationships/hyperlink" Target="https://www.munzee.com/m/theLuckyFinders/4687/admin/" TargetMode="External"/><Relationship Id="rId296" Type="http://schemas.openxmlformats.org/officeDocument/2006/relationships/hyperlink" Target="https://www.munzee.com/m/Suomieven/12064/" TargetMode="External"/><Relationship Id="rId174" Type="http://schemas.openxmlformats.org/officeDocument/2006/relationships/hyperlink" Target="https://www.munzee.com/m/AmezorC/13403" TargetMode="External"/><Relationship Id="rId295" Type="http://schemas.openxmlformats.org/officeDocument/2006/relationships/hyperlink" Target="https://www.munzee.com/m/Kyrandia/6029/" TargetMode="External"/><Relationship Id="rId173" Type="http://schemas.openxmlformats.org/officeDocument/2006/relationships/hyperlink" Target="https://www.munzee.com/m/Leatherbottom/3771/" TargetMode="External"/><Relationship Id="rId294" Type="http://schemas.openxmlformats.org/officeDocument/2006/relationships/hyperlink" Target="https://www.munzee.com/m/gerardz/9334/" TargetMode="External"/><Relationship Id="rId179" Type="http://schemas.openxmlformats.org/officeDocument/2006/relationships/hyperlink" Target="https://www.munzee.com/m/theLuckyFinders/4681" TargetMode="External"/><Relationship Id="rId178" Type="http://schemas.openxmlformats.org/officeDocument/2006/relationships/hyperlink" Target="https://www.munzee.com/m/ChickenRun/22555" TargetMode="External"/><Relationship Id="rId299" Type="http://schemas.openxmlformats.org/officeDocument/2006/relationships/hyperlink" Target="https://www.munzee.com/m/gerardz/9358/" TargetMode="External"/><Relationship Id="rId177" Type="http://schemas.openxmlformats.org/officeDocument/2006/relationships/hyperlink" Target="https://www.munzee.com/m/sagabi/13148/" TargetMode="External"/><Relationship Id="rId298" Type="http://schemas.openxmlformats.org/officeDocument/2006/relationships/hyperlink" Target="https://www.munzee.com/m/RobS/4995/" TargetMode="External"/><Relationship Id="rId198" Type="http://schemas.openxmlformats.org/officeDocument/2006/relationships/hyperlink" Target="https://www.munzee.com/m/EmileP68/5311/" TargetMode="External"/><Relationship Id="rId197" Type="http://schemas.openxmlformats.org/officeDocument/2006/relationships/hyperlink" Target="https://www.munzee.com/m/sverlaan/6546/" TargetMode="External"/><Relationship Id="rId196" Type="http://schemas.openxmlformats.org/officeDocument/2006/relationships/hyperlink" Target="https://www.munzee.com/m/PawPatrolThomas/4462/" TargetMode="External"/><Relationship Id="rId195" Type="http://schemas.openxmlformats.org/officeDocument/2006/relationships/hyperlink" Target="https://www.munzee.com/m/EmileP68/5375/" TargetMode="External"/><Relationship Id="rId199" Type="http://schemas.openxmlformats.org/officeDocument/2006/relationships/hyperlink" Target="https://www.munzee.com/m/PawPatrolThomas/4414/" TargetMode="External"/><Relationship Id="rId150" Type="http://schemas.openxmlformats.org/officeDocument/2006/relationships/hyperlink" Target="https://www.munzee.com/m/EmileP68/5399/" TargetMode="External"/><Relationship Id="rId271" Type="http://schemas.openxmlformats.org/officeDocument/2006/relationships/hyperlink" Target="https://www.munzee.com/m/Warriors/6543/admin/" TargetMode="External"/><Relationship Id="rId392" Type="http://schemas.openxmlformats.org/officeDocument/2006/relationships/hyperlink" Target="https://www.munzee.com/m/DiSaRu/6728/admin/" TargetMode="External"/><Relationship Id="rId270" Type="http://schemas.openxmlformats.org/officeDocument/2006/relationships/hyperlink" Target="https://www.munzee.com/m/albman/210/admin/" TargetMode="External"/><Relationship Id="rId391" Type="http://schemas.openxmlformats.org/officeDocument/2006/relationships/hyperlink" Target="https://www.munzee.com/m/Tossie/11894/admin/" TargetMode="External"/><Relationship Id="rId390" Type="http://schemas.openxmlformats.org/officeDocument/2006/relationships/hyperlink" Target="https://www.munzee.com/m/Vonney/3387/" TargetMode="External"/><Relationship Id="rId1" Type="http://schemas.openxmlformats.org/officeDocument/2006/relationships/hyperlink" Target="https://www.munzee.com/map/u17b6ry3k/15.2" TargetMode="External"/><Relationship Id="rId2" Type="http://schemas.openxmlformats.org/officeDocument/2006/relationships/hyperlink" Target="https://tinyurl.com/4rt8vb6d" TargetMode="External"/><Relationship Id="rId3" Type="http://schemas.openxmlformats.org/officeDocument/2006/relationships/hyperlink" Target="https://www.munzee.com/m/Wawie/" TargetMode="External"/><Relationship Id="rId149" Type="http://schemas.openxmlformats.org/officeDocument/2006/relationships/hyperlink" Target="https://www.munzee.com/m/sverlaan/6561/" TargetMode="External"/><Relationship Id="rId4" Type="http://schemas.openxmlformats.org/officeDocument/2006/relationships/hyperlink" Target="https://www.munzee.com/m/DeLeeuwen/6066/" TargetMode="External"/><Relationship Id="rId148" Type="http://schemas.openxmlformats.org/officeDocument/2006/relationships/hyperlink" Target="https://www.munzee.com/m/PawPatrolThomas/4570/" TargetMode="External"/><Relationship Id="rId269" Type="http://schemas.openxmlformats.org/officeDocument/2006/relationships/hyperlink" Target="https://www.munzee.com/m/anni56/21112/" TargetMode="External"/><Relationship Id="rId9" Type="http://schemas.openxmlformats.org/officeDocument/2006/relationships/hyperlink" Target="https://www.munzee.com/m/Ingetje/5710/admin/" TargetMode="External"/><Relationship Id="rId143" Type="http://schemas.openxmlformats.org/officeDocument/2006/relationships/hyperlink" Target="https://www.munzee.com/m/sverlaan/6603/" TargetMode="External"/><Relationship Id="rId264" Type="http://schemas.openxmlformats.org/officeDocument/2006/relationships/hyperlink" Target="https://www.munzee.com/m/knightwood/9039" TargetMode="External"/><Relationship Id="rId385" Type="http://schemas.openxmlformats.org/officeDocument/2006/relationships/hyperlink" Target="https://www.munzee.com/m/raftjen/7639/" TargetMode="External"/><Relationship Id="rId142" Type="http://schemas.openxmlformats.org/officeDocument/2006/relationships/hyperlink" Target="https://www.munzee.com/m/wvkiwi/9456" TargetMode="External"/><Relationship Id="rId263" Type="http://schemas.openxmlformats.org/officeDocument/2006/relationships/hyperlink" Target="https://www.munzee.com/m/Eskiss/5801" TargetMode="External"/><Relationship Id="rId384" Type="http://schemas.openxmlformats.org/officeDocument/2006/relationships/hyperlink" Target="https://www.munzee.com/m/McCormick64/672/" TargetMode="External"/><Relationship Id="rId141" Type="http://schemas.openxmlformats.org/officeDocument/2006/relationships/hyperlink" Target="https://www.munzee.com/m/VLoopSouth/2908/" TargetMode="External"/><Relationship Id="rId262" Type="http://schemas.openxmlformats.org/officeDocument/2006/relationships/hyperlink" Target="https://www.munzee.com/m/DeLeeuwen/3383/" TargetMode="External"/><Relationship Id="rId383" Type="http://schemas.openxmlformats.org/officeDocument/2006/relationships/hyperlink" Target="https://www.munzee.com/m/dlbisblest/15395/" TargetMode="External"/><Relationship Id="rId140" Type="http://schemas.openxmlformats.org/officeDocument/2006/relationships/hyperlink" Target="https://www.munzee.com/m/230Volt/1369/" TargetMode="External"/><Relationship Id="rId261" Type="http://schemas.openxmlformats.org/officeDocument/2006/relationships/hyperlink" Target="https://www.munzee.com/m/Alroso/2584/" TargetMode="External"/><Relationship Id="rId382" Type="http://schemas.openxmlformats.org/officeDocument/2006/relationships/hyperlink" Target="https://www.munzee.com/m/Sandrius/7588/" TargetMode="External"/><Relationship Id="rId5" Type="http://schemas.openxmlformats.org/officeDocument/2006/relationships/hyperlink" Target="https://www.munzee.com/m/keromar/8294/" TargetMode="External"/><Relationship Id="rId147" Type="http://schemas.openxmlformats.org/officeDocument/2006/relationships/hyperlink" Target="https://www.munzee.com/m/RoversEnd/4381/" TargetMode="External"/><Relationship Id="rId268" Type="http://schemas.openxmlformats.org/officeDocument/2006/relationships/hyperlink" Target="https://www.munzee.com/m/sidekicks/7911/" TargetMode="External"/><Relationship Id="rId389" Type="http://schemas.openxmlformats.org/officeDocument/2006/relationships/hyperlink" Target="https://www.munzee.com/m/Ingetje/4015/admin/map/" TargetMode="External"/><Relationship Id="rId6" Type="http://schemas.openxmlformats.org/officeDocument/2006/relationships/hyperlink" Target="https://www.munzee.com/m/Wawie/2306/" TargetMode="External"/><Relationship Id="rId146" Type="http://schemas.openxmlformats.org/officeDocument/2006/relationships/hyperlink" Target="https://www.munzee.com/m/sverlaan/6562/" TargetMode="External"/><Relationship Id="rId267" Type="http://schemas.openxmlformats.org/officeDocument/2006/relationships/hyperlink" Target="https://www.munzee.com/m/LittleMeggie/1534" TargetMode="External"/><Relationship Id="rId388" Type="http://schemas.openxmlformats.org/officeDocument/2006/relationships/hyperlink" Target="https://www.munzee.com/m/LonelyWalker/888/" TargetMode="External"/><Relationship Id="rId7" Type="http://schemas.openxmlformats.org/officeDocument/2006/relationships/hyperlink" Target="https://www.munzee.com/m/MarioVN/1763/" TargetMode="External"/><Relationship Id="rId145" Type="http://schemas.openxmlformats.org/officeDocument/2006/relationships/hyperlink" Target="https://www.munzee.com/m/PawPatrolThomas/4606/" TargetMode="External"/><Relationship Id="rId266" Type="http://schemas.openxmlformats.org/officeDocument/2006/relationships/hyperlink" Target="https://www.munzee.com/m/newtwo/7396" TargetMode="External"/><Relationship Id="rId387" Type="http://schemas.openxmlformats.org/officeDocument/2006/relationships/hyperlink" Target="https://www.munzee.com/m/Vanduo62/654/" TargetMode="External"/><Relationship Id="rId8" Type="http://schemas.openxmlformats.org/officeDocument/2006/relationships/hyperlink" Target="https://www.munzee.com/m/AmezorC/13975" TargetMode="External"/><Relationship Id="rId144" Type="http://schemas.openxmlformats.org/officeDocument/2006/relationships/hyperlink" Target="https://www.munzee.com/m/EmileP68/5444/" TargetMode="External"/><Relationship Id="rId265" Type="http://schemas.openxmlformats.org/officeDocument/2006/relationships/hyperlink" Target="https://www.munzee.com/m/twohoots/9314" TargetMode="External"/><Relationship Id="rId386" Type="http://schemas.openxmlformats.org/officeDocument/2006/relationships/hyperlink" Target="https://www.munzee.com/m/Vezliukai/1790/" TargetMode="External"/><Relationship Id="rId260" Type="http://schemas.openxmlformats.org/officeDocument/2006/relationships/hyperlink" Target="https://www.munzee.com/m/theLuckyFinders/3965" TargetMode="External"/><Relationship Id="rId381" Type="http://schemas.openxmlformats.org/officeDocument/2006/relationships/hyperlink" Target="https://www.munzee.com/m/Ingetje/5630/admin/map/" TargetMode="External"/><Relationship Id="rId380" Type="http://schemas.openxmlformats.org/officeDocument/2006/relationships/hyperlink" Target="https://www.munzee.com/m/KillerSnail/9317/" TargetMode="External"/><Relationship Id="rId139" Type="http://schemas.openxmlformats.org/officeDocument/2006/relationships/hyperlink" Target="https://www.munzee.com/m/AmezorC/13649" TargetMode="External"/><Relationship Id="rId138" Type="http://schemas.openxmlformats.org/officeDocument/2006/relationships/hyperlink" Target="https://www.munzee.com/m/keromar/8591/" TargetMode="External"/><Relationship Id="rId259" Type="http://schemas.openxmlformats.org/officeDocument/2006/relationships/hyperlink" Target="https://www.munzee.com/m/paulus2012/8367" TargetMode="External"/><Relationship Id="rId137" Type="http://schemas.openxmlformats.org/officeDocument/2006/relationships/hyperlink" Target="https://www.munzee.com/m/230Volt/1360/" TargetMode="External"/><Relationship Id="rId258" Type="http://schemas.openxmlformats.org/officeDocument/2006/relationships/hyperlink" Target="https://www.munzee.com/m/anni56/21113/" TargetMode="External"/><Relationship Id="rId379" Type="http://schemas.openxmlformats.org/officeDocument/2006/relationships/hyperlink" Target="https://www.munzee.com/m/raftjen/7640/" TargetMode="External"/><Relationship Id="rId132" Type="http://schemas.openxmlformats.org/officeDocument/2006/relationships/hyperlink" Target="https://www.munzee.com/m/Alroso/3057/" TargetMode="External"/><Relationship Id="rId253" Type="http://schemas.openxmlformats.org/officeDocument/2006/relationships/hyperlink" Target="https://www.munzee.com/m/paulus2012/8370" TargetMode="External"/><Relationship Id="rId374" Type="http://schemas.openxmlformats.org/officeDocument/2006/relationships/hyperlink" Target="https://www.munzee.com/m/RobS/5061/" TargetMode="External"/><Relationship Id="rId495" Type="http://schemas.openxmlformats.org/officeDocument/2006/relationships/hyperlink" Target="https://www.munzee.com/m/Dariuneee/8303/" TargetMode="External"/><Relationship Id="rId131" Type="http://schemas.openxmlformats.org/officeDocument/2006/relationships/hyperlink" Target="https://www.munzee.com/m/bazfum/18363/" TargetMode="External"/><Relationship Id="rId252" Type="http://schemas.openxmlformats.org/officeDocument/2006/relationships/hyperlink" Target="https://www.munzee.com/m/anni56/23030/" TargetMode="External"/><Relationship Id="rId373" Type="http://schemas.openxmlformats.org/officeDocument/2006/relationships/hyperlink" Target="https://www.munzee.com/m/raftjen/7642/" TargetMode="External"/><Relationship Id="rId494" Type="http://schemas.openxmlformats.org/officeDocument/2006/relationships/hyperlink" Target="https://www.munzee.com/m/Iphoney/803/" TargetMode="External"/><Relationship Id="rId130" Type="http://schemas.openxmlformats.org/officeDocument/2006/relationships/hyperlink" Target="https://www.munzee.com/m/Helefant/5559" TargetMode="External"/><Relationship Id="rId251" Type="http://schemas.openxmlformats.org/officeDocument/2006/relationships/hyperlink" Target="https://www.munzee.com/m/paulus2012/8371" TargetMode="External"/><Relationship Id="rId372" Type="http://schemas.openxmlformats.org/officeDocument/2006/relationships/hyperlink" Target="https://www.munzee.com/m/Bayermunzeer/1471/" TargetMode="External"/><Relationship Id="rId493" Type="http://schemas.openxmlformats.org/officeDocument/2006/relationships/hyperlink" Target="https://www.munzee.com/m/ahagmann/12062/" TargetMode="External"/><Relationship Id="rId250" Type="http://schemas.openxmlformats.org/officeDocument/2006/relationships/hyperlink" Target="https://www.munzee.com/m/ahagmann/12063/" TargetMode="External"/><Relationship Id="rId371" Type="http://schemas.openxmlformats.org/officeDocument/2006/relationships/hyperlink" Target="https://www.munzee.com/m/RobS/5060/" TargetMode="External"/><Relationship Id="rId492" Type="http://schemas.openxmlformats.org/officeDocument/2006/relationships/hyperlink" Target="https://www.munzee.com/m/Wawie/794/" TargetMode="External"/><Relationship Id="rId136" Type="http://schemas.openxmlformats.org/officeDocument/2006/relationships/hyperlink" Target="https://www.munzee.com/m/keromar/8589/" TargetMode="External"/><Relationship Id="rId257" Type="http://schemas.openxmlformats.org/officeDocument/2006/relationships/hyperlink" Target="https://www.munzee.com/m/Maattmoo/11578/" TargetMode="External"/><Relationship Id="rId378" Type="http://schemas.openxmlformats.org/officeDocument/2006/relationships/hyperlink" Target="https://www.munzee.com/m/KillerSnail/9317/" TargetMode="External"/><Relationship Id="rId499" Type="http://schemas.openxmlformats.org/officeDocument/2006/relationships/hyperlink" Target="https://www.munzee.com/m/Andrew81/1664" TargetMode="External"/><Relationship Id="rId135" Type="http://schemas.openxmlformats.org/officeDocument/2006/relationships/hyperlink" Target="https://www.munzee.com/m/paulus2012/8964" TargetMode="External"/><Relationship Id="rId256" Type="http://schemas.openxmlformats.org/officeDocument/2006/relationships/hyperlink" Target="https://www.munzee.com/m/anni56/22735/" TargetMode="External"/><Relationship Id="rId377" Type="http://schemas.openxmlformats.org/officeDocument/2006/relationships/hyperlink" Target="https://www.munzee.com/m/Sandrius/7635/" TargetMode="External"/><Relationship Id="rId498" Type="http://schemas.openxmlformats.org/officeDocument/2006/relationships/hyperlink" Target="https://www.munzee.com/m/Sivontim/15956/" TargetMode="External"/><Relationship Id="rId134" Type="http://schemas.openxmlformats.org/officeDocument/2006/relationships/hyperlink" Target="https://www.munzee.com/m/MsYB/22575/" TargetMode="External"/><Relationship Id="rId255" Type="http://schemas.openxmlformats.org/officeDocument/2006/relationships/hyperlink" Target="https://www.munzee.com/m/paulus2012/8369" TargetMode="External"/><Relationship Id="rId376" Type="http://schemas.openxmlformats.org/officeDocument/2006/relationships/hyperlink" Target="https://www.munzee.com/m/raftjen/7641/" TargetMode="External"/><Relationship Id="rId497" Type="http://schemas.openxmlformats.org/officeDocument/2006/relationships/hyperlink" Target="https://www.munzee.com/m/Wawie/978/" TargetMode="External"/><Relationship Id="rId133" Type="http://schemas.openxmlformats.org/officeDocument/2006/relationships/hyperlink" Target="https://www.munzee.com/m/ksullivan/3164/" TargetMode="External"/><Relationship Id="rId254" Type="http://schemas.openxmlformats.org/officeDocument/2006/relationships/hyperlink" Target="https://www.munzee.com/m/anni56/21161/" TargetMode="External"/><Relationship Id="rId375" Type="http://schemas.openxmlformats.org/officeDocument/2006/relationships/hyperlink" Target="https://www.munzee.com/m/Boersentrader/7904/" TargetMode="External"/><Relationship Id="rId496" Type="http://schemas.openxmlformats.org/officeDocument/2006/relationships/hyperlink" Target="https://www.munzee.com/m/FRH/6980/" TargetMode="External"/><Relationship Id="rId172" Type="http://schemas.openxmlformats.org/officeDocument/2006/relationships/hyperlink" Target="https://www.munzee.com/m/Cinnamons/4200/" TargetMode="External"/><Relationship Id="rId293" Type="http://schemas.openxmlformats.org/officeDocument/2006/relationships/hyperlink" Target="https://www.munzee.com/m/RobS/4990/" TargetMode="External"/><Relationship Id="rId171" Type="http://schemas.openxmlformats.org/officeDocument/2006/relationships/hyperlink" Target="https://www.munzee.com/m/claireth/1908/" TargetMode="External"/><Relationship Id="rId292" Type="http://schemas.openxmlformats.org/officeDocument/2006/relationships/hyperlink" Target="https://www.munzee.com/m/granitente/13004/" TargetMode="External"/><Relationship Id="rId170" Type="http://schemas.openxmlformats.org/officeDocument/2006/relationships/hyperlink" Target="https://www.munzee.com/m/Jeffeth/10387" TargetMode="External"/><Relationship Id="rId291" Type="http://schemas.openxmlformats.org/officeDocument/2006/relationships/hyperlink" Target="https://www.munzee.com/m/kaliho/1091" TargetMode="External"/><Relationship Id="rId290" Type="http://schemas.openxmlformats.org/officeDocument/2006/relationships/hyperlink" Target="https://www.munzee.com/m/Mon4ikaCriss/3538/" TargetMode="External"/><Relationship Id="rId165" Type="http://schemas.openxmlformats.org/officeDocument/2006/relationships/hyperlink" Target="https://www.munzee.com/m/Chivasloyal/4550/" TargetMode="External"/><Relationship Id="rId286" Type="http://schemas.openxmlformats.org/officeDocument/2006/relationships/hyperlink" Target="https://www.munzee.com/m/KillerSnail/9208/" TargetMode="External"/><Relationship Id="rId164" Type="http://schemas.openxmlformats.org/officeDocument/2006/relationships/hyperlink" Target="https://www.munzee.com/m/5Star/9304" TargetMode="External"/><Relationship Id="rId285" Type="http://schemas.openxmlformats.org/officeDocument/2006/relationships/hyperlink" Target="https://www.munzee.com/m/Marnic/12346/" TargetMode="External"/><Relationship Id="rId163" Type="http://schemas.openxmlformats.org/officeDocument/2006/relationships/hyperlink" Target="https://www.munzee.com/m/amundadus/1651" TargetMode="External"/><Relationship Id="rId284" Type="http://schemas.openxmlformats.org/officeDocument/2006/relationships/hyperlink" Target="https://www.munzee.com/m/nicmar/10025/" TargetMode="External"/><Relationship Id="rId162" Type="http://schemas.openxmlformats.org/officeDocument/2006/relationships/hyperlink" Target="https://www.munzee.com/m/CopperWings/2503/" TargetMode="External"/><Relationship Id="rId283" Type="http://schemas.openxmlformats.org/officeDocument/2006/relationships/hyperlink" Target="https://www.munzee.com/m/KillerSnail/9207/" TargetMode="External"/><Relationship Id="rId169" Type="http://schemas.openxmlformats.org/officeDocument/2006/relationships/hyperlink" Target="https://www.munzee.com/m/piesciuk/2056/" TargetMode="External"/><Relationship Id="rId168" Type="http://schemas.openxmlformats.org/officeDocument/2006/relationships/hyperlink" Target="https://www.munzee.com/m/struwel/22368" TargetMode="External"/><Relationship Id="rId289" Type="http://schemas.openxmlformats.org/officeDocument/2006/relationships/hyperlink" Target="https://www.munzee.com/m/CrissOldNouvelleRoute/252/" TargetMode="External"/><Relationship Id="rId167" Type="http://schemas.openxmlformats.org/officeDocument/2006/relationships/hyperlink" Target="https://www.munzee.com/m/BituX/15351" TargetMode="External"/><Relationship Id="rId288" Type="http://schemas.openxmlformats.org/officeDocument/2006/relationships/hyperlink" Target="https://www.munzee.com/m/breinie/442/" TargetMode="External"/><Relationship Id="rId166" Type="http://schemas.openxmlformats.org/officeDocument/2006/relationships/hyperlink" Target="https://www.munzee.com/m/Alroso/2585/" TargetMode="External"/><Relationship Id="rId287" Type="http://schemas.openxmlformats.org/officeDocument/2006/relationships/hyperlink" Target="https://www.munzee.com/m/nicmar/10029/" TargetMode="External"/><Relationship Id="rId161" Type="http://schemas.openxmlformats.org/officeDocument/2006/relationships/hyperlink" Target="https://www.munzee.com/m/Kiitokurre/16934/" TargetMode="External"/><Relationship Id="rId282" Type="http://schemas.openxmlformats.org/officeDocument/2006/relationships/hyperlink" Target="https://www.munzee.com/m/Marnic/12341/" TargetMode="External"/><Relationship Id="rId160" Type="http://schemas.openxmlformats.org/officeDocument/2006/relationships/hyperlink" Target="https://www.munzee.com/m/paulus2012/8963/" TargetMode="External"/><Relationship Id="rId281" Type="http://schemas.openxmlformats.org/officeDocument/2006/relationships/hyperlink" Target="https://www.munzee.com/m/breinie/443/" TargetMode="External"/><Relationship Id="rId280" Type="http://schemas.openxmlformats.org/officeDocument/2006/relationships/hyperlink" Target="https://www.munzee.com/m/KillerSnail/9781/" TargetMode="External"/><Relationship Id="rId159" Type="http://schemas.openxmlformats.org/officeDocument/2006/relationships/hyperlink" Target="https://www.munzee.com/m/Kegelhexe/5348/" TargetMode="External"/><Relationship Id="rId154" Type="http://schemas.openxmlformats.org/officeDocument/2006/relationships/hyperlink" Target="https://www.munzee.com/m/PawPatrolThomas/4556/" TargetMode="External"/><Relationship Id="rId275" Type="http://schemas.openxmlformats.org/officeDocument/2006/relationships/hyperlink" Target="https://www.munzee.com/m/Marnic/12333/" TargetMode="External"/><Relationship Id="rId396" Type="http://schemas.openxmlformats.org/officeDocument/2006/relationships/hyperlink" Target="https://www.munzee.com/m/Cleland/1617/" TargetMode="External"/><Relationship Id="rId153" Type="http://schemas.openxmlformats.org/officeDocument/2006/relationships/hyperlink" Target="https://www.munzee.com/m/EmileP68/5398/" TargetMode="External"/><Relationship Id="rId274" Type="http://schemas.openxmlformats.org/officeDocument/2006/relationships/hyperlink" Target="https://www.munzee.com/m/KillerSnail/9951/" TargetMode="External"/><Relationship Id="rId395" Type="http://schemas.openxmlformats.org/officeDocument/2006/relationships/hyperlink" Target="https://www.munzee.com/m/Liekensboys/859/" TargetMode="External"/><Relationship Id="rId152" Type="http://schemas.openxmlformats.org/officeDocument/2006/relationships/hyperlink" Target="https://www.munzee.com/m/sverlaan/6555/" TargetMode="External"/><Relationship Id="rId273" Type="http://schemas.openxmlformats.org/officeDocument/2006/relationships/hyperlink" Target="https://www.munzee.com/m/theLuckyFinders/4663" TargetMode="External"/><Relationship Id="rId394" Type="http://schemas.openxmlformats.org/officeDocument/2006/relationships/hyperlink" Target="https://www.munzee.com/m/TeamBlackie/1084/" TargetMode="External"/><Relationship Id="rId151" Type="http://schemas.openxmlformats.org/officeDocument/2006/relationships/hyperlink" Target="https://www.munzee.com/m/PawPatrolThomas/4569/" TargetMode="External"/><Relationship Id="rId272" Type="http://schemas.openxmlformats.org/officeDocument/2006/relationships/hyperlink" Target="https://www.munzee.com/m/sidekicks/7912/admin/" TargetMode="External"/><Relationship Id="rId393" Type="http://schemas.openxmlformats.org/officeDocument/2006/relationships/hyperlink" Target="https://www.munzee.com/m/LonelyWalker/881/" TargetMode="External"/><Relationship Id="rId158" Type="http://schemas.openxmlformats.org/officeDocument/2006/relationships/hyperlink" Target="https://www.munzee.com/m/AmezorC/13404" TargetMode="External"/><Relationship Id="rId279" Type="http://schemas.openxmlformats.org/officeDocument/2006/relationships/hyperlink" Target="https://www.munzee.com/m/Marnic/12335/" TargetMode="External"/><Relationship Id="rId157" Type="http://schemas.openxmlformats.org/officeDocument/2006/relationships/hyperlink" Target="https://www.munzee.com/m/PawPatrolThomas/4554/" TargetMode="External"/><Relationship Id="rId278" Type="http://schemas.openxmlformats.org/officeDocument/2006/relationships/hyperlink" Target="https://www.munzee.com/m/Aniara/16081/" TargetMode="External"/><Relationship Id="rId399" Type="http://schemas.openxmlformats.org/officeDocument/2006/relationships/hyperlink" Target="http://munzee.com/m/rgforsythe/19439/" TargetMode="External"/><Relationship Id="rId156" Type="http://schemas.openxmlformats.org/officeDocument/2006/relationships/hyperlink" Target="https://www.munzee.com/m/EmileP68/5382/" TargetMode="External"/><Relationship Id="rId277" Type="http://schemas.openxmlformats.org/officeDocument/2006/relationships/hyperlink" Target="https://www.munzee.com/m/KillerSnail/9950/" TargetMode="External"/><Relationship Id="rId398" Type="http://schemas.openxmlformats.org/officeDocument/2006/relationships/hyperlink" Target="https://www.munzee.com/m/LonelyWalker/880/" TargetMode="External"/><Relationship Id="rId155" Type="http://schemas.openxmlformats.org/officeDocument/2006/relationships/hyperlink" Target="https://www.munzee.com/m/sverlaan/6547/" TargetMode="External"/><Relationship Id="rId276" Type="http://schemas.openxmlformats.org/officeDocument/2006/relationships/hyperlink" Target="https://www.munzee.com/m/nicmar/10023/" TargetMode="External"/><Relationship Id="rId397" Type="http://schemas.openxmlformats.org/officeDocument/2006/relationships/hyperlink" Target="https://www.munzee.com/m/Johnsjen/4290/" TargetMode="External"/><Relationship Id="rId40" Type="http://schemas.openxmlformats.org/officeDocument/2006/relationships/hyperlink" Target="https://www.munzee.com/m/MrsSourflush/7114/" TargetMode="External"/><Relationship Id="rId42" Type="http://schemas.openxmlformats.org/officeDocument/2006/relationships/hyperlink" Target="https://www.munzee.com/m/AmezorC/13968" TargetMode="External"/><Relationship Id="rId41" Type="http://schemas.openxmlformats.org/officeDocument/2006/relationships/hyperlink" Target="https://www.munzee.com/m/MariaHTJ/20216/" TargetMode="External"/><Relationship Id="rId44" Type="http://schemas.openxmlformats.org/officeDocument/2006/relationships/hyperlink" Target="https://www.munzee.com/m/Amerod/5580/" TargetMode="External"/><Relationship Id="rId43" Type="http://schemas.openxmlformats.org/officeDocument/2006/relationships/hyperlink" Target="https://www.munzee.com/m/230Volt/1331/" TargetMode="External"/><Relationship Id="rId46" Type="http://schemas.openxmlformats.org/officeDocument/2006/relationships/hyperlink" Target="https://www.munzee.com/m/DarbyJoan/2875/" TargetMode="External"/><Relationship Id="rId45" Type="http://schemas.openxmlformats.org/officeDocument/2006/relationships/hyperlink" Target="https://www.munzee.com/m/SpaceCoastGeoStore/15947/" TargetMode="External"/><Relationship Id="rId503" Type="http://schemas.openxmlformats.org/officeDocument/2006/relationships/hyperlink" Target="https://www.munzee.com/m/purplecourgette/8850/" TargetMode="External"/><Relationship Id="rId502" Type="http://schemas.openxmlformats.org/officeDocument/2006/relationships/hyperlink" Target="https://www.munzee.com/m/Helefant/5537" TargetMode="External"/><Relationship Id="rId501" Type="http://schemas.openxmlformats.org/officeDocument/2006/relationships/hyperlink" Target="https://www.munzee.com/m/Wawie/974/" TargetMode="External"/><Relationship Id="rId500" Type="http://schemas.openxmlformats.org/officeDocument/2006/relationships/hyperlink" Target="https://www.munzee.com/m/Wawie/975/" TargetMode="External"/><Relationship Id="rId507" Type="http://schemas.openxmlformats.org/officeDocument/2006/relationships/table" Target="../tables/table1.xml"/><Relationship Id="rId505" Type="http://schemas.openxmlformats.org/officeDocument/2006/relationships/drawing" Target="../drawings/drawing1.xml"/><Relationship Id="rId504" Type="http://schemas.openxmlformats.org/officeDocument/2006/relationships/hyperlink" Target="https://www.munzee.com/m/Wawie/966/" TargetMode="External"/><Relationship Id="rId48" Type="http://schemas.openxmlformats.org/officeDocument/2006/relationships/hyperlink" Target="https://www.munzee.com/m/230Volt/1344/" TargetMode="External"/><Relationship Id="rId47" Type="http://schemas.openxmlformats.org/officeDocument/2006/relationships/hyperlink" Target="https://www.munzee.com/m/Alroso/2992/" TargetMode="External"/><Relationship Id="rId49" Type="http://schemas.openxmlformats.org/officeDocument/2006/relationships/hyperlink" Target="https://www.munzee.com/m/paulus2012/8970/" TargetMode="External"/><Relationship Id="rId31" Type="http://schemas.openxmlformats.org/officeDocument/2006/relationships/hyperlink" Target="https://www.munzee.com/m/TheFrog/8089/" TargetMode="External"/><Relationship Id="rId30" Type="http://schemas.openxmlformats.org/officeDocument/2006/relationships/hyperlink" Target="https://www.munzee.com/m/AmezorC/13969" TargetMode="External"/><Relationship Id="rId33" Type="http://schemas.openxmlformats.org/officeDocument/2006/relationships/hyperlink" Target="https://www.munzee.com/m/MariaHTJ/20335/" TargetMode="External"/><Relationship Id="rId32" Type="http://schemas.openxmlformats.org/officeDocument/2006/relationships/hyperlink" Target="https://www.munzee.com/m/does/1720/" TargetMode="External"/><Relationship Id="rId35" Type="http://schemas.openxmlformats.org/officeDocument/2006/relationships/hyperlink" Target="https://www.munzee.com/m/TURTLE/12365/" TargetMode="External"/><Relationship Id="rId34" Type="http://schemas.openxmlformats.org/officeDocument/2006/relationships/hyperlink" Target="https://www.munzee.com/m/destrandman/5843/" TargetMode="External"/><Relationship Id="rId37" Type="http://schemas.openxmlformats.org/officeDocument/2006/relationships/hyperlink" Target="https://www.munzee.com/m/Alroso/2839/" TargetMode="External"/><Relationship Id="rId36" Type="http://schemas.openxmlformats.org/officeDocument/2006/relationships/hyperlink" Target="https://www.munzee.com/m/MariaHTJ/20217/" TargetMode="External"/><Relationship Id="rId39" Type="http://schemas.openxmlformats.org/officeDocument/2006/relationships/hyperlink" Target="https://www.munzee.com/m/paulus2012/8971/" TargetMode="External"/><Relationship Id="rId38" Type="http://schemas.openxmlformats.org/officeDocument/2006/relationships/hyperlink" Target="https://www.munzee.com/m/230Volt/1330/" TargetMode="External"/><Relationship Id="rId20" Type="http://schemas.openxmlformats.org/officeDocument/2006/relationships/hyperlink" Target="https://www.munzee.com/m/123xilef/24445/" TargetMode="External"/><Relationship Id="rId22" Type="http://schemas.openxmlformats.org/officeDocument/2006/relationships/hyperlink" Target="https://www.munzee.com/m/gerardz/8137/" TargetMode="External"/><Relationship Id="rId21" Type="http://schemas.openxmlformats.org/officeDocument/2006/relationships/hyperlink" Target="https://www.munzee.com/m/Amerod/5581/" TargetMode="External"/><Relationship Id="rId24" Type="http://schemas.openxmlformats.org/officeDocument/2006/relationships/hyperlink" Target="https://www.munzee.com/m/Wawie/2235/" TargetMode="External"/><Relationship Id="rId23" Type="http://schemas.openxmlformats.org/officeDocument/2006/relationships/hyperlink" Target="https://www.munzee.com/m/keromar/8543/" TargetMode="External"/><Relationship Id="rId409" Type="http://schemas.openxmlformats.org/officeDocument/2006/relationships/hyperlink" Target="https://www.munzee.com/m/Iphoney/800/" TargetMode="External"/><Relationship Id="rId404" Type="http://schemas.openxmlformats.org/officeDocument/2006/relationships/hyperlink" Target="https://www.munzee.com/m/Vezliukai/1789/" TargetMode="External"/><Relationship Id="rId403" Type="http://schemas.openxmlformats.org/officeDocument/2006/relationships/hyperlink" Target="https://www.munzee.com/m/Intel9/536/" TargetMode="External"/><Relationship Id="rId402" Type="http://schemas.openxmlformats.org/officeDocument/2006/relationships/hyperlink" Target="https://www.munzee.com/m/TeamBlackie/1097/" TargetMode="External"/><Relationship Id="rId401" Type="http://schemas.openxmlformats.org/officeDocument/2006/relationships/hyperlink" Target="https://www.munzee.com/m/theLuckyFinders/3926" TargetMode="External"/><Relationship Id="rId408" Type="http://schemas.openxmlformats.org/officeDocument/2006/relationships/hyperlink" Target="https://www.munzee.com/m/edwin21/1207" TargetMode="External"/><Relationship Id="rId407" Type="http://schemas.openxmlformats.org/officeDocument/2006/relationships/hyperlink" Target="https://www.munzee.com/m/raftjen/7646/" TargetMode="External"/><Relationship Id="rId406" Type="http://schemas.openxmlformats.org/officeDocument/2006/relationships/hyperlink" Target="https://www.munzee.com/m/Vanduo62/488/" TargetMode="External"/><Relationship Id="rId405" Type="http://schemas.openxmlformats.org/officeDocument/2006/relationships/hyperlink" Target="https://www.munzee.com/m/Dikkedoos/3368/" TargetMode="External"/><Relationship Id="rId26" Type="http://schemas.openxmlformats.org/officeDocument/2006/relationships/hyperlink" Target="https://www.munzee.com/m/Wawie/2203/" TargetMode="External"/><Relationship Id="rId25" Type="http://schemas.openxmlformats.org/officeDocument/2006/relationships/hyperlink" Target="https://www.munzee.com/m/MarioVN/1740/" TargetMode="External"/><Relationship Id="rId28" Type="http://schemas.openxmlformats.org/officeDocument/2006/relationships/hyperlink" Target="https://www.munzee.com/m/Wawie/2202/" TargetMode="External"/><Relationship Id="rId27" Type="http://schemas.openxmlformats.org/officeDocument/2006/relationships/hyperlink" Target="https://www.munzee.com/m/keromar/8558/" TargetMode="External"/><Relationship Id="rId400" Type="http://schemas.openxmlformats.org/officeDocument/2006/relationships/hyperlink" Target="https://www.munzee.com/m/GeodudeDK/10957/" TargetMode="External"/><Relationship Id="rId29" Type="http://schemas.openxmlformats.org/officeDocument/2006/relationships/hyperlink" Target="https://www.munzee.com/m/raftjen/6805/" TargetMode="External"/><Relationship Id="rId11" Type="http://schemas.openxmlformats.org/officeDocument/2006/relationships/hyperlink" Target="https://www.munzee.com/m/nyisutter/14523/" TargetMode="External"/><Relationship Id="rId10" Type="http://schemas.openxmlformats.org/officeDocument/2006/relationships/hyperlink" Target="https://www.munzee.com/m/albman/246/" TargetMode="External"/><Relationship Id="rId13" Type="http://schemas.openxmlformats.org/officeDocument/2006/relationships/hyperlink" Target="https://www.munzee.com/m/230Volt/1323/" TargetMode="External"/><Relationship Id="rId12" Type="http://schemas.openxmlformats.org/officeDocument/2006/relationships/hyperlink" Target="https://www.munzee.com/m/Alroso/1040/" TargetMode="External"/><Relationship Id="rId15" Type="http://schemas.openxmlformats.org/officeDocument/2006/relationships/hyperlink" Target="https://www.munzee.com/m/paulus2012/8972" TargetMode="External"/><Relationship Id="rId14" Type="http://schemas.openxmlformats.org/officeDocument/2006/relationships/hyperlink" Target="https://www.munzee.com/m/TheFrog/8090/" TargetMode="External"/><Relationship Id="rId17" Type="http://schemas.openxmlformats.org/officeDocument/2006/relationships/hyperlink" Target="https://www.munzee.com/m/230Volt/1329/" TargetMode="External"/><Relationship Id="rId16" Type="http://schemas.openxmlformats.org/officeDocument/2006/relationships/hyperlink" Target="https://www.munzee.com/m/Girlteam/1978" TargetMode="External"/><Relationship Id="rId19" Type="http://schemas.openxmlformats.org/officeDocument/2006/relationships/hyperlink" Target="https://www.munzee.com/m/Ingetje/5709/admin/" TargetMode="External"/><Relationship Id="rId18" Type="http://schemas.openxmlformats.org/officeDocument/2006/relationships/hyperlink" Target="https://www.munzee.com/m/AmezorC/13974" TargetMode="External"/><Relationship Id="rId84" Type="http://schemas.openxmlformats.org/officeDocument/2006/relationships/hyperlink" Target="https://www.munzee.com/m/Rubin/3466/" TargetMode="External"/><Relationship Id="rId83" Type="http://schemas.openxmlformats.org/officeDocument/2006/relationships/hyperlink" Target="https://www.munzee.com/m/DarbyJoan/3262/" TargetMode="External"/><Relationship Id="rId86" Type="http://schemas.openxmlformats.org/officeDocument/2006/relationships/hyperlink" Target="https://www.munzee.com/m/Kegelhexe/5356/" TargetMode="External"/><Relationship Id="rId85" Type="http://schemas.openxmlformats.org/officeDocument/2006/relationships/hyperlink" Target="https://www.munzee.com/m/destrandman/5835/" TargetMode="External"/><Relationship Id="rId88" Type="http://schemas.openxmlformats.org/officeDocument/2006/relationships/hyperlink" Target="https://www.munzee.com/m/AmezorC/13930" TargetMode="External"/><Relationship Id="rId87" Type="http://schemas.openxmlformats.org/officeDocument/2006/relationships/hyperlink" Target="https://www.munzee.com/m/230Volt/1355/" TargetMode="External"/><Relationship Id="rId89" Type="http://schemas.openxmlformats.org/officeDocument/2006/relationships/hyperlink" Target="https://www.munzee.com/m/Alroso/3134/" TargetMode="External"/><Relationship Id="rId80" Type="http://schemas.openxmlformats.org/officeDocument/2006/relationships/hyperlink" Target="https://www.munzee.com/m/annabanana/17731/" TargetMode="External"/><Relationship Id="rId82" Type="http://schemas.openxmlformats.org/officeDocument/2006/relationships/hyperlink" Target="https://www.munzee.com/m/230Volt/1353/" TargetMode="External"/><Relationship Id="rId81" Type="http://schemas.openxmlformats.org/officeDocument/2006/relationships/hyperlink" Target="https://www.munzee.com/m/Wawie/2191/" TargetMode="External"/><Relationship Id="rId73" Type="http://schemas.openxmlformats.org/officeDocument/2006/relationships/hyperlink" Target="https://www.munzee.com/m/amundadus/1655" TargetMode="External"/><Relationship Id="rId72" Type="http://schemas.openxmlformats.org/officeDocument/2006/relationships/hyperlink" Target="https://www.munzee.com/m/Wawie/2199/" TargetMode="External"/><Relationship Id="rId75" Type="http://schemas.openxmlformats.org/officeDocument/2006/relationships/hyperlink" Target="https://www.munzee.com/m/Wawie/2198/" TargetMode="External"/><Relationship Id="rId74" Type="http://schemas.openxmlformats.org/officeDocument/2006/relationships/hyperlink" Target="https://www.munzee.com/m/destrandman/5838/" TargetMode="External"/><Relationship Id="rId77" Type="http://schemas.openxmlformats.org/officeDocument/2006/relationships/hyperlink" Target="https://www.munzee.com/m/RobS/5070/" TargetMode="External"/><Relationship Id="rId76" Type="http://schemas.openxmlformats.org/officeDocument/2006/relationships/hyperlink" Target="https://www.munzee.com/m/Sidcup/16499/" TargetMode="External"/><Relationship Id="rId79" Type="http://schemas.openxmlformats.org/officeDocument/2006/relationships/hyperlink" Target="https://www.munzee.com/m/AmezorC/13931" TargetMode="External"/><Relationship Id="rId78" Type="http://schemas.openxmlformats.org/officeDocument/2006/relationships/hyperlink" Target="https://www.munzee.com/m/Wawie/2192/" TargetMode="External"/><Relationship Id="rId71" Type="http://schemas.openxmlformats.org/officeDocument/2006/relationships/hyperlink" Target="https://www.munzee.com/m/keromar/8513/admin/" TargetMode="External"/><Relationship Id="rId70" Type="http://schemas.openxmlformats.org/officeDocument/2006/relationships/hyperlink" Target="https://www.munzee.com/m/destrandman/5839/" TargetMode="External"/><Relationship Id="rId62" Type="http://schemas.openxmlformats.org/officeDocument/2006/relationships/hyperlink" Target="https://www.munzee.com/m/keromar/8454/" TargetMode="External"/><Relationship Id="rId61" Type="http://schemas.openxmlformats.org/officeDocument/2006/relationships/hyperlink" Target="https://www.munzee.com/m/CzPeet/11198/" TargetMode="External"/><Relationship Id="rId64" Type="http://schemas.openxmlformats.org/officeDocument/2006/relationships/hyperlink" Target="https://www.munzee.com/m/Marcelkooyman/57/" TargetMode="External"/><Relationship Id="rId63" Type="http://schemas.openxmlformats.org/officeDocument/2006/relationships/hyperlink" Target="https://www.munzee.com/m/DarbyJoan/3163/" TargetMode="External"/><Relationship Id="rId66" Type="http://schemas.openxmlformats.org/officeDocument/2006/relationships/hyperlink" Target="https://www.munzee.com/m/GMariusz/1986/admin/" TargetMode="External"/><Relationship Id="rId65" Type="http://schemas.openxmlformats.org/officeDocument/2006/relationships/hyperlink" Target="https://www.munzee.com/m/Helefant/5562" TargetMode="External"/><Relationship Id="rId68" Type="http://schemas.openxmlformats.org/officeDocument/2006/relationships/hyperlink" Target="https://www.munzee.com/m/Alroso/3191/" TargetMode="External"/><Relationship Id="rId67" Type="http://schemas.openxmlformats.org/officeDocument/2006/relationships/hyperlink" Target="https://www.munzee.com/m/keromar/8301/" TargetMode="External"/><Relationship Id="rId60" Type="http://schemas.openxmlformats.org/officeDocument/2006/relationships/hyperlink" Target="https://www.munzee.com/m/AmezorC/13967/" TargetMode="External"/><Relationship Id="rId69" Type="http://schemas.openxmlformats.org/officeDocument/2006/relationships/hyperlink" Target="https://www.munzee.com/m/Wawie/2200/" TargetMode="External"/><Relationship Id="rId51" Type="http://schemas.openxmlformats.org/officeDocument/2006/relationships/hyperlink" Target="https://www.munzee.com/m/Kegelhexe/5357/" TargetMode="External"/><Relationship Id="rId50" Type="http://schemas.openxmlformats.org/officeDocument/2006/relationships/hyperlink" Target="https://www.munzee.com/m/123xilef/25761/" TargetMode="External"/><Relationship Id="rId53" Type="http://schemas.openxmlformats.org/officeDocument/2006/relationships/hyperlink" Target="https://www.munzee.com/m/Cleland/1618/" TargetMode="External"/><Relationship Id="rId52" Type="http://schemas.openxmlformats.org/officeDocument/2006/relationships/hyperlink" Target="https://www.munzee.com/m/destrandman/5841/" TargetMode="External"/><Relationship Id="rId55" Type="http://schemas.openxmlformats.org/officeDocument/2006/relationships/hyperlink" Target="https://www.munzee.com/m/230Volt/1345/" TargetMode="External"/><Relationship Id="rId54" Type="http://schemas.openxmlformats.org/officeDocument/2006/relationships/hyperlink" Target="https://www.munzee.com/m/lison55/14535" TargetMode="External"/><Relationship Id="rId57" Type="http://schemas.openxmlformats.org/officeDocument/2006/relationships/hyperlink" Target="https://www.munzee.com/m/paulus2012/8969" TargetMode="External"/><Relationship Id="rId56" Type="http://schemas.openxmlformats.org/officeDocument/2006/relationships/hyperlink" Target="https://www.munzee.com/m/Alroso/2787/" TargetMode="External"/><Relationship Id="rId59" Type="http://schemas.openxmlformats.org/officeDocument/2006/relationships/hyperlink" Target="https://www.munzee.com/m/RTHawk/5649" TargetMode="External"/><Relationship Id="rId58" Type="http://schemas.openxmlformats.org/officeDocument/2006/relationships/hyperlink" Target="https://www.munzee.com/m/raftjen/6707/" TargetMode="External"/><Relationship Id="rId107" Type="http://schemas.openxmlformats.org/officeDocument/2006/relationships/hyperlink" Target="https://www.munzee.com/m/paulus2012/8967/" TargetMode="External"/><Relationship Id="rId228" Type="http://schemas.openxmlformats.org/officeDocument/2006/relationships/hyperlink" Target="https://www.munzee.com/m/Jafo43/33597" TargetMode="External"/><Relationship Id="rId349" Type="http://schemas.openxmlformats.org/officeDocument/2006/relationships/hyperlink" Target="https://www.munzee.com/m/Marnic/12376/" TargetMode="External"/><Relationship Id="rId106" Type="http://schemas.openxmlformats.org/officeDocument/2006/relationships/hyperlink" Target="https://www.munzee.com/m/Alroso/3132/" TargetMode="External"/><Relationship Id="rId227" Type="http://schemas.openxmlformats.org/officeDocument/2006/relationships/hyperlink" Target="https://www.munzee.com/m/kpcrystal07/23956/" TargetMode="External"/><Relationship Id="rId348" Type="http://schemas.openxmlformats.org/officeDocument/2006/relationships/hyperlink" Target="https://www.munzee.com/m/nufrat/432/" TargetMode="External"/><Relationship Id="rId469" Type="http://schemas.openxmlformats.org/officeDocument/2006/relationships/hyperlink" Target="https://www.munzee.com/m/HingeAndBracket/7133/" TargetMode="External"/><Relationship Id="rId105" Type="http://schemas.openxmlformats.org/officeDocument/2006/relationships/hyperlink" Target="https://www.munzee.com/m/230Volt/1356/" TargetMode="External"/><Relationship Id="rId226" Type="http://schemas.openxmlformats.org/officeDocument/2006/relationships/hyperlink" Target="https://www.munzee.com/m/hz/5781/" TargetMode="External"/><Relationship Id="rId347" Type="http://schemas.openxmlformats.org/officeDocument/2006/relationships/hyperlink" Target="https://www.munzee.com/m/nicmar/10031/" TargetMode="External"/><Relationship Id="rId468" Type="http://schemas.openxmlformats.org/officeDocument/2006/relationships/hyperlink" Target="https://www.munzee.com/m/Eskiss/5812" TargetMode="External"/><Relationship Id="rId104" Type="http://schemas.openxmlformats.org/officeDocument/2006/relationships/hyperlink" Target="https://www.munzee.com/m/Mariabettina/3199/" TargetMode="External"/><Relationship Id="rId225" Type="http://schemas.openxmlformats.org/officeDocument/2006/relationships/hyperlink" Target="https://www.munzee.com/m/Eskiss/5789" TargetMode="External"/><Relationship Id="rId346" Type="http://schemas.openxmlformats.org/officeDocument/2006/relationships/hyperlink" Target="https://www.munzee.com/m/Marnic/12348/" TargetMode="External"/><Relationship Id="rId467" Type="http://schemas.openxmlformats.org/officeDocument/2006/relationships/hyperlink" Target="https://www.munzee.com/m/Frikandelbroodjes/1217/" TargetMode="External"/><Relationship Id="rId109" Type="http://schemas.openxmlformats.org/officeDocument/2006/relationships/hyperlink" Target="https://www.munzee.com/m/Wawie/947/" TargetMode="External"/><Relationship Id="rId108" Type="http://schemas.openxmlformats.org/officeDocument/2006/relationships/hyperlink" Target="https://www.munzee.com/m/AmezorC/13878" TargetMode="External"/><Relationship Id="rId229" Type="http://schemas.openxmlformats.org/officeDocument/2006/relationships/hyperlink" Target="https://www.munzee.com/m/hz/5780/" TargetMode="External"/><Relationship Id="rId220" Type="http://schemas.openxmlformats.org/officeDocument/2006/relationships/hyperlink" Target="https://www.munzee.com/m/hz/5785/" TargetMode="External"/><Relationship Id="rId341" Type="http://schemas.openxmlformats.org/officeDocument/2006/relationships/hyperlink" Target="https://www.munzee.com/m/BrotherWilliam/6183/" TargetMode="External"/><Relationship Id="rId462" Type="http://schemas.openxmlformats.org/officeDocument/2006/relationships/hyperlink" Target="https://www.munzee.com/m/barefootguru/16853/" TargetMode="External"/><Relationship Id="rId340" Type="http://schemas.openxmlformats.org/officeDocument/2006/relationships/hyperlink" Target="https://www.munzee.com/m/GroteSufferd/779/" TargetMode="External"/><Relationship Id="rId461" Type="http://schemas.openxmlformats.org/officeDocument/2006/relationships/hyperlink" Target="https://www.munzee.com/m/Wawie/2270/" TargetMode="External"/><Relationship Id="rId460" Type="http://schemas.openxmlformats.org/officeDocument/2006/relationships/hyperlink" Target="https://www.munzee.com/m/Pronkrug/2884" TargetMode="External"/><Relationship Id="rId103" Type="http://schemas.openxmlformats.org/officeDocument/2006/relationships/hyperlink" Target="https://www.munzee.com/m/Trunte2002/3190/" TargetMode="External"/><Relationship Id="rId224" Type="http://schemas.openxmlformats.org/officeDocument/2006/relationships/hyperlink" Target="https://www.munzee.com/m/kpcrystal07/23955/" TargetMode="External"/><Relationship Id="rId345" Type="http://schemas.openxmlformats.org/officeDocument/2006/relationships/hyperlink" Target="https://www.munzee.com/m/Warriors/6547/admin/" TargetMode="External"/><Relationship Id="rId466" Type="http://schemas.openxmlformats.org/officeDocument/2006/relationships/hyperlink" Target="https://www.munzee.com/m/Wawie/2386/" TargetMode="External"/><Relationship Id="rId102" Type="http://schemas.openxmlformats.org/officeDocument/2006/relationships/hyperlink" Target="https://www.munzee.com/m/Finnleo/2987/" TargetMode="External"/><Relationship Id="rId223" Type="http://schemas.openxmlformats.org/officeDocument/2006/relationships/hyperlink" Target="https://www.munzee.com/m/hz/5784/" TargetMode="External"/><Relationship Id="rId344" Type="http://schemas.openxmlformats.org/officeDocument/2006/relationships/hyperlink" Target="https://www.munzee.com/m/sidekicks/7908/admin/" TargetMode="External"/><Relationship Id="rId465" Type="http://schemas.openxmlformats.org/officeDocument/2006/relationships/hyperlink" Target="https://www.munzee.com/m/NikitaStolk/4787/" TargetMode="External"/><Relationship Id="rId101" Type="http://schemas.openxmlformats.org/officeDocument/2006/relationships/hyperlink" Target="https://www.munzee.com/m/theLuckyFinders/4692/admin/" TargetMode="External"/><Relationship Id="rId222" Type="http://schemas.openxmlformats.org/officeDocument/2006/relationships/hyperlink" Target="https://www.munzee.com/m/Tornado/5474/" TargetMode="External"/><Relationship Id="rId343" Type="http://schemas.openxmlformats.org/officeDocument/2006/relationships/hyperlink" Target="https://www.munzee.com/m/theLuckyFinders/3928" TargetMode="External"/><Relationship Id="rId464" Type="http://schemas.openxmlformats.org/officeDocument/2006/relationships/hyperlink" Target="https://www.munzee.com/m/destolkjes4ever/8180/" TargetMode="External"/><Relationship Id="rId100" Type="http://schemas.openxmlformats.org/officeDocument/2006/relationships/hyperlink" Target="https://www.munzee.com/m/wemissmo/11766/" TargetMode="External"/><Relationship Id="rId221" Type="http://schemas.openxmlformats.org/officeDocument/2006/relationships/hyperlink" Target="https://www.munzee.com/m/kpcrystal07/23954/" TargetMode="External"/><Relationship Id="rId342" Type="http://schemas.openxmlformats.org/officeDocument/2006/relationships/hyperlink" Target="https://www.munzee.com/m/Ingetje/5531/admin/" TargetMode="External"/><Relationship Id="rId463" Type="http://schemas.openxmlformats.org/officeDocument/2006/relationships/hyperlink" Target="https://www.munzee.com/m/Wawie/2387/" TargetMode="External"/><Relationship Id="rId217" Type="http://schemas.openxmlformats.org/officeDocument/2006/relationships/hyperlink" Target="https://www.munzee.com/m/BonnieB1/15566/" TargetMode="External"/><Relationship Id="rId338" Type="http://schemas.openxmlformats.org/officeDocument/2006/relationships/hyperlink" Target="https://www.munzee.com/m/BrotherWilliam/6177/" TargetMode="External"/><Relationship Id="rId459" Type="http://schemas.openxmlformats.org/officeDocument/2006/relationships/hyperlink" Target="https://www.munzee.com/m/Wawie/2272/" TargetMode="External"/><Relationship Id="rId216" Type="http://schemas.openxmlformats.org/officeDocument/2006/relationships/hyperlink" Target="https://www.munzee.com/m/Aniara/16276/" TargetMode="External"/><Relationship Id="rId337" Type="http://schemas.openxmlformats.org/officeDocument/2006/relationships/hyperlink" Target="https://www.munzee.com/m/GroteSufferd/768/" TargetMode="External"/><Relationship Id="rId458" Type="http://schemas.openxmlformats.org/officeDocument/2006/relationships/hyperlink" Target="https://www.munzee.com/m/Wawie/1302/" TargetMode="External"/><Relationship Id="rId215" Type="http://schemas.openxmlformats.org/officeDocument/2006/relationships/hyperlink" Target="https://www.munzee.com/m/kpcrystal07/23952/" TargetMode="External"/><Relationship Id="rId336" Type="http://schemas.openxmlformats.org/officeDocument/2006/relationships/hyperlink" Target="https://www.munzee.com/m/ArtofEco/3851/" TargetMode="External"/><Relationship Id="rId457" Type="http://schemas.openxmlformats.org/officeDocument/2006/relationships/hyperlink" Target="https://www.munzee.com/m/Wawie/1303/" TargetMode="External"/><Relationship Id="rId214" Type="http://schemas.openxmlformats.org/officeDocument/2006/relationships/hyperlink" Target="https://www.munzee.com/m/RoversEnd/4267//" TargetMode="External"/><Relationship Id="rId335" Type="http://schemas.openxmlformats.org/officeDocument/2006/relationships/hyperlink" Target="https://www.munzee.com/m/BrotherWilliam/6133/" TargetMode="External"/><Relationship Id="rId456" Type="http://schemas.openxmlformats.org/officeDocument/2006/relationships/hyperlink" Target="https://www.munzee.com/m/Wawie/2273/" TargetMode="External"/><Relationship Id="rId219" Type="http://schemas.openxmlformats.org/officeDocument/2006/relationships/hyperlink" Target="https://www.munzee.com/m/janzattic/15131" TargetMode="External"/><Relationship Id="rId218" Type="http://schemas.openxmlformats.org/officeDocument/2006/relationships/hyperlink" Target="https://www.munzee.com/m/kpcrystal07/23953" TargetMode="External"/><Relationship Id="rId339" Type="http://schemas.openxmlformats.org/officeDocument/2006/relationships/hyperlink" Target="https://www.munzee.com/m/ArtofEco/3852/" TargetMode="External"/><Relationship Id="rId330" Type="http://schemas.openxmlformats.org/officeDocument/2006/relationships/hyperlink" Target="https://www.munzee.com/m/dQuest/8604" TargetMode="External"/><Relationship Id="rId451" Type="http://schemas.openxmlformats.org/officeDocument/2006/relationships/hyperlink" Target="https://www.munzee.com/m/teamsturms/8293/" TargetMode="External"/><Relationship Id="rId450" Type="http://schemas.openxmlformats.org/officeDocument/2006/relationships/hyperlink" Target="https://www.munzee.com/m/Alroso/2499/" TargetMode="External"/><Relationship Id="rId213" Type="http://schemas.openxmlformats.org/officeDocument/2006/relationships/hyperlink" Target="https://www.munzee.com/m/JackSparrow/45425/" TargetMode="External"/><Relationship Id="rId334" Type="http://schemas.openxmlformats.org/officeDocument/2006/relationships/hyperlink" Target="https://www.munzee.com/m/GroteSufferd/767/" TargetMode="External"/><Relationship Id="rId455" Type="http://schemas.openxmlformats.org/officeDocument/2006/relationships/hyperlink" Target="https://www.munzee.com/m/Wawie/2278/" TargetMode="External"/><Relationship Id="rId212" Type="http://schemas.openxmlformats.org/officeDocument/2006/relationships/hyperlink" Target="https://www.munzee.com/m/kpcrystal07/23951/" TargetMode="External"/><Relationship Id="rId333" Type="http://schemas.openxmlformats.org/officeDocument/2006/relationships/hyperlink" Target="https://www.munzee.com/m/ArtofEco/3850/" TargetMode="External"/><Relationship Id="rId454" Type="http://schemas.openxmlformats.org/officeDocument/2006/relationships/hyperlink" Target="https://www.google.com/url?q=https://www.munzee.com/m/Theceoiksjes/7834/&amp;sa=D&amp;source=editors&amp;ust=1641201630109287&amp;usg=AOvVaw15VF8Mkq1W8EQOf3lhRjol" TargetMode="External"/><Relationship Id="rId211" Type="http://schemas.openxmlformats.org/officeDocument/2006/relationships/hyperlink" Target="https://www.munzee.com/m/jesterjeff007/6978/" TargetMode="External"/><Relationship Id="rId332" Type="http://schemas.openxmlformats.org/officeDocument/2006/relationships/hyperlink" Target="https://www.munzee.com/m/BrotherWilliam/6132/" TargetMode="External"/><Relationship Id="rId453" Type="http://schemas.openxmlformats.org/officeDocument/2006/relationships/hyperlink" Target="https://www.munzee.com/m/Wawie/2279/" TargetMode="External"/><Relationship Id="rId210" Type="http://schemas.openxmlformats.org/officeDocument/2006/relationships/hyperlink" Target="https://www.munzee.com/m/amundadus/1613" TargetMode="External"/><Relationship Id="rId331" Type="http://schemas.openxmlformats.org/officeDocument/2006/relationships/hyperlink" Target="https://www.munzee.com/m/anni56/20946/" TargetMode="External"/><Relationship Id="rId452" Type="http://schemas.openxmlformats.org/officeDocument/2006/relationships/hyperlink" Target="https://www.munzee.com/m/Franske/1867/" TargetMode="External"/><Relationship Id="rId370" Type="http://schemas.openxmlformats.org/officeDocument/2006/relationships/hyperlink" Target="https://www.munzee.com/m/TeamBlackie/1095/" TargetMode="External"/><Relationship Id="rId491" Type="http://schemas.openxmlformats.org/officeDocument/2006/relationships/hyperlink" Target="https://www.munzee.com/m/Wawie/795/" TargetMode="External"/><Relationship Id="rId490" Type="http://schemas.openxmlformats.org/officeDocument/2006/relationships/hyperlink" Target="https://www.munzee.com/m/Vonney/3523/" TargetMode="External"/><Relationship Id="rId129" Type="http://schemas.openxmlformats.org/officeDocument/2006/relationships/hyperlink" Target="https://www.munzee.com/m/Sikko/5453/" TargetMode="External"/><Relationship Id="rId128" Type="http://schemas.openxmlformats.org/officeDocument/2006/relationships/hyperlink" Target="https://www.munzee.com/m/AmezorC/13671" TargetMode="External"/><Relationship Id="rId249" Type="http://schemas.openxmlformats.org/officeDocument/2006/relationships/hyperlink" Target="https://www.munzee.com/m/paulus2012/8375" TargetMode="External"/><Relationship Id="rId127" Type="http://schemas.openxmlformats.org/officeDocument/2006/relationships/hyperlink" Target="https://www.munzee.com/m/Sikko/5435/" TargetMode="External"/><Relationship Id="rId248" Type="http://schemas.openxmlformats.org/officeDocument/2006/relationships/hyperlink" Target="https://www.munzee.com/m/TheOneWhoScans/10891/" TargetMode="External"/><Relationship Id="rId369" Type="http://schemas.openxmlformats.org/officeDocument/2006/relationships/hyperlink" Target="https://www.munzee.com/m/does/1201/" TargetMode="External"/><Relationship Id="rId126" Type="http://schemas.openxmlformats.org/officeDocument/2006/relationships/hyperlink" Target="https://www.munzee.com/m/Rubin/3508/" TargetMode="External"/><Relationship Id="rId247" Type="http://schemas.openxmlformats.org/officeDocument/2006/relationships/hyperlink" Target="https://www.munzee.com/m/Sikko/5366/" TargetMode="External"/><Relationship Id="rId368" Type="http://schemas.openxmlformats.org/officeDocument/2006/relationships/hyperlink" Target="https://www.munzee.com/m/RobS/5044/" TargetMode="External"/><Relationship Id="rId489" Type="http://schemas.openxmlformats.org/officeDocument/2006/relationships/hyperlink" Target="https://www.munzee.com/m/Vonney/3522/" TargetMode="External"/><Relationship Id="rId121" Type="http://schemas.openxmlformats.org/officeDocument/2006/relationships/hyperlink" Target="https://www.munzee.com/m/230Volt/1358/" TargetMode="External"/><Relationship Id="rId242" Type="http://schemas.openxmlformats.org/officeDocument/2006/relationships/hyperlink" Target="https://www.munzee.com/m/geomatrix/17415/" TargetMode="External"/><Relationship Id="rId363" Type="http://schemas.openxmlformats.org/officeDocument/2006/relationships/hyperlink" Target="https://www.munzee.com/m/piupardo/5042/admin/" TargetMode="External"/><Relationship Id="rId484" Type="http://schemas.openxmlformats.org/officeDocument/2006/relationships/hyperlink" Target="https://www.munzee.com/m/edwin21/1208" TargetMode="External"/><Relationship Id="rId120" Type="http://schemas.openxmlformats.org/officeDocument/2006/relationships/hyperlink" Target="https://www.munzee.com/m/Alroso/3058/" TargetMode="External"/><Relationship Id="rId241" Type="http://schemas.openxmlformats.org/officeDocument/2006/relationships/hyperlink" Target="https://www.munzee.com/m/Attis/31558/" TargetMode="External"/><Relationship Id="rId362" Type="http://schemas.openxmlformats.org/officeDocument/2006/relationships/hyperlink" Target="https://www.munzee.com/m/nicmar/10123/" TargetMode="External"/><Relationship Id="rId483" Type="http://schemas.openxmlformats.org/officeDocument/2006/relationships/hyperlink" Target="https://www.munzee.com/m/bordentaxi/11614" TargetMode="External"/><Relationship Id="rId240" Type="http://schemas.openxmlformats.org/officeDocument/2006/relationships/hyperlink" Target="https://www.munzee.com/m/kepke3/3317/" TargetMode="External"/><Relationship Id="rId361" Type="http://schemas.openxmlformats.org/officeDocument/2006/relationships/hyperlink" Target="https://www.munzee.com/m/Marnic/12462/" TargetMode="External"/><Relationship Id="rId482" Type="http://schemas.openxmlformats.org/officeDocument/2006/relationships/hyperlink" Target="https://www.munzee.com/m/Boersentrader/8023/" TargetMode="External"/><Relationship Id="rId360" Type="http://schemas.openxmlformats.org/officeDocument/2006/relationships/hyperlink" Target="https://www.munzee.com/m/piupardo/4977/admin/" TargetMode="External"/><Relationship Id="rId481" Type="http://schemas.openxmlformats.org/officeDocument/2006/relationships/hyperlink" Target="https://www.munzee.com/m/Johnsjen/4304/" TargetMode="External"/><Relationship Id="rId125" Type="http://schemas.openxmlformats.org/officeDocument/2006/relationships/hyperlink" Target="https://www.munzee.com/m/Mariabettina/3286/" TargetMode="External"/><Relationship Id="rId246" Type="http://schemas.openxmlformats.org/officeDocument/2006/relationships/hyperlink" Target="https://www.munzee.com/m/jm/2997/" TargetMode="External"/><Relationship Id="rId367" Type="http://schemas.openxmlformats.org/officeDocument/2006/relationships/hyperlink" Target="https://www.munzee.com/m/RoversEnd/4305/" TargetMode="External"/><Relationship Id="rId488" Type="http://schemas.openxmlformats.org/officeDocument/2006/relationships/hyperlink" Target="https://www.munzee.com/m/Jafo43/33592" TargetMode="External"/><Relationship Id="rId124" Type="http://schemas.openxmlformats.org/officeDocument/2006/relationships/hyperlink" Target="https://www.munzee.com/m/Trunte2002/3167/" TargetMode="External"/><Relationship Id="rId245" Type="http://schemas.openxmlformats.org/officeDocument/2006/relationships/hyperlink" Target="https://www.munzee.com/m/theLuckyFinders/3970" TargetMode="External"/><Relationship Id="rId366" Type="http://schemas.openxmlformats.org/officeDocument/2006/relationships/hyperlink" Target="https://www.munzee.com/m/does/1203/" TargetMode="External"/><Relationship Id="rId487" Type="http://schemas.openxmlformats.org/officeDocument/2006/relationships/hyperlink" Target="https://www.munzee.com/m/edwin21/1209" TargetMode="External"/><Relationship Id="rId123" Type="http://schemas.openxmlformats.org/officeDocument/2006/relationships/hyperlink" Target="https://www.munzee.com/m/Finnleo/3003/" TargetMode="External"/><Relationship Id="rId244" Type="http://schemas.openxmlformats.org/officeDocument/2006/relationships/hyperlink" Target="https://www.munzee.com/m/meka/8706/" TargetMode="External"/><Relationship Id="rId365" Type="http://schemas.openxmlformats.org/officeDocument/2006/relationships/hyperlink" Target="https://www.munzee.com/m/nicmar/10174/" TargetMode="External"/><Relationship Id="rId486" Type="http://schemas.openxmlformats.org/officeDocument/2006/relationships/hyperlink" Target="https://www.munzee.com/m/ahagmann/12061/" TargetMode="External"/><Relationship Id="rId122" Type="http://schemas.openxmlformats.org/officeDocument/2006/relationships/hyperlink" Target="https://www.munzee.com/m/paulus2012/8966" TargetMode="External"/><Relationship Id="rId243" Type="http://schemas.openxmlformats.org/officeDocument/2006/relationships/hyperlink" Target="https://www.munzee.com/m/Mon4ikaCriss/3619/" TargetMode="External"/><Relationship Id="rId364" Type="http://schemas.openxmlformats.org/officeDocument/2006/relationships/hyperlink" Target="https://www.munzee.com/m/Ingetje/5536/" TargetMode="External"/><Relationship Id="rId485" Type="http://schemas.openxmlformats.org/officeDocument/2006/relationships/hyperlink" Target="https://www.munzee.com/m/Jafo43/33593" TargetMode="External"/><Relationship Id="rId95" Type="http://schemas.openxmlformats.org/officeDocument/2006/relationships/hyperlink" Target="https://www.munzee.com/m/Wawie/958/" TargetMode="External"/><Relationship Id="rId94" Type="http://schemas.openxmlformats.org/officeDocument/2006/relationships/hyperlink" Target="https://www.munzee.com/m/Wawie/2376/" TargetMode="External"/><Relationship Id="rId97" Type="http://schemas.openxmlformats.org/officeDocument/2006/relationships/hyperlink" Target="https://www.munzee.com/m/DarbyJoan/3263/" TargetMode="External"/><Relationship Id="rId96" Type="http://schemas.openxmlformats.org/officeDocument/2006/relationships/hyperlink" Target="https://www.munzee.com/m/Helefant/5560" TargetMode="External"/><Relationship Id="rId99" Type="http://schemas.openxmlformats.org/officeDocument/2006/relationships/hyperlink" Target="https://www.munzee.com/m/FlamingoFlurrier/11217/" TargetMode="External"/><Relationship Id="rId480" Type="http://schemas.openxmlformats.org/officeDocument/2006/relationships/hyperlink" Target="https://www.munzee.com/m/does/1185/" TargetMode="External"/><Relationship Id="rId98" Type="http://schemas.openxmlformats.org/officeDocument/2006/relationships/hyperlink" Target="https://www.munzee.com/m/AmezorC/13879" TargetMode="External"/><Relationship Id="rId91" Type="http://schemas.openxmlformats.org/officeDocument/2006/relationships/hyperlink" Target="https://www.munzee.com/m/Hogglespike/10228" TargetMode="External"/><Relationship Id="rId90" Type="http://schemas.openxmlformats.org/officeDocument/2006/relationships/hyperlink" Target="https://www.munzee.com/m/paulus2012/8968" TargetMode="External"/><Relationship Id="rId93" Type="http://schemas.openxmlformats.org/officeDocument/2006/relationships/hyperlink" Target="https://www.munzee.com/m/Cadonkey/2041" TargetMode="External"/><Relationship Id="rId92" Type="http://schemas.openxmlformats.org/officeDocument/2006/relationships/hyperlink" Target="https://www.munzee.com/m/darrenjones/8811" TargetMode="External"/><Relationship Id="rId118" Type="http://schemas.openxmlformats.org/officeDocument/2006/relationships/hyperlink" Target="https://www.munzee.com/m/jm/3071/" TargetMode="External"/><Relationship Id="rId239" Type="http://schemas.openxmlformats.org/officeDocument/2006/relationships/hyperlink" Target="https://www.munzee.com/m/Mon4ikaCriss/3626/" TargetMode="External"/><Relationship Id="rId117" Type="http://schemas.openxmlformats.org/officeDocument/2006/relationships/hyperlink" Target="https://www.munzee.com/m/AmezorC/13774" TargetMode="External"/><Relationship Id="rId238" Type="http://schemas.openxmlformats.org/officeDocument/2006/relationships/hyperlink" Target="https://www.munzee.com/m/ChickenRun/22554/" TargetMode="External"/><Relationship Id="rId359" Type="http://schemas.openxmlformats.org/officeDocument/2006/relationships/hyperlink" Target="https://www.munzee.com/m/nicmar/10122/" TargetMode="External"/><Relationship Id="rId116" Type="http://schemas.openxmlformats.org/officeDocument/2006/relationships/hyperlink" Target="https://www.munzee.com/m/jm/3070/" TargetMode="External"/><Relationship Id="rId237" Type="http://schemas.openxmlformats.org/officeDocument/2006/relationships/hyperlink" Target="https://www.munzee.com/m/nicmar/10022/" TargetMode="External"/><Relationship Id="rId358" Type="http://schemas.openxmlformats.org/officeDocument/2006/relationships/hyperlink" Target="https://www.munzee.com/m/Marnic/12406/" TargetMode="External"/><Relationship Id="rId479" Type="http://schemas.openxmlformats.org/officeDocument/2006/relationships/hyperlink" Target="https://www.munzee.com/m/Intel9/517/" TargetMode="External"/><Relationship Id="rId115" Type="http://schemas.openxmlformats.org/officeDocument/2006/relationships/hyperlink" Target="https://www.munzee.com/m/keromar/8584/" TargetMode="External"/><Relationship Id="rId236" Type="http://schemas.openxmlformats.org/officeDocument/2006/relationships/hyperlink" Target="https://www.munzee.com/m/kepke3/3318/" TargetMode="External"/><Relationship Id="rId357" Type="http://schemas.openxmlformats.org/officeDocument/2006/relationships/hyperlink" Target="https://www.munzee.com/m/piupardo/4903/admin/" TargetMode="External"/><Relationship Id="rId478" Type="http://schemas.openxmlformats.org/officeDocument/2006/relationships/hyperlink" Target="https://www.munzee.com/m/Vezliukai/1736/" TargetMode="External"/><Relationship Id="rId119" Type="http://schemas.openxmlformats.org/officeDocument/2006/relationships/hyperlink" Target="https://www.munzee.com/m/Wawie/802/" TargetMode="External"/><Relationship Id="rId110" Type="http://schemas.openxmlformats.org/officeDocument/2006/relationships/hyperlink" Target="https://www.munzee.com/m/230Volt/1357/" TargetMode="External"/><Relationship Id="rId231" Type="http://schemas.openxmlformats.org/officeDocument/2006/relationships/hyperlink" Target="https://www.munzee.com/m/Jafo43/33596/" TargetMode="External"/><Relationship Id="rId352" Type="http://schemas.openxmlformats.org/officeDocument/2006/relationships/hyperlink" Target="https://www.munzee.com/m/Marnic/12377/" TargetMode="External"/><Relationship Id="rId473" Type="http://schemas.openxmlformats.org/officeDocument/2006/relationships/hyperlink" Target="https://www.munzee.com/m/Wawie/2431/" TargetMode="External"/><Relationship Id="rId230" Type="http://schemas.openxmlformats.org/officeDocument/2006/relationships/hyperlink" Target="https://www.munzee.com/m/Andrew81/1642" TargetMode="External"/><Relationship Id="rId351" Type="http://schemas.openxmlformats.org/officeDocument/2006/relationships/hyperlink" Target="https://www.munzee.com/m/Ingetje/5537/admin/" TargetMode="External"/><Relationship Id="rId472" Type="http://schemas.openxmlformats.org/officeDocument/2006/relationships/hyperlink" Target="https://www.munzee.com/m/Wawie/2468/" TargetMode="External"/><Relationship Id="rId350" Type="http://schemas.openxmlformats.org/officeDocument/2006/relationships/hyperlink" Target="https://www.munzee.com/m/nicmar/10034/" TargetMode="External"/><Relationship Id="rId471" Type="http://schemas.openxmlformats.org/officeDocument/2006/relationships/hyperlink" Target="https://www.munzee.com/m/Boersentrader/8264/" TargetMode="External"/><Relationship Id="rId470" Type="http://schemas.openxmlformats.org/officeDocument/2006/relationships/hyperlink" Target="https://www.munzee.com/m/Suomieven/12067/" TargetMode="External"/><Relationship Id="rId114" Type="http://schemas.openxmlformats.org/officeDocument/2006/relationships/hyperlink" Target="https://www.munzee.com/m/hems79/10588/" TargetMode="External"/><Relationship Id="rId235" Type="http://schemas.openxmlformats.org/officeDocument/2006/relationships/hyperlink" Target="https://www.munzee.com/m/RobS/4987/" TargetMode="External"/><Relationship Id="rId356" Type="http://schemas.openxmlformats.org/officeDocument/2006/relationships/hyperlink" Target="https://www.munzee.com/m/nicmar/10040/" TargetMode="External"/><Relationship Id="rId477" Type="http://schemas.openxmlformats.org/officeDocument/2006/relationships/hyperlink" Target="https://www.munzee.com/m/taska1981/7579/" TargetMode="External"/><Relationship Id="rId113" Type="http://schemas.openxmlformats.org/officeDocument/2006/relationships/hyperlink" Target="https://www.munzee.com/m/theLuckyFinders/4688/admin/" TargetMode="External"/><Relationship Id="rId234" Type="http://schemas.openxmlformats.org/officeDocument/2006/relationships/hyperlink" Target="https://www.munzee.com/m/sagabi/13171/" TargetMode="External"/><Relationship Id="rId355" Type="http://schemas.openxmlformats.org/officeDocument/2006/relationships/hyperlink" Target="https://www.munzee.com/m/Marnic/12382/" TargetMode="External"/><Relationship Id="rId476" Type="http://schemas.openxmlformats.org/officeDocument/2006/relationships/hyperlink" Target="https://www.munzee.com/m/TeamBlackie/1098/" TargetMode="External"/><Relationship Id="rId112" Type="http://schemas.openxmlformats.org/officeDocument/2006/relationships/hyperlink" Target="https://www.munzee.com/m/naturelover/10595" TargetMode="External"/><Relationship Id="rId233" Type="http://schemas.openxmlformats.org/officeDocument/2006/relationships/hyperlink" Target="https://www.munzee.com/m/CoalCracker7/15168/" TargetMode="External"/><Relationship Id="rId354" Type="http://schemas.openxmlformats.org/officeDocument/2006/relationships/hyperlink" Target="https://www.munzee.com/m/Ingetje/4582/admin/" TargetMode="External"/><Relationship Id="rId475" Type="http://schemas.openxmlformats.org/officeDocument/2006/relationships/hyperlink" Target="https://www.munzee.com/m/TeamBlackie/1099/" TargetMode="External"/><Relationship Id="rId111" Type="http://schemas.openxmlformats.org/officeDocument/2006/relationships/hyperlink" Target="https://www.munzee.com/m/heathcote07/7123" TargetMode="External"/><Relationship Id="rId232" Type="http://schemas.openxmlformats.org/officeDocument/2006/relationships/hyperlink" Target="https://www.munzee.com/m/Eskiss/5798" TargetMode="External"/><Relationship Id="rId353" Type="http://schemas.openxmlformats.org/officeDocument/2006/relationships/hyperlink" Target="https://www.munzee.com/m/nicmar/10037/" TargetMode="External"/><Relationship Id="rId474" Type="http://schemas.openxmlformats.org/officeDocument/2006/relationships/hyperlink" Target="https://www.munzee.com/m/Ingetje/5535" TargetMode="External"/><Relationship Id="rId305" Type="http://schemas.openxmlformats.org/officeDocument/2006/relationships/hyperlink" Target="https://www.munzee.com/m/nufrat/412/" TargetMode="External"/><Relationship Id="rId426" Type="http://schemas.openxmlformats.org/officeDocument/2006/relationships/hyperlink" Target="https://www.munzee.com/m/DeLeeuwen/3450/" TargetMode="External"/><Relationship Id="rId304" Type="http://schemas.openxmlformats.org/officeDocument/2006/relationships/hyperlink" Target="https://www.munzee.com/m/RobS/4996/" TargetMode="External"/><Relationship Id="rId425" Type="http://schemas.openxmlformats.org/officeDocument/2006/relationships/hyperlink" Target="https://www.munzee.com/m/humbird7/40405/" TargetMode="External"/><Relationship Id="rId303" Type="http://schemas.openxmlformats.org/officeDocument/2006/relationships/hyperlink" Target="https://www.munzee.com/m/gerardz/9485/" TargetMode="External"/><Relationship Id="rId424" Type="http://schemas.openxmlformats.org/officeDocument/2006/relationships/hyperlink" Target="https://www.munzee.com/m/Derlame/37182/" TargetMode="External"/><Relationship Id="rId302" Type="http://schemas.openxmlformats.org/officeDocument/2006/relationships/hyperlink" Target="https://www.munzee.com/m/granitente/12773/" TargetMode="External"/><Relationship Id="rId423" Type="http://schemas.openxmlformats.org/officeDocument/2006/relationships/hyperlink" Target="https://www.munzee.com/m/Johnsjen/3750/" TargetMode="External"/><Relationship Id="rId309" Type="http://schemas.openxmlformats.org/officeDocument/2006/relationships/hyperlink" Target="https://www.munzee.com/m/gerardz/9571/" TargetMode="External"/><Relationship Id="rId308" Type="http://schemas.openxmlformats.org/officeDocument/2006/relationships/hyperlink" Target="https://www.munzee.com/m/RobS/4998/" TargetMode="External"/><Relationship Id="rId429" Type="http://schemas.openxmlformats.org/officeDocument/2006/relationships/hyperlink" Target="https://www.munzee.com/m/Eskiss/5809" TargetMode="External"/><Relationship Id="rId307" Type="http://schemas.openxmlformats.org/officeDocument/2006/relationships/hyperlink" Target="https://www.munzee.com/m/granitente/12696/" TargetMode="External"/><Relationship Id="rId428" Type="http://schemas.openxmlformats.org/officeDocument/2006/relationships/hyperlink" Target="https://www.munzee.com/m/humbird7/43277/" TargetMode="External"/><Relationship Id="rId306" Type="http://schemas.openxmlformats.org/officeDocument/2006/relationships/hyperlink" Target="https://www.munzee.com/m/YankaBucs/12501/" TargetMode="External"/><Relationship Id="rId427" Type="http://schemas.openxmlformats.org/officeDocument/2006/relationships/hyperlink" Target="https://www.munzee.com/m/breinie/301/" TargetMode="External"/><Relationship Id="rId301" Type="http://schemas.openxmlformats.org/officeDocument/2006/relationships/hyperlink" Target="https://www.munzee.com/m/thelanes/23983/" TargetMode="External"/><Relationship Id="rId422" Type="http://schemas.openxmlformats.org/officeDocument/2006/relationships/hyperlink" Target="https://www.munzee.com/m/RoversEnd/3908/" TargetMode="External"/><Relationship Id="rId300" Type="http://schemas.openxmlformats.org/officeDocument/2006/relationships/hyperlink" Target="https://www.munzee.com/m/Warriors/6542/admin/" TargetMode="External"/><Relationship Id="rId421" Type="http://schemas.openxmlformats.org/officeDocument/2006/relationships/hyperlink" Target="https://www.munzee.com/m/FreezeMan073/2428/" TargetMode="External"/><Relationship Id="rId420" Type="http://schemas.openxmlformats.org/officeDocument/2006/relationships/hyperlink" Target="https://www.munzee.com/m/Lehmis/9476/" TargetMode="External"/><Relationship Id="rId415" Type="http://schemas.openxmlformats.org/officeDocument/2006/relationships/hyperlink" Target="https://www.munzee.com/m/theLuckyFinders/3920/" TargetMode="External"/><Relationship Id="rId414" Type="http://schemas.openxmlformats.org/officeDocument/2006/relationships/hyperlink" Target="https://www.munzee.com/m/Dikkedoos/3324/" TargetMode="External"/><Relationship Id="rId413" Type="http://schemas.openxmlformats.org/officeDocument/2006/relationships/hyperlink" Target="https://www.munzee.com/m/Ingetje/5408/admin/" TargetMode="External"/><Relationship Id="rId412" Type="http://schemas.openxmlformats.org/officeDocument/2006/relationships/hyperlink" Target="https://www.munzee.com/m/HtV/9713/" TargetMode="External"/><Relationship Id="rId419" Type="http://schemas.openxmlformats.org/officeDocument/2006/relationships/hyperlink" Target="https://www.munzee.com/m/halizwein/25205/" TargetMode="External"/><Relationship Id="rId418" Type="http://schemas.openxmlformats.org/officeDocument/2006/relationships/hyperlink" Target="https://www.munzee.com/m/DiSaRu/6729/admin/" TargetMode="External"/><Relationship Id="rId417" Type="http://schemas.openxmlformats.org/officeDocument/2006/relationships/hyperlink" Target="https://www.munzee.com/m/Tossie/11892/admin/" TargetMode="External"/><Relationship Id="rId416" Type="http://schemas.openxmlformats.org/officeDocument/2006/relationships/hyperlink" Target="https://www.munzee.com/m/Marnic/18343/" TargetMode="External"/><Relationship Id="rId411" Type="http://schemas.openxmlformats.org/officeDocument/2006/relationships/hyperlink" Target="https://www.munzee.com/m/TeamBlackie/1100/" TargetMode="External"/><Relationship Id="rId410" Type="http://schemas.openxmlformats.org/officeDocument/2006/relationships/hyperlink" Target="https://www.munzee.com/m/Ingetje/5443/" TargetMode="External"/><Relationship Id="rId206" Type="http://schemas.openxmlformats.org/officeDocument/2006/relationships/hyperlink" Target="https://www.munzee.com/m/sverlaan/6388/" TargetMode="External"/><Relationship Id="rId327" Type="http://schemas.openxmlformats.org/officeDocument/2006/relationships/hyperlink" Target="https://www.munzee.com/m/Alroso/2310/" TargetMode="External"/><Relationship Id="rId448" Type="http://schemas.openxmlformats.org/officeDocument/2006/relationships/hyperlink" Target="https://www.munzee.com/m/Ingetje/4141/admin/" TargetMode="External"/><Relationship Id="rId205" Type="http://schemas.openxmlformats.org/officeDocument/2006/relationships/hyperlink" Target="https://www.munzee.com/m/PawPatrolThomas/4400/" TargetMode="External"/><Relationship Id="rId326" Type="http://schemas.openxmlformats.org/officeDocument/2006/relationships/hyperlink" Target="https://www.munzee.com/m/Bisquick2/11509/" TargetMode="External"/><Relationship Id="rId447" Type="http://schemas.openxmlformats.org/officeDocument/2006/relationships/hyperlink" Target="https://www.munzee.com/m/babyw/4313/" TargetMode="External"/><Relationship Id="rId204" Type="http://schemas.openxmlformats.org/officeDocument/2006/relationships/hyperlink" Target="https://www.munzee.com/m/EmileP68/5244/" TargetMode="External"/><Relationship Id="rId325" Type="http://schemas.openxmlformats.org/officeDocument/2006/relationships/hyperlink" Target="https://www.munzee.com/m/RoversEnd/4328/" TargetMode="External"/><Relationship Id="rId446" Type="http://schemas.openxmlformats.org/officeDocument/2006/relationships/hyperlink" Target="https://www.munzee.com/m/Lanyasummer/7961/" TargetMode="External"/><Relationship Id="rId203" Type="http://schemas.openxmlformats.org/officeDocument/2006/relationships/hyperlink" Target="https://www.munzee.com/m/sverlaan/6455/" TargetMode="External"/><Relationship Id="rId324" Type="http://schemas.openxmlformats.org/officeDocument/2006/relationships/hyperlink" Target="https://www.munzee.com/m/LonelyWalker/889/" TargetMode="External"/><Relationship Id="rId445" Type="http://schemas.openxmlformats.org/officeDocument/2006/relationships/hyperlink" Target="https://www.munzee.com/m/Ingetje/4554/admin/" TargetMode="External"/><Relationship Id="rId209" Type="http://schemas.openxmlformats.org/officeDocument/2006/relationships/hyperlink" Target="https://www.munzee.com/m/theLuckyFinders/4025" TargetMode="External"/><Relationship Id="rId208" Type="http://schemas.openxmlformats.org/officeDocument/2006/relationships/hyperlink" Target="https://www.munzee.com/m/PawPatrolThomas/4184/" TargetMode="External"/><Relationship Id="rId329" Type="http://schemas.openxmlformats.org/officeDocument/2006/relationships/hyperlink" Target="https://www.munzee.com/m/Liekensboys/397/" TargetMode="External"/><Relationship Id="rId207" Type="http://schemas.openxmlformats.org/officeDocument/2006/relationships/hyperlink" Target="https://www.munzee.com/m/EmileP68/5234/" TargetMode="External"/><Relationship Id="rId328" Type="http://schemas.openxmlformats.org/officeDocument/2006/relationships/hyperlink" Target="https://www.munzee.com/m/anni56/20947/" TargetMode="External"/><Relationship Id="rId449" Type="http://schemas.openxmlformats.org/officeDocument/2006/relationships/hyperlink" Target="https://www.munzee.com/m/theLuckyFinders/3888" TargetMode="External"/><Relationship Id="rId440" Type="http://schemas.openxmlformats.org/officeDocument/2006/relationships/hyperlink" Target="https://www.munzee.com/m/Andrew81/1516" TargetMode="External"/><Relationship Id="rId202" Type="http://schemas.openxmlformats.org/officeDocument/2006/relationships/hyperlink" Target="https://www.munzee.com/m/PawPatrolThomas/4401/" TargetMode="External"/><Relationship Id="rId323" Type="http://schemas.openxmlformats.org/officeDocument/2006/relationships/hyperlink" Target="https://www.munzee.com/m/EmileP68/5406/" TargetMode="External"/><Relationship Id="rId444" Type="http://schemas.openxmlformats.org/officeDocument/2006/relationships/hyperlink" Target="https://www.munzee.com/m/Helefant/5629" TargetMode="External"/><Relationship Id="rId201" Type="http://schemas.openxmlformats.org/officeDocument/2006/relationships/hyperlink" Target="https://www.munzee.com/m/EmileP68/5297/" TargetMode="External"/><Relationship Id="rId322" Type="http://schemas.openxmlformats.org/officeDocument/2006/relationships/hyperlink" Target="https://www.munzee.com/m/rgforsythe/19440/" TargetMode="External"/><Relationship Id="rId443" Type="http://schemas.openxmlformats.org/officeDocument/2006/relationships/hyperlink" Target="https://www.munzee.com/m/mdtt/9321/" TargetMode="External"/><Relationship Id="rId200" Type="http://schemas.openxmlformats.org/officeDocument/2006/relationships/hyperlink" Target="https://www.munzee.com/m/sverlaan/6540/" TargetMode="External"/><Relationship Id="rId321" Type="http://schemas.openxmlformats.org/officeDocument/2006/relationships/hyperlink" Target="https://www.munzee.com/m/LonelyWalker/894/" TargetMode="External"/><Relationship Id="rId442" Type="http://schemas.openxmlformats.org/officeDocument/2006/relationships/hyperlink" Target="https://www.munzee.com/m/FreezeMan073/2429/" TargetMode="External"/><Relationship Id="rId320" Type="http://schemas.openxmlformats.org/officeDocument/2006/relationships/hyperlink" Target="https://www.munzee.com/m/raftjen/4264/" TargetMode="External"/><Relationship Id="rId441" Type="http://schemas.openxmlformats.org/officeDocument/2006/relationships/hyperlink" Target="https://www.munzee.com/m/gerardz/8138/" TargetMode="External"/><Relationship Id="rId316" Type="http://schemas.openxmlformats.org/officeDocument/2006/relationships/hyperlink" Target="https://www.munzee.com/m/mding4gold/11365" TargetMode="External"/><Relationship Id="rId437" Type="http://schemas.openxmlformats.org/officeDocument/2006/relationships/hyperlink" Target="https://www.munzee.com/m/Hogglespike/7533" TargetMode="External"/><Relationship Id="rId315" Type="http://schemas.openxmlformats.org/officeDocument/2006/relationships/hyperlink" Target="https://www.munzee.com/m/Emput1/2424/" TargetMode="External"/><Relationship Id="rId436" Type="http://schemas.openxmlformats.org/officeDocument/2006/relationships/hyperlink" Target="https://www.munzee.com/m/thelanes/23967/" TargetMode="External"/><Relationship Id="rId314" Type="http://schemas.openxmlformats.org/officeDocument/2006/relationships/hyperlink" Target="https://www.munzee.com/m/RobS/5042/" TargetMode="External"/><Relationship Id="rId435" Type="http://schemas.openxmlformats.org/officeDocument/2006/relationships/hyperlink" Target="https://www.munzee.com/m/CopperWings/2504/" TargetMode="External"/><Relationship Id="rId313" Type="http://schemas.openxmlformats.org/officeDocument/2006/relationships/hyperlink" Target="https://www.munzee.com/m/gerardz/9618/" TargetMode="External"/><Relationship Id="rId434" Type="http://schemas.openxmlformats.org/officeDocument/2006/relationships/hyperlink" Target="https://www.munzee.com/m/xptwo/35781/" TargetMode="External"/><Relationship Id="rId319" Type="http://schemas.openxmlformats.org/officeDocument/2006/relationships/hyperlink" Target="https://www.munzee.com/m/aufbau/16301" TargetMode="External"/><Relationship Id="rId318" Type="http://schemas.openxmlformats.org/officeDocument/2006/relationships/hyperlink" Target="https://www.munzee.com/m/tissa1020FoxhoundCepheus7/7766/" TargetMode="External"/><Relationship Id="rId439" Type="http://schemas.openxmlformats.org/officeDocument/2006/relationships/hyperlink" Target="https://www.munzee.com/m/Cadonkey/1663" TargetMode="External"/><Relationship Id="rId317" Type="http://schemas.openxmlformats.org/officeDocument/2006/relationships/hyperlink" Target="https://www.munzee.com/m/raftjen/4265/" TargetMode="External"/><Relationship Id="rId438" Type="http://schemas.openxmlformats.org/officeDocument/2006/relationships/hyperlink" Target="https://www.munzee.com/m/darrenjones/8525" TargetMode="External"/><Relationship Id="rId312" Type="http://schemas.openxmlformats.org/officeDocument/2006/relationships/hyperlink" Target="https://www.munzee.com/m/granitente/12695/" TargetMode="External"/><Relationship Id="rId433" Type="http://schemas.openxmlformats.org/officeDocument/2006/relationships/hyperlink" Target="https://www.munzee.com/m/Dinsdagskind/273/" TargetMode="External"/><Relationship Id="rId311" Type="http://schemas.openxmlformats.org/officeDocument/2006/relationships/hyperlink" Target="https://www.munzee.com/m/RobS/5033/" TargetMode="External"/><Relationship Id="rId432" Type="http://schemas.openxmlformats.org/officeDocument/2006/relationships/hyperlink" Target="https://www.munzee.com/m/Alroso/2582/" TargetMode="External"/><Relationship Id="rId310" Type="http://schemas.openxmlformats.org/officeDocument/2006/relationships/hyperlink" Target="https://www.munzee.com/m/Johnsjen/3971/" TargetMode="External"/><Relationship Id="rId431" Type="http://schemas.openxmlformats.org/officeDocument/2006/relationships/hyperlink" Target="https://www.munzee.com/m/humbird7/40245/" TargetMode="External"/><Relationship Id="rId430" Type="http://schemas.openxmlformats.org/officeDocument/2006/relationships/hyperlink" Target="https://www.munzee.com/m/Ingetje/4573/admin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unzee.com/m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unzee.com/map/u17b6ry3k/14.2" TargetMode="External"/><Relationship Id="rId2" Type="http://schemas.openxmlformats.org/officeDocument/2006/relationships/hyperlink" Target="https://tinyurl.com/4rt8vb6d" TargetMode="External"/><Relationship Id="rId3" Type="http://schemas.openxmlformats.org/officeDocument/2006/relationships/hyperlink" Target="https://www.munzee.com/m/Wawie/2323/" TargetMode="External"/><Relationship Id="rId4" Type="http://schemas.openxmlformats.org/officeDocument/2006/relationships/hyperlink" Target="https://www.munzee.com/m/raftjen/6865/" TargetMode="External"/><Relationship Id="rId9" Type="http://schemas.openxmlformats.org/officeDocument/2006/relationships/hyperlink" Target="https://www.munzee.com/m/Marcelkooyman/91/admin/" TargetMode="External"/><Relationship Id="rId5" Type="http://schemas.openxmlformats.org/officeDocument/2006/relationships/hyperlink" Target="https://www.munzee.com/m/does/1729/" TargetMode="External"/><Relationship Id="rId6" Type="http://schemas.openxmlformats.org/officeDocument/2006/relationships/hyperlink" Target="https://www.munzee.com/m/Marcelkooyman/170/" TargetMode="External"/><Relationship Id="rId7" Type="http://schemas.openxmlformats.org/officeDocument/2006/relationships/hyperlink" Target="https://www.munzee.com/m/Marcelkooyman/169/admin/" TargetMode="External"/><Relationship Id="rId8" Type="http://schemas.openxmlformats.org/officeDocument/2006/relationships/hyperlink" Target="https://www.munzee.com/m/Marcelkooyman/91/" TargetMode="External"/><Relationship Id="rId40" Type="http://schemas.openxmlformats.org/officeDocument/2006/relationships/hyperlink" Target="https://www.munzee.com/m/felixbongers/10944/" TargetMode="External"/><Relationship Id="rId42" Type="http://schemas.openxmlformats.org/officeDocument/2006/relationships/hyperlink" Target="https://www.munzee.com/m/bordentaxi/11429/" TargetMode="External"/><Relationship Id="rId41" Type="http://schemas.openxmlformats.org/officeDocument/2006/relationships/hyperlink" Target="https://www.munzee.com/m/feikjen/11281" TargetMode="External"/><Relationship Id="rId44" Type="http://schemas.openxmlformats.org/officeDocument/2006/relationships/hyperlink" Target="https://www.munzee.com/m/feikjen/11273" TargetMode="External"/><Relationship Id="rId43" Type="http://schemas.openxmlformats.org/officeDocument/2006/relationships/hyperlink" Target="https://www.munzee.com/m/felixbongers/10941/" TargetMode="External"/><Relationship Id="rId46" Type="http://schemas.openxmlformats.org/officeDocument/2006/relationships/hyperlink" Target="https://www.munzee.com/m/felixbongers/10558/" TargetMode="External"/><Relationship Id="rId45" Type="http://schemas.openxmlformats.org/officeDocument/2006/relationships/hyperlink" Target="https://www.munzee.com/m/bordentaxi/8241/" TargetMode="External"/><Relationship Id="rId48" Type="http://schemas.openxmlformats.org/officeDocument/2006/relationships/hyperlink" Target="https://www.munzee.com/m/bordentaxi/8332/" TargetMode="External"/><Relationship Id="rId47" Type="http://schemas.openxmlformats.org/officeDocument/2006/relationships/hyperlink" Target="https://www.munzee.com/m/feikjen/10805" TargetMode="External"/><Relationship Id="rId49" Type="http://schemas.openxmlformats.org/officeDocument/2006/relationships/hyperlink" Target="https://www.munzee.com/m/felixbongers/9685" TargetMode="External"/><Relationship Id="rId31" Type="http://schemas.openxmlformats.org/officeDocument/2006/relationships/hyperlink" Target="https://www.munzee.com/m/Trappertje/7446/" TargetMode="External"/><Relationship Id="rId30" Type="http://schemas.openxmlformats.org/officeDocument/2006/relationships/hyperlink" Target="https://www.munzee.com/m/Trappertje/7405/" TargetMode="External"/><Relationship Id="rId33" Type="http://schemas.openxmlformats.org/officeDocument/2006/relationships/hyperlink" Target="https://www.munzee.com/m/Trappertje/7810/" TargetMode="External"/><Relationship Id="rId32" Type="http://schemas.openxmlformats.org/officeDocument/2006/relationships/hyperlink" Target="https://www.munzee.com/m/Trappertje/7708/" TargetMode="External"/><Relationship Id="rId35" Type="http://schemas.openxmlformats.org/officeDocument/2006/relationships/hyperlink" Target="https://www.munzee.com/m/Trappertje/7854/" TargetMode="External"/><Relationship Id="rId34" Type="http://schemas.openxmlformats.org/officeDocument/2006/relationships/hyperlink" Target="https://www.munzee.com/m/Trappertje/7839/" TargetMode="External"/><Relationship Id="rId37" Type="http://schemas.openxmlformats.org/officeDocument/2006/relationships/hyperlink" Target="https://www.munzee.com/m/felixbongers/10945/" TargetMode="External"/><Relationship Id="rId36" Type="http://schemas.openxmlformats.org/officeDocument/2006/relationships/hyperlink" Target="https://www.munzee.com/m/bordentaxi/11434/" TargetMode="External"/><Relationship Id="rId39" Type="http://schemas.openxmlformats.org/officeDocument/2006/relationships/hyperlink" Target="https://www.munzee.com/m/bordentaxi/11433/" TargetMode="External"/><Relationship Id="rId38" Type="http://schemas.openxmlformats.org/officeDocument/2006/relationships/hyperlink" Target="https://www.munzee.com/m/feikjen/11282" TargetMode="External"/><Relationship Id="rId20" Type="http://schemas.openxmlformats.org/officeDocument/2006/relationships/hyperlink" Target="https://www.munzee.com/m/Trappertje/6857/" TargetMode="External"/><Relationship Id="rId22" Type="http://schemas.openxmlformats.org/officeDocument/2006/relationships/hyperlink" Target="https://www.munzee.com/m/Trappertje/6976/" TargetMode="External"/><Relationship Id="rId21" Type="http://schemas.openxmlformats.org/officeDocument/2006/relationships/hyperlink" Target="https://www.munzee.com/m/Trappertje/6963/" TargetMode="External"/><Relationship Id="rId24" Type="http://schemas.openxmlformats.org/officeDocument/2006/relationships/hyperlink" Target="https://www.munzee.com/m/Trappertje/6984/" TargetMode="External"/><Relationship Id="rId23" Type="http://schemas.openxmlformats.org/officeDocument/2006/relationships/hyperlink" Target="https://www.munzee.com/m/Trappertje/6981/" TargetMode="External"/><Relationship Id="rId26" Type="http://schemas.openxmlformats.org/officeDocument/2006/relationships/hyperlink" Target="https://www.munzee.com/m/Trappertje/7402/" TargetMode="External"/><Relationship Id="rId25" Type="http://schemas.openxmlformats.org/officeDocument/2006/relationships/hyperlink" Target="https://www.munzee.com/m/Trappertje/7047/" TargetMode="External"/><Relationship Id="rId28" Type="http://schemas.openxmlformats.org/officeDocument/2006/relationships/hyperlink" Target="https://www.munzee.com/m/Trappertje/7403/" TargetMode="External"/><Relationship Id="rId27" Type="http://schemas.openxmlformats.org/officeDocument/2006/relationships/hyperlink" Target="https://www.munzee.com/m/Anetzet/7655/" TargetMode="External"/><Relationship Id="rId29" Type="http://schemas.openxmlformats.org/officeDocument/2006/relationships/hyperlink" Target="https://www.munzee.com/m/Trappertje/7404/" TargetMode="External"/><Relationship Id="rId11" Type="http://schemas.openxmlformats.org/officeDocument/2006/relationships/hyperlink" Target="https://www.munzee.com/m/Trappertje/7049/" TargetMode="External"/><Relationship Id="rId10" Type="http://schemas.openxmlformats.org/officeDocument/2006/relationships/hyperlink" Target="https://www.munzee.com/m/Marcelkooyman/55/admin/convert/" TargetMode="External"/><Relationship Id="rId13" Type="http://schemas.openxmlformats.org/officeDocument/2006/relationships/hyperlink" Target="https://www.munzee.com/m/Trappertje/7068/" TargetMode="External"/><Relationship Id="rId12" Type="http://schemas.openxmlformats.org/officeDocument/2006/relationships/hyperlink" Target="https://www.munzee.com/m/Trappertje/7050/" TargetMode="External"/><Relationship Id="rId15" Type="http://schemas.openxmlformats.org/officeDocument/2006/relationships/hyperlink" Target="https://www.munzee.com/m/Anetzet/7659/" TargetMode="External"/><Relationship Id="rId14" Type="http://schemas.openxmlformats.org/officeDocument/2006/relationships/hyperlink" Target="https://www.munzee.com/m/Trappertje/7235/" TargetMode="External"/><Relationship Id="rId17" Type="http://schemas.openxmlformats.org/officeDocument/2006/relationships/hyperlink" Target="https://www.munzee.com/m/Trappertje/7312/" TargetMode="External"/><Relationship Id="rId16" Type="http://schemas.openxmlformats.org/officeDocument/2006/relationships/hyperlink" Target="https://www.munzee.com/m/Trappertje/7237/" TargetMode="External"/><Relationship Id="rId19" Type="http://schemas.openxmlformats.org/officeDocument/2006/relationships/hyperlink" Target="https://www.munzee.com/m/Thuishuis/12869" TargetMode="External"/><Relationship Id="rId18" Type="http://schemas.openxmlformats.org/officeDocument/2006/relationships/hyperlink" Target="https://www.munzee.com/m/Trappertje/12129/" TargetMode="External"/><Relationship Id="rId71" Type="http://schemas.openxmlformats.org/officeDocument/2006/relationships/drawing" Target="../drawings/drawing5.xml"/><Relationship Id="rId70" Type="http://schemas.openxmlformats.org/officeDocument/2006/relationships/hyperlink" Target="https://www.munzee.com/m/appeltje32/7810/" TargetMode="External"/><Relationship Id="rId62" Type="http://schemas.openxmlformats.org/officeDocument/2006/relationships/hyperlink" Target="https://www.munzee.com/m/bordentaxi/8568/" TargetMode="External"/><Relationship Id="rId61" Type="http://schemas.openxmlformats.org/officeDocument/2006/relationships/hyperlink" Target="https://www.munzee.com/m/feikjen/9653" TargetMode="External"/><Relationship Id="rId64" Type="http://schemas.openxmlformats.org/officeDocument/2006/relationships/hyperlink" Target="https://www.munzee.com/m/feikjen/8951" TargetMode="External"/><Relationship Id="rId63" Type="http://schemas.openxmlformats.org/officeDocument/2006/relationships/hyperlink" Target="https://www.munzee.com/m/felixbongers/8838/" TargetMode="External"/><Relationship Id="rId66" Type="http://schemas.openxmlformats.org/officeDocument/2006/relationships/hyperlink" Target="https://www.munzee.com/m/Anetzet/7227/" TargetMode="External"/><Relationship Id="rId65" Type="http://schemas.openxmlformats.org/officeDocument/2006/relationships/hyperlink" Target="https://www.munzee.com/m/appeltje32/7807/" TargetMode="External"/><Relationship Id="rId68" Type="http://schemas.openxmlformats.org/officeDocument/2006/relationships/hyperlink" Target="https://www.munzee.com/m/appeltje32/7808/" TargetMode="External"/><Relationship Id="rId67" Type="http://schemas.openxmlformats.org/officeDocument/2006/relationships/hyperlink" Target="https://www.munzee.com/m/Trappertje/5198/" TargetMode="External"/><Relationship Id="rId60" Type="http://schemas.openxmlformats.org/officeDocument/2006/relationships/hyperlink" Target="https://www.munzee.com/m/felixbongers/9437" TargetMode="External"/><Relationship Id="rId69" Type="http://schemas.openxmlformats.org/officeDocument/2006/relationships/hyperlink" Target="https://www.munzee.com/m/appeltje32/7809/" TargetMode="External"/><Relationship Id="rId51" Type="http://schemas.openxmlformats.org/officeDocument/2006/relationships/hyperlink" Target="https://www.munzee.com/m/Wawie/2190/" TargetMode="External"/><Relationship Id="rId50" Type="http://schemas.openxmlformats.org/officeDocument/2006/relationships/hyperlink" Target="https://www.munzee.com/m/feikjen/9921" TargetMode="External"/><Relationship Id="rId53" Type="http://schemas.openxmlformats.org/officeDocument/2006/relationships/hyperlink" Target="https://www.munzee.com/m/Wawie/1507/" TargetMode="External"/><Relationship Id="rId52" Type="http://schemas.openxmlformats.org/officeDocument/2006/relationships/hyperlink" Target="https://www.munzee.com/m/Wawie/1734/" TargetMode="External"/><Relationship Id="rId55" Type="http://schemas.openxmlformats.org/officeDocument/2006/relationships/hyperlink" Target="https://www.munzee.com/m/Trappertje/8461/" TargetMode="External"/><Relationship Id="rId54" Type="http://schemas.openxmlformats.org/officeDocument/2006/relationships/hyperlink" Target="https://www.munzee.com/m/Trappertje/7933/" TargetMode="External"/><Relationship Id="rId57" Type="http://schemas.openxmlformats.org/officeDocument/2006/relationships/hyperlink" Target="https://www.munzee.com/m/felixbongers/9596/" TargetMode="External"/><Relationship Id="rId56" Type="http://schemas.openxmlformats.org/officeDocument/2006/relationships/hyperlink" Target="https://www.munzee.com/m/bordentaxi/8339/" TargetMode="External"/><Relationship Id="rId59" Type="http://schemas.openxmlformats.org/officeDocument/2006/relationships/hyperlink" Target="https://www.munzee.com/m/bordentaxi/8341/" TargetMode="External"/><Relationship Id="rId58" Type="http://schemas.openxmlformats.org/officeDocument/2006/relationships/hyperlink" Target="https://www.munzee.com/m/feikjen/98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75" outlineLevelCol="1" outlineLevelRow="1"/>
  <cols>
    <col collapsed="1" customWidth="1" min="1" max="1" width="15.0"/>
    <col customWidth="1" hidden="1" min="2" max="2" width="5.38" outlineLevel="1"/>
    <col customWidth="1" hidden="1" min="3" max="3" width="6.0" outlineLevel="1"/>
    <col customWidth="1" min="4" max="4" width="11.0"/>
    <col customWidth="1" min="5" max="5" width="11.63"/>
    <col customWidth="1" min="6" max="6" width="25.38"/>
    <col customWidth="1" hidden="1" min="7" max="7" width="21.38"/>
    <col customWidth="1" min="8" max="8" width="21.0"/>
    <col customWidth="1" min="9" max="9" width="47.88"/>
    <col customWidth="1" min="10" max="10" width="24.88"/>
    <col customWidth="1" min="11" max="11" width="9.13"/>
    <col collapsed="1" min="13" max="13" width="12.63"/>
    <col customWidth="1" hidden="1" min="14" max="14" width="2.25" outlineLevel="1"/>
    <col customWidth="1" hidden="1" min="15" max="15" width="3.0" outlineLevel="1"/>
    <col customWidth="1" hidden="1" min="16" max="16" width="3.25" outlineLevel="1"/>
    <col customWidth="1" hidden="1" min="17" max="17" width="3.13" outlineLevel="1"/>
    <col hidden="1" min="18" max="18" width="12.63" outlineLevel="1"/>
    <col customWidth="1" hidden="1" min="19" max="19" width="7.38" outlineLevel="1"/>
    <col hidden="1" min="20" max="20" width="12.63" outlineLevel="1"/>
    <col customWidth="1" hidden="1" min="21" max="21" width="6.25" outlineLevel="1"/>
    <col customWidth="1" hidden="1" min="22" max="22" width="5.88" outlineLevel="1"/>
    <col customWidth="1" hidden="1" min="23" max="23" width="4.63" outlineLevel="1"/>
    <col hidden="1" min="24" max="24" width="12.63" outlineLevel="1"/>
    <col customWidth="1" hidden="1" min="25" max="25" width="41.5" outlineLevel="1"/>
  </cols>
  <sheetData>
    <row r="1" ht="18.75" customHeight="1">
      <c r="A1" s="1"/>
      <c r="B1" s="2"/>
      <c r="C1" s="2"/>
      <c r="D1" s="3" t="s">
        <v>0</v>
      </c>
      <c r="E1" s="4"/>
      <c r="F1" s="4"/>
      <c r="G1" s="4"/>
      <c r="H1" s="5"/>
      <c r="I1" s="6"/>
      <c r="J1" s="7" t="s">
        <v>1</v>
      </c>
      <c r="K1" s="8">
        <f>COUNTA(A9:A576)</f>
        <v>568</v>
      </c>
      <c r="L1" s="9"/>
      <c r="N1" s="10" t="s">
        <v>2</v>
      </c>
      <c r="R1" s="11" t="s">
        <v>3</v>
      </c>
      <c r="T1" s="12" t="s">
        <v>4</v>
      </c>
      <c r="U1" s="13" t="s">
        <v>5</v>
      </c>
      <c r="V1" s="14"/>
      <c r="W1" s="15"/>
      <c r="X1" s="16"/>
      <c r="Y1" s="16"/>
    </row>
    <row r="2" ht="18.75" customHeight="1">
      <c r="B2" s="2"/>
      <c r="C2" s="2"/>
      <c r="D2" s="17"/>
      <c r="H2" s="18"/>
      <c r="I2" s="19"/>
      <c r="J2" s="20" t="s">
        <v>6</v>
      </c>
      <c r="K2" s="21">
        <f>COUNTIF(U9:U576,1)</f>
        <v>0</v>
      </c>
      <c r="N2" s="10" t="s">
        <v>7</v>
      </c>
      <c r="T2" s="22"/>
      <c r="U2" s="23"/>
      <c r="V2" s="24"/>
      <c r="W2" s="25"/>
      <c r="X2" s="16"/>
      <c r="Y2" s="16"/>
    </row>
    <row r="3" ht="18.75" customHeight="1">
      <c r="B3" s="26"/>
      <c r="C3" s="27"/>
      <c r="D3" s="28" t="s">
        <v>8</v>
      </c>
      <c r="E3" s="29"/>
      <c r="F3" s="29"/>
      <c r="G3" s="29"/>
      <c r="H3" s="30"/>
      <c r="I3" s="19"/>
      <c r="J3" s="31" t="s">
        <v>9</v>
      </c>
      <c r="K3" s="32">
        <f>COUNTIF(V10:V576,1)</f>
        <v>0</v>
      </c>
      <c r="N3" s="33"/>
      <c r="O3" s="33"/>
      <c r="P3" s="33"/>
      <c r="Q3" s="33"/>
      <c r="T3" s="22"/>
      <c r="U3" s="23"/>
      <c r="V3" s="24"/>
      <c r="W3" s="25"/>
      <c r="X3" s="16"/>
      <c r="Y3" s="16"/>
    </row>
    <row r="4" ht="18.75" customHeight="1">
      <c r="B4" s="1"/>
      <c r="C4" s="27"/>
      <c r="D4" s="34" t="s">
        <v>10</v>
      </c>
      <c r="E4" s="35"/>
      <c r="F4" s="36" t="s">
        <v>11</v>
      </c>
      <c r="G4" s="37"/>
      <c r="H4" s="38" t="s">
        <v>12</v>
      </c>
      <c r="I4" s="19"/>
      <c r="J4" s="39" t="s">
        <v>13</v>
      </c>
      <c r="K4" s="32">
        <f>COUNTIF(W9:W576,1)</f>
        <v>0</v>
      </c>
      <c r="N4" s="33"/>
      <c r="O4" s="33"/>
      <c r="P4" s="33"/>
      <c r="Q4" s="33"/>
      <c r="R4" s="40">
        <f>TODAY()</f>
        <v>45185</v>
      </c>
      <c r="T4" s="22"/>
      <c r="U4" s="23"/>
      <c r="V4" s="24"/>
      <c r="W4" s="25"/>
      <c r="X4" s="16"/>
      <c r="Y4" s="16"/>
    </row>
    <row r="5" ht="18.75" customHeight="1">
      <c r="B5" s="1"/>
      <c r="C5" s="27"/>
      <c r="D5" s="34" t="s">
        <v>14</v>
      </c>
      <c r="E5" s="35"/>
      <c r="G5" s="41">
        <f>COUNTIF(H13:S576,"#REF!")</f>
        <v>0</v>
      </c>
      <c r="H5" s="38" t="s">
        <v>15</v>
      </c>
      <c r="I5" s="19"/>
      <c r="J5" s="42" t="s">
        <v>16</v>
      </c>
      <c r="K5" s="43">
        <f>COUNTIF(K9:K576,TRUE)</f>
        <v>568</v>
      </c>
      <c r="N5" s="33"/>
      <c r="O5" s="33"/>
      <c r="P5" s="33"/>
      <c r="Q5" s="33"/>
      <c r="R5" s="44"/>
      <c r="S5" s="44"/>
      <c r="T5" s="22"/>
      <c r="U5" s="23"/>
      <c r="V5" s="24"/>
      <c r="W5" s="25"/>
      <c r="X5" s="16"/>
      <c r="Y5" s="16"/>
    </row>
    <row r="6" ht="18.75" customHeight="1">
      <c r="B6" s="1"/>
      <c r="C6" s="27"/>
      <c r="D6" s="34" t="s">
        <v>17</v>
      </c>
      <c r="E6" s="35"/>
      <c r="F6" s="45" t="s">
        <v>18</v>
      </c>
      <c r="G6" s="46"/>
      <c r="H6" s="47"/>
      <c r="I6" s="48"/>
      <c r="J6" s="49" t="s">
        <v>19</v>
      </c>
      <c r="K6" s="50">
        <f>Overview!G3</f>
        <v>19350</v>
      </c>
      <c r="N6" s="33"/>
      <c r="O6" s="33"/>
      <c r="P6" s="33"/>
      <c r="Q6" s="33"/>
      <c r="R6" s="44"/>
      <c r="S6" s="44"/>
      <c r="T6" s="22"/>
      <c r="U6" s="24" t="s">
        <v>20</v>
      </c>
      <c r="V6" s="24" t="s">
        <v>21</v>
      </c>
      <c r="W6" s="25" t="s">
        <v>22</v>
      </c>
      <c r="X6" s="16"/>
      <c r="Y6" s="16"/>
    </row>
    <row r="7" ht="18.75" customHeight="1">
      <c r="A7" s="51" t="s">
        <v>23</v>
      </c>
      <c r="B7" s="1"/>
      <c r="C7" s="27"/>
      <c r="D7" s="1"/>
      <c r="E7" s="35"/>
      <c r="G7" s="46"/>
      <c r="H7" s="51" t="s">
        <v>24</v>
      </c>
      <c r="I7" s="51" t="s">
        <v>25</v>
      </c>
      <c r="J7" s="52" t="s">
        <v>26</v>
      </c>
      <c r="K7" s="53">
        <f>Overview!H3</f>
        <v>1</v>
      </c>
      <c r="N7" s="33"/>
      <c r="O7" s="33"/>
      <c r="P7" s="33"/>
      <c r="Q7" s="33"/>
      <c r="R7" s="44"/>
      <c r="S7" s="44"/>
      <c r="T7" s="22"/>
      <c r="U7" s="54">
        <f t="shared" ref="U7:W7" si="1">SUM(U9:U576)</f>
        <v>0</v>
      </c>
      <c r="V7" s="54">
        <f t="shared" si="1"/>
        <v>0</v>
      </c>
      <c r="W7" s="55">
        <f t="shared" si="1"/>
        <v>0</v>
      </c>
      <c r="X7" s="16"/>
      <c r="Y7" s="16"/>
    </row>
    <row r="8" ht="18.75" customHeight="1" collapsed="1">
      <c r="A8" s="56" t="s">
        <v>27</v>
      </c>
      <c r="B8" s="56" t="s">
        <v>28</v>
      </c>
      <c r="C8" s="56" t="s">
        <v>29</v>
      </c>
      <c r="D8" s="56" t="s">
        <v>30</v>
      </c>
      <c r="E8" s="56" t="s">
        <v>31</v>
      </c>
      <c r="F8" s="57" t="s">
        <v>32</v>
      </c>
      <c r="G8" s="56" t="s">
        <v>33</v>
      </c>
      <c r="H8" s="56" t="s">
        <v>34</v>
      </c>
      <c r="I8" s="56" t="s">
        <v>35</v>
      </c>
      <c r="J8" s="56" t="s">
        <v>36</v>
      </c>
      <c r="K8" s="56" t="s">
        <v>37</v>
      </c>
      <c r="L8" s="57" t="s">
        <v>38</v>
      </c>
      <c r="M8" s="57" t="s">
        <v>39</v>
      </c>
      <c r="N8" s="56" t="s">
        <v>40</v>
      </c>
      <c r="O8" s="56" t="s">
        <v>41</v>
      </c>
      <c r="P8" s="56" t="s">
        <v>42</v>
      </c>
      <c r="Q8" s="56" t="s">
        <v>43</v>
      </c>
      <c r="R8" s="58" t="s">
        <v>44</v>
      </c>
      <c r="S8" s="59" t="s">
        <v>45</v>
      </c>
      <c r="T8" s="58" t="s">
        <v>46</v>
      </c>
      <c r="U8" s="56" t="s">
        <v>20</v>
      </c>
      <c r="V8" s="56" t="s">
        <v>21</v>
      </c>
      <c r="W8" s="56" t="s">
        <v>47</v>
      </c>
      <c r="X8" s="56" t="s">
        <v>48</v>
      </c>
      <c r="Y8" s="60" t="s">
        <v>49</v>
      </c>
    </row>
    <row r="9" hidden="1" outlineLevel="1">
      <c r="A9" s="61" t="s">
        <v>50</v>
      </c>
      <c r="B9" s="62">
        <v>1.0</v>
      </c>
      <c r="C9" s="62">
        <v>7.0</v>
      </c>
      <c r="D9" s="63">
        <v>52.122441</v>
      </c>
      <c r="E9" s="64">
        <v>5.382116</v>
      </c>
      <c r="F9" s="65" t="s">
        <v>51</v>
      </c>
      <c r="G9" s="65" t="s">
        <v>52</v>
      </c>
      <c r="H9" s="66" t="s">
        <v>53</v>
      </c>
      <c r="I9" s="67" t="s">
        <v>54</v>
      </c>
      <c r="J9" s="68" t="s">
        <v>55</v>
      </c>
      <c r="K9" s="65" t="b">
        <v>1</v>
      </c>
      <c r="L9" s="69" t="str">
        <f t="shared" ref="L9:L576" si="2">IF(TRIM(M9)="Deployed",HYPERLINK(Y9&amp;"map/?lat="&amp;$D9&amp;"&amp;lon="&amp;$E9&amp;"&amp;type="&amp;F9,"Munzee"),"")</f>
        <v/>
      </c>
      <c r="M9" s="70" t="str">
        <f>IFERROR(__xludf.DUMMYFUNCTION("IF(W9=1,IFERROR(IMPORTXML(I9, ""//p[@class='status-date']""), ""Not deployed""),"""")"),"")</f>
        <v/>
      </c>
      <c r="N9" s="71"/>
      <c r="O9" s="69"/>
      <c r="P9" s="69"/>
      <c r="Q9" s="69"/>
      <c r="R9" s="72" t="str">
        <f t="shared" ref="R9:R299" si="3">IF(K9=TRUE,"",IF(I9&lt;&gt;"",T9,""))</f>
        <v/>
      </c>
      <c r="S9" s="73" t="str">
        <f t="shared" ref="S9:S576" si="4">IF(ISDATE(R9),DAYS($R$4,R9),"")</f>
        <v/>
      </c>
      <c r="T9" s="74"/>
      <c r="U9" s="71">
        <f t="shared" ref="U9:U576" si="5">IF(H9="",1,0)</f>
        <v>0</v>
      </c>
      <c r="V9" s="69">
        <f t="shared" ref="V9:V576" si="6">IF(ISURL(I9),0,IF(H9="",0,1))</f>
        <v>0</v>
      </c>
      <c r="W9" s="70">
        <f t="shared" ref="W9:W576" si="7">IF(K9=TRUE,0,IF(ISTEXT(I9),1,0))</f>
        <v>0</v>
      </c>
      <c r="X9" s="71" t="str">
        <f t="shared" ref="X9:X460" si="8">iferror(mid(I9,26,find("/",I9,26)-26),"")</f>
        <v>Wawie</v>
      </c>
      <c r="Y9" s="75" t="str">
        <f t="shared" ref="Y9:Y460" si="9">SUBSTITUTE(SUBSTITUTE(if(right($I9)="/",$I9,$I9&amp;"/"),"/admin",""),"/map","")</f>
        <v>https://www.munzee.com/m/Wawie/2323/</v>
      </c>
    </row>
    <row r="10" hidden="1" outlineLevel="1">
      <c r="A10" s="76" t="s">
        <v>56</v>
      </c>
      <c r="B10" s="77">
        <v>1.0</v>
      </c>
      <c r="C10" s="77">
        <v>8.0</v>
      </c>
      <c r="D10" s="64">
        <v>52.122441</v>
      </c>
      <c r="E10" s="64">
        <v>5.38235</v>
      </c>
      <c r="F10" s="78" t="s">
        <v>57</v>
      </c>
      <c r="G10" s="78" t="s">
        <v>58</v>
      </c>
      <c r="H10" s="78" t="s">
        <v>59</v>
      </c>
      <c r="I10" s="79" t="s">
        <v>60</v>
      </c>
      <c r="J10" s="80"/>
      <c r="K10" s="78" t="b">
        <v>1</v>
      </c>
      <c r="L10" s="66" t="str">
        <f t="shared" si="2"/>
        <v/>
      </c>
      <c r="M10" s="81" t="str">
        <f>IFERROR(__xludf.DUMMYFUNCTION("IF(W10=1,IFERROR(IMPORTXML(I10, ""//p[@class='status-date']""), ""Not deployed""),"""")"),"")</f>
        <v/>
      </c>
      <c r="N10" s="82"/>
      <c r="O10" s="66"/>
      <c r="P10" s="66"/>
      <c r="Q10" s="66"/>
      <c r="R10" s="83" t="str">
        <f t="shared" si="3"/>
        <v/>
      </c>
      <c r="S10" s="84" t="str">
        <f t="shared" si="4"/>
        <v/>
      </c>
      <c r="T10" s="85"/>
      <c r="U10" s="82">
        <f t="shared" si="5"/>
        <v>0</v>
      </c>
      <c r="V10" s="66">
        <f t="shared" si="6"/>
        <v>0</v>
      </c>
      <c r="W10" s="81">
        <f t="shared" si="7"/>
        <v>0</v>
      </c>
      <c r="X10" s="82" t="str">
        <f t="shared" si="8"/>
        <v>DeLeeuwen</v>
      </c>
      <c r="Y10" s="86" t="str">
        <f t="shared" si="9"/>
        <v>https://www.munzee.com/m/DeLeeuwen/6066/</v>
      </c>
    </row>
    <row r="11" hidden="1" outlineLevel="1">
      <c r="A11" s="76" t="s">
        <v>61</v>
      </c>
      <c r="B11" s="77">
        <v>1.0</v>
      </c>
      <c r="C11" s="77">
        <v>9.0</v>
      </c>
      <c r="D11" s="64">
        <v>52.122441</v>
      </c>
      <c r="E11" s="64">
        <v>5.382584</v>
      </c>
      <c r="F11" s="78" t="s">
        <v>57</v>
      </c>
      <c r="G11" s="78" t="s">
        <v>58</v>
      </c>
      <c r="H11" s="78" t="s">
        <v>62</v>
      </c>
      <c r="I11" s="79" t="s">
        <v>63</v>
      </c>
      <c r="J11" s="80"/>
      <c r="K11" s="78" t="b">
        <v>1</v>
      </c>
      <c r="L11" s="66" t="str">
        <f t="shared" si="2"/>
        <v/>
      </c>
      <c r="M11" s="81" t="str">
        <f>IFERROR(__xludf.DUMMYFUNCTION("IF(W11=1,IFERROR(IMPORTXML(I11, ""//p[@class='status-date']""), ""Not deployed""),"""")"),"")</f>
        <v/>
      </c>
      <c r="N11" s="82"/>
      <c r="O11" s="66"/>
      <c r="P11" s="66"/>
      <c r="Q11" s="66"/>
      <c r="R11" s="83" t="str">
        <f t="shared" si="3"/>
        <v/>
      </c>
      <c r="S11" s="84" t="str">
        <f t="shared" si="4"/>
        <v/>
      </c>
      <c r="T11" s="85"/>
      <c r="U11" s="82">
        <f t="shared" si="5"/>
        <v>0</v>
      </c>
      <c r="V11" s="66">
        <f t="shared" si="6"/>
        <v>0</v>
      </c>
      <c r="W11" s="81">
        <f t="shared" si="7"/>
        <v>0</v>
      </c>
      <c r="X11" s="82" t="str">
        <f t="shared" si="8"/>
        <v>keromar</v>
      </c>
      <c r="Y11" s="86" t="str">
        <f t="shared" si="9"/>
        <v>https://www.munzee.com/m/keromar/8294/</v>
      </c>
    </row>
    <row r="12" hidden="1" outlineLevel="1">
      <c r="A12" s="76" t="s">
        <v>64</v>
      </c>
      <c r="B12" s="77">
        <v>1.0</v>
      </c>
      <c r="C12" s="77">
        <v>10.0</v>
      </c>
      <c r="D12" s="64">
        <v>52.122441</v>
      </c>
      <c r="E12" s="64">
        <v>5.382818</v>
      </c>
      <c r="F12" s="78" t="s">
        <v>57</v>
      </c>
      <c r="G12" s="78" t="s">
        <v>58</v>
      </c>
      <c r="H12" s="78" t="s">
        <v>53</v>
      </c>
      <c r="I12" s="87" t="s">
        <v>65</v>
      </c>
      <c r="J12" s="88"/>
      <c r="K12" s="78" t="b">
        <v>1</v>
      </c>
      <c r="L12" s="66" t="str">
        <f t="shared" si="2"/>
        <v/>
      </c>
      <c r="M12" s="81" t="str">
        <f>IFERROR(__xludf.DUMMYFUNCTION("IF(W12=1,IFERROR(IMPORTXML(I12, ""//p[@class='status-date']""), ""Not deployed""),"""")"),"")</f>
        <v/>
      </c>
      <c r="N12" s="82"/>
      <c r="O12" s="66"/>
      <c r="P12" s="66"/>
      <c r="Q12" s="66"/>
      <c r="R12" s="83" t="str">
        <f t="shared" si="3"/>
        <v/>
      </c>
      <c r="S12" s="84" t="str">
        <f t="shared" si="4"/>
        <v/>
      </c>
      <c r="T12" s="85"/>
      <c r="U12" s="82">
        <f t="shared" si="5"/>
        <v>0</v>
      </c>
      <c r="V12" s="66">
        <f t="shared" si="6"/>
        <v>0</v>
      </c>
      <c r="W12" s="81">
        <f t="shared" si="7"/>
        <v>0</v>
      </c>
      <c r="X12" s="82" t="str">
        <f t="shared" si="8"/>
        <v>Wawie</v>
      </c>
      <c r="Y12" s="86" t="str">
        <f t="shared" si="9"/>
        <v>https://www.munzee.com/m/Wawie/2306/</v>
      </c>
    </row>
    <row r="13" hidden="1" outlineLevel="1">
      <c r="A13" s="76" t="s">
        <v>66</v>
      </c>
      <c r="B13" s="77">
        <v>1.0</v>
      </c>
      <c r="C13" s="77">
        <v>11.0</v>
      </c>
      <c r="D13" s="64">
        <v>52.122441</v>
      </c>
      <c r="E13" s="64">
        <v>5.383052</v>
      </c>
      <c r="F13" s="65" t="s">
        <v>51</v>
      </c>
      <c r="G13" s="78" t="s">
        <v>52</v>
      </c>
      <c r="H13" s="78" t="s">
        <v>67</v>
      </c>
      <c r="I13" s="79" t="s">
        <v>68</v>
      </c>
      <c r="J13" s="89"/>
      <c r="K13" s="78" t="b">
        <v>1</v>
      </c>
      <c r="L13" s="66" t="str">
        <f t="shared" si="2"/>
        <v/>
      </c>
      <c r="M13" s="81" t="str">
        <f>IFERROR(__xludf.DUMMYFUNCTION("IF(W13=1,IFERROR(IMPORTXML(I13, ""//p[@class='status-date']""), ""Not deployed""),"""")"),"")</f>
        <v/>
      </c>
      <c r="N13" s="82"/>
      <c r="O13" s="66"/>
      <c r="P13" s="66"/>
      <c r="Q13" s="66"/>
      <c r="R13" s="83" t="str">
        <f t="shared" si="3"/>
        <v/>
      </c>
      <c r="S13" s="84" t="str">
        <f t="shared" si="4"/>
        <v/>
      </c>
      <c r="T13" s="85"/>
      <c r="U13" s="82">
        <f t="shared" si="5"/>
        <v>0</v>
      </c>
      <c r="V13" s="66">
        <f t="shared" si="6"/>
        <v>0</v>
      </c>
      <c r="W13" s="81">
        <f t="shared" si="7"/>
        <v>0</v>
      </c>
      <c r="X13" s="82" t="str">
        <f t="shared" si="8"/>
        <v>MarioVN</v>
      </c>
      <c r="Y13" s="86" t="str">
        <f t="shared" si="9"/>
        <v>https://www.munzee.com/m/MarioVN/1763/</v>
      </c>
    </row>
    <row r="14" hidden="1" outlineLevel="1">
      <c r="A14" s="76" t="s">
        <v>69</v>
      </c>
      <c r="B14" s="77">
        <v>2.0</v>
      </c>
      <c r="C14" s="77">
        <v>6.0</v>
      </c>
      <c r="D14" s="64">
        <v>52.122298</v>
      </c>
      <c r="E14" s="64">
        <v>5.381882</v>
      </c>
      <c r="F14" s="78" t="s">
        <v>70</v>
      </c>
      <c r="G14" s="78" t="s">
        <v>71</v>
      </c>
      <c r="H14" s="78" t="s">
        <v>72</v>
      </c>
      <c r="I14" s="79" t="s">
        <v>73</v>
      </c>
      <c r="J14" s="90"/>
      <c r="K14" s="78" t="b">
        <v>1</v>
      </c>
      <c r="L14" s="66" t="str">
        <f t="shared" si="2"/>
        <v/>
      </c>
      <c r="M14" s="81" t="str">
        <f>IFERROR(__xludf.DUMMYFUNCTION("IF(W14=1,IFERROR(IMPORTXML(I14, ""//p[@class='status-date']""), ""Not deployed""),"""")"),"")</f>
        <v/>
      </c>
      <c r="N14" s="82"/>
      <c r="O14" s="66"/>
      <c r="P14" s="66"/>
      <c r="Q14" s="66"/>
      <c r="R14" s="83" t="str">
        <f t="shared" si="3"/>
        <v/>
      </c>
      <c r="S14" s="84" t="str">
        <f t="shared" si="4"/>
        <v/>
      </c>
      <c r="T14" s="85"/>
      <c r="U14" s="82">
        <f t="shared" si="5"/>
        <v>0</v>
      </c>
      <c r="V14" s="66">
        <f t="shared" si="6"/>
        <v>0</v>
      </c>
      <c r="W14" s="81">
        <f t="shared" si="7"/>
        <v>0</v>
      </c>
      <c r="X14" s="82" t="str">
        <f t="shared" si="8"/>
        <v>AmezorC</v>
      </c>
      <c r="Y14" s="86" t="str">
        <f t="shared" si="9"/>
        <v>https://www.munzee.com/m/AmezorC/13975/</v>
      </c>
    </row>
    <row r="15" hidden="1" outlineLevel="1">
      <c r="A15" s="76" t="s">
        <v>74</v>
      </c>
      <c r="B15" s="77">
        <v>2.0</v>
      </c>
      <c r="C15" s="77">
        <v>7.0</v>
      </c>
      <c r="D15" s="64">
        <v>52.122298</v>
      </c>
      <c r="E15" s="64">
        <v>5.382116</v>
      </c>
      <c r="F15" s="78" t="s">
        <v>57</v>
      </c>
      <c r="G15" s="78" t="s">
        <v>58</v>
      </c>
      <c r="H15" s="78" t="s">
        <v>75</v>
      </c>
      <c r="I15" s="79" t="s">
        <v>76</v>
      </c>
      <c r="J15" s="91"/>
      <c r="K15" s="78" t="b">
        <v>1</v>
      </c>
      <c r="L15" s="66" t="str">
        <f t="shared" si="2"/>
        <v/>
      </c>
      <c r="M15" s="81" t="str">
        <f>IFERROR(__xludf.DUMMYFUNCTION("IF(W15=1,IFERROR(IMPORTXML(I15, ""//p[@class='status-date']""), ""Not deployed""),"""")"),"")</f>
        <v/>
      </c>
      <c r="N15" s="82"/>
      <c r="O15" s="66"/>
      <c r="P15" s="66"/>
      <c r="Q15" s="66"/>
      <c r="R15" s="83" t="str">
        <f t="shared" si="3"/>
        <v/>
      </c>
      <c r="S15" s="84" t="str">
        <f t="shared" si="4"/>
        <v/>
      </c>
      <c r="T15" s="85"/>
      <c r="U15" s="82">
        <f t="shared" si="5"/>
        <v>0</v>
      </c>
      <c r="V15" s="66">
        <f t="shared" si="6"/>
        <v>0</v>
      </c>
      <c r="W15" s="81">
        <f t="shared" si="7"/>
        <v>0</v>
      </c>
      <c r="X15" s="82" t="str">
        <f t="shared" si="8"/>
        <v>Ingetje</v>
      </c>
      <c r="Y15" s="86" t="str">
        <f t="shared" si="9"/>
        <v>https://www.munzee.com/m/Ingetje/5710/</v>
      </c>
    </row>
    <row r="16" hidden="1" outlineLevel="1">
      <c r="A16" s="76" t="s">
        <v>77</v>
      </c>
      <c r="B16" s="77">
        <v>2.0</v>
      </c>
      <c r="C16" s="77">
        <v>8.0</v>
      </c>
      <c r="D16" s="64">
        <v>52.122298</v>
      </c>
      <c r="E16" s="64">
        <v>5.38235</v>
      </c>
      <c r="F16" s="78" t="s">
        <v>78</v>
      </c>
      <c r="G16" s="78" t="s">
        <v>79</v>
      </c>
      <c r="H16" s="78" t="s">
        <v>80</v>
      </c>
      <c r="I16" s="79" t="s">
        <v>81</v>
      </c>
      <c r="J16" s="90"/>
      <c r="K16" s="78" t="b">
        <v>1</v>
      </c>
      <c r="L16" s="66" t="str">
        <f t="shared" si="2"/>
        <v/>
      </c>
      <c r="M16" s="81" t="str">
        <f>IFERROR(__xludf.DUMMYFUNCTION("IF(W16=1,IFERROR(IMPORTXML(I16, ""//p[@class='status-date']""), ""Not deployed""),"""")"),"")</f>
        <v/>
      </c>
      <c r="N16" s="82"/>
      <c r="O16" s="66"/>
      <c r="P16" s="66"/>
      <c r="Q16" s="66"/>
      <c r="R16" s="83" t="str">
        <f t="shared" si="3"/>
        <v/>
      </c>
      <c r="S16" s="84" t="str">
        <f t="shared" si="4"/>
        <v/>
      </c>
      <c r="T16" s="85"/>
      <c r="U16" s="82">
        <f t="shared" si="5"/>
        <v>0</v>
      </c>
      <c r="V16" s="66">
        <f t="shared" si="6"/>
        <v>0</v>
      </c>
      <c r="W16" s="81">
        <f t="shared" si="7"/>
        <v>0</v>
      </c>
      <c r="X16" s="82" t="str">
        <f t="shared" si="8"/>
        <v>albman</v>
      </c>
      <c r="Y16" s="86" t="str">
        <f t="shared" si="9"/>
        <v>https://www.munzee.com/m/albman/246/</v>
      </c>
    </row>
    <row r="17" hidden="1" outlineLevel="1">
      <c r="A17" s="76" t="s">
        <v>82</v>
      </c>
      <c r="B17" s="77">
        <v>2.0</v>
      </c>
      <c r="C17" s="77">
        <v>9.0</v>
      </c>
      <c r="D17" s="64">
        <v>52.122298</v>
      </c>
      <c r="E17" s="64">
        <v>5.382584</v>
      </c>
      <c r="F17" s="78" t="s">
        <v>70</v>
      </c>
      <c r="G17" s="78" t="s">
        <v>71</v>
      </c>
      <c r="H17" s="78" t="s">
        <v>83</v>
      </c>
      <c r="I17" s="79" t="s">
        <v>84</v>
      </c>
      <c r="J17" s="90"/>
      <c r="K17" s="78" t="b">
        <v>1</v>
      </c>
      <c r="L17" s="66" t="str">
        <f t="shared" si="2"/>
        <v/>
      </c>
      <c r="M17" s="81" t="str">
        <f>IFERROR(__xludf.DUMMYFUNCTION("IF(W17=1,IFERROR(IMPORTXML(I17, ""//p[@class='status-date']""), ""Not deployed""),"""")"),"")</f>
        <v/>
      </c>
      <c r="N17" s="82"/>
      <c r="O17" s="66"/>
      <c r="P17" s="66"/>
      <c r="Q17" s="66"/>
      <c r="R17" s="83" t="str">
        <f t="shared" si="3"/>
        <v/>
      </c>
      <c r="S17" s="84" t="str">
        <f t="shared" si="4"/>
        <v/>
      </c>
      <c r="T17" s="85"/>
      <c r="U17" s="82">
        <f t="shared" si="5"/>
        <v>0</v>
      </c>
      <c r="V17" s="66">
        <f t="shared" si="6"/>
        <v>0</v>
      </c>
      <c r="W17" s="81">
        <f t="shared" si="7"/>
        <v>0</v>
      </c>
      <c r="X17" s="82" t="str">
        <f t="shared" si="8"/>
        <v>nyisutter</v>
      </c>
      <c r="Y17" s="86" t="str">
        <f t="shared" si="9"/>
        <v>https://www.munzee.com/m/nyisutter/14523/</v>
      </c>
    </row>
    <row r="18" hidden="1" outlineLevel="1">
      <c r="A18" s="76" t="s">
        <v>85</v>
      </c>
      <c r="B18" s="77">
        <v>2.0</v>
      </c>
      <c r="C18" s="77">
        <v>10.0</v>
      </c>
      <c r="D18" s="64">
        <v>52.122298</v>
      </c>
      <c r="E18" s="64">
        <v>5.382818</v>
      </c>
      <c r="F18" s="78" t="s">
        <v>78</v>
      </c>
      <c r="G18" s="78" t="s">
        <v>79</v>
      </c>
      <c r="H18" s="78" t="s">
        <v>86</v>
      </c>
      <c r="I18" s="79" t="s">
        <v>87</v>
      </c>
      <c r="J18" s="80"/>
      <c r="K18" s="78" t="b">
        <v>1</v>
      </c>
      <c r="L18" s="66" t="str">
        <f t="shared" si="2"/>
        <v/>
      </c>
      <c r="M18" s="81" t="str">
        <f>IFERROR(__xludf.DUMMYFUNCTION("IF(W18=1,IFERROR(IMPORTXML(I18, ""//p[@class='status-date']""), ""Not deployed""),"""")"),"")</f>
        <v/>
      </c>
      <c r="N18" s="82"/>
      <c r="O18" s="66"/>
      <c r="P18" s="66"/>
      <c r="Q18" s="66"/>
      <c r="R18" s="83" t="str">
        <f t="shared" si="3"/>
        <v/>
      </c>
      <c r="S18" s="84" t="str">
        <f t="shared" si="4"/>
        <v/>
      </c>
      <c r="T18" s="85"/>
      <c r="U18" s="82">
        <f t="shared" si="5"/>
        <v>0</v>
      </c>
      <c r="V18" s="66">
        <f t="shared" si="6"/>
        <v>0</v>
      </c>
      <c r="W18" s="81">
        <f t="shared" si="7"/>
        <v>0</v>
      </c>
      <c r="X18" s="82" t="str">
        <f t="shared" si="8"/>
        <v>Alroso</v>
      </c>
      <c r="Y18" s="86" t="str">
        <f t="shared" si="9"/>
        <v>https://www.munzee.com/m/Alroso/1040/</v>
      </c>
    </row>
    <row r="19" hidden="1" outlineLevel="1">
      <c r="A19" s="76" t="s">
        <v>88</v>
      </c>
      <c r="B19" s="77">
        <v>2.0</v>
      </c>
      <c r="C19" s="77">
        <v>11.0</v>
      </c>
      <c r="D19" s="64">
        <v>52.122298</v>
      </c>
      <c r="E19" s="64">
        <v>5.383052</v>
      </c>
      <c r="F19" s="78" t="s">
        <v>78</v>
      </c>
      <c r="G19" s="78" t="s">
        <v>79</v>
      </c>
      <c r="H19" s="66" t="str">
        <f>IF(ISTEXT(X19),X19,"")</f>
        <v>230Volt</v>
      </c>
      <c r="I19" s="79" t="s">
        <v>89</v>
      </c>
      <c r="J19" s="90"/>
      <c r="K19" s="78" t="b">
        <v>1</v>
      </c>
      <c r="L19" s="66" t="str">
        <f t="shared" si="2"/>
        <v/>
      </c>
      <c r="M19" s="81" t="str">
        <f>IFERROR(__xludf.DUMMYFUNCTION("IF(W19=1,IFERROR(IMPORTXML(I19, ""//p[@class='status-date']""), ""Not deployed""),"""")"),"")</f>
        <v/>
      </c>
      <c r="N19" s="82"/>
      <c r="O19" s="66"/>
      <c r="P19" s="66"/>
      <c r="Q19" s="66"/>
      <c r="R19" s="83" t="str">
        <f t="shared" si="3"/>
        <v/>
      </c>
      <c r="S19" s="84" t="str">
        <f t="shared" si="4"/>
        <v/>
      </c>
      <c r="T19" s="85"/>
      <c r="U19" s="82">
        <f t="shared" si="5"/>
        <v>0</v>
      </c>
      <c r="V19" s="66">
        <f t="shared" si="6"/>
        <v>0</v>
      </c>
      <c r="W19" s="81">
        <f t="shared" si="7"/>
        <v>0</v>
      </c>
      <c r="X19" s="82" t="str">
        <f t="shared" si="8"/>
        <v>230Volt</v>
      </c>
      <c r="Y19" s="86" t="str">
        <f t="shared" si="9"/>
        <v>https://www.munzee.com/m/230Volt/1323/</v>
      </c>
    </row>
    <row r="20" hidden="1" outlineLevel="1">
      <c r="A20" s="76" t="s">
        <v>90</v>
      </c>
      <c r="B20" s="77">
        <v>2.0</v>
      </c>
      <c r="C20" s="77">
        <v>12.0</v>
      </c>
      <c r="D20" s="64">
        <v>52.122298</v>
      </c>
      <c r="E20" s="64">
        <v>5.383287</v>
      </c>
      <c r="F20" s="78" t="s">
        <v>70</v>
      </c>
      <c r="G20" s="78" t="s">
        <v>71</v>
      </c>
      <c r="H20" s="78" t="s">
        <v>91</v>
      </c>
      <c r="I20" s="79" t="s">
        <v>92</v>
      </c>
      <c r="J20" s="90"/>
      <c r="K20" s="78" t="b">
        <v>1</v>
      </c>
      <c r="L20" s="66" t="str">
        <f t="shared" si="2"/>
        <v/>
      </c>
      <c r="M20" s="81" t="str">
        <f>IFERROR(__xludf.DUMMYFUNCTION("IF(W20=1,IFERROR(IMPORTXML(I20, ""//p[@class='status-date']""), ""Not deployed""),"""")"),"")</f>
        <v/>
      </c>
      <c r="N20" s="82"/>
      <c r="O20" s="66"/>
      <c r="P20" s="66"/>
      <c r="Q20" s="66"/>
      <c r="R20" s="83" t="str">
        <f t="shared" si="3"/>
        <v/>
      </c>
      <c r="S20" s="84" t="str">
        <f t="shared" si="4"/>
        <v/>
      </c>
      <c r="T20" s="85"/>
      <c r="U20" s="82">
        <f t="shared" si="5"/>
        <v>0</v>
      </c>
      <c r="V20" s="66">
        <f t="shared" si="6"/>
        <v>0</v>
      </c>
      <c r="W20" s="81">
        <f t="shared" si="7"/>
        <v>0</v>
      </c>
      <c r="X20" s="82" t="str">
        <f t="shared" si="8"/>
        <v>TheFrog</v>
      </c>
      <c r="Y20" s="86" t="str">
        <f t="shared" si="9"/>
        <v>https://www.munzee.com/m/TheFrog/8090/</v>
      </c>
    </row>
    <row r="21" hidden="1" outlineLevel="1">
      <c r="A21" s="76" t="s">
        <v>93</v>
      </c>
      <c r="B21" s="77">
        <v>3.0</v>
      </c>
      <c r="C21" s="77">
        <v>6.0</v>
      </c>
      <c r="D21" s="64">
        <v>52.122154</v>
      </c>
      <c r="E21" s="64">
        <v>5.381882</v>
      </c>
      <c r="F21" s="78" t="s">
        <v>78</v>
      </c>
      <c r="G21" s="78" t="s">
        <v>79</v>
      </c>
      <c r="H21" s="78" t="s">
        <v>94</v>
      </c>
      <c r="I21" s="79" t="s">
        <v>95</v>
      </c>
      <c r="J21" s="90"/>
      <c r="K21" s="78" t="b">
        <v>1</v>
      </c>
      <c r="L21" s="66" t="str">
        <f t="shared" si="2"/>
        <v/>
      </c>
      <c r="M21" s="81" t="str">
        <f>IFERROR(__xludf.DUMMYFUNCTION("IF(W21=1,IFERROR(IMPORTXML(I21, ""//p[@class='status-date']""), ""Not deployed""),"""")"),"")</f>
        <v/>
      </c>
      <c r="N21" s="82"/>
      <c r="O21" s="66"/>
      <c r="P21" s="66"/>
      <c r="Q21" s="66"/>
      <c r="R21" s="83" t="str">
        <f t="shared" si="3"/>
        <v/>
      </c>
      <c r="S21" s="84" t="str">
        <f t="shared" si="4"/>
        <v/>
      </c>
      <c r="T21" s="85"/>
      <c r="U21" s="82">
        <f t="shared" si="5"/>
        <v>0</v>
      </c>
      <c r="V21" s="66">
        <f t="shared" si="6"/>
        <v>0</v>
      </c>
      <c r="W21" s="81">
        <f t="shared" si="7"/>
        <v>0</v>
      </c>
      <c r="X21" s="82" t="str">
        <f t="shared" si="8"/>
        <v>paulus2012</v>
      </c>
      <c r="Y21" s="86" t="str">
        <f t="shared" si="9"/>
        <v>https://www.munzee.com/m/paulus2012/8972/</v>
      </c>
    </row>
    <row r="22" hidden="1" outlineLevel="1">
      <c r="A22" s="76" t="s">
        <v>96</v>
      </c>
      <c r="B22" s="77">
        <v>3.0</v>
      </c>
      <c r="C22" s="77">
        <v>7.0</v>
      </c>
      <c r="D22" s="64">
        <v>52.122154</v>
      </c>
      <c r="E22" s="64">
        <v>5.382116</v>
      </c>
      <c r="F22" s="78" t="s">
        <v>78</v>
      </c>
      <c r="G22" s="78" t="s">
        <v>79</v>
      </c>
      <c r="H22" s="78" t="s">
        <v>97</v>
      </c>
      <c r="I22" s="79" t="s">
        <v>98</v>
      </c>
      <c r="J22" s="90"/>
      <c r="K22" s="78" t="b">
        <v>1</v>
      </c>
      <c r="L22" s="66" t="str">
        <f t="shared" si="2"/>
        <v/>
      </c>
      <c r="M22" s="81" t="str">
        <f>IFERROR(__xludf.DUMMYFUNCTION("IF(W22=1,IFERROR(IMPORTXML(I22, ""//p[@class='status-date']""), ""Not deployed""),"""")"),"")</f>
        <v/>
      </c>
      <c r="N22" s="82"/>
      <c r="O22" s="66"/>
      <c r="P22" s="66"/>
      <c r="Q22" s="66"/>
      <c r="R22" s="83" t="str">
        <f t="shared" si="3"/>
        <v/>
      </c>
      <c r="S22" s="84" t="str">
        <f t="shared" si="4"/>
        <v/>
      </c>
      <c r="T22" s="85"/>
      <c r="U22" s="82">
        <f t="shared" si="5"/>
        <v>0</v>
      </c>
      <c r="V22" s="66">
        <f t="shared" si="6"/>
        <v>0</v>
      </c>
      <c r="W22" s="81">
        <f t="shared" si="7"/>
        <v>0</v>
      </c>
      <c r="X22" s="82" t="str">
        <f t="shared" si="8"/>
        <v>Girlteam</v>
      </c>
      <c r="Y22" s="86" t="str">
        <f t="shared" si="9"/>
        <v>https://www.munzee.com/m/Girlteam/1978/</v>
      </c>
    </row>
    <row r="23" hidden="1" outlineLevel="1">
      <c r="A23" s="76" t="s">
        <v>99</v>
      </c>
      <c r="B23" s="77">
        <v>3.0</v>
      </c>
      <c r="C23" s="77">
        <v>8.0</v>
      </c>
      <c r="D23" s="64">
        <v>52.122154</v>
      </c>
      <c r="E23" s="64">
        <v>5.38235</v>
      </c>
      <c r="F23" s="78" t="s">
        <v>100</v>
      </c>
      <c r="G23" s="78" t="s">
        <v>101</v>
      </c>
      <c r="H23" s="66" t="str">
        <f>IF(ISTEXT(X23),X23,"")</f>
        <v>230Volt</v>
      </c>
      <c r="I23" s="79" t="s">
        <v>102</v>
      </c>
      <c r="J23" s="90"/>
      <c r="K23" s="78" t="b">
        <v>1</v>
      </c>
      <c r="L23" s="66" t="str">
        <f t="shared" si="2"/>
        <v/>
      </c>
      <c r="M23" s="81" t="str">
        <f>IFERROR(__xludf.DUMMYFUNCTION("IF(W23=1,IFERROR(IMPORTXML(I23, ""//p[@class='status-date']""), ""Not deployed""),"""")"),"")</f>
        <v/>
      </c>
      <c r="N23" s="82"/>
      <c r="O23" s="66"/>
      <c r="P23" s="66"/>
      <c r="Q23" s="66"/>
      <c r="R23" s="83" t="str">
        <f t="shared" si="3"/>
        <v/>
      </c>
      <c r="S23" s="84" t="str">
        <f t="shared" si="4"/>
        <v/>
      </c>
      <c r="T23" s="85"/>
      <c r="U23" s="82">
        <f t="shared" si="5"/>
        <v>0</v>
      </c>
      <c r="V23" s="66">
        <f t="shared" si="6"/>
        <v>0</v>
      </c>
      <c r="W23" s="81">
        <f t="shared" si="7"/>
        <v>0</v>
      </c>
      <c r="X23" s="82" t="str">
        <f t="shared" si="8"/>
        <v>230Volt</v>
      </c>
      <c r="Y23" s="86" t="str">
        <f t="shared" si="9"/>
        <v>https://www.munzee.com/m/230Volt/1329/</v>
      </c>
    </row>
    <row r="24" hidden="1" outlineLevel="1">
      <c r="A24" s="76" t="s">
        <v>103</v>
      </c>
      <c r="B24" s="77">
        <v>3.0</v>
      </c>
      <c r="C24" s="77">
        <v>9.0</v>
      </c>
      <c r="D24" s="64">
        <v>52.122154</v>
      </c>
      <c r="E24" s="64">
        <v>5.382584</v>
      </c>
      <c r="F24" s="78" t="s">
        <v>51</v>
      </c>
      <c r="G24" s="78" t="s">
        <v>52</v>
      </c>
      <c r="H24" s="78" t="s">
        <v>72</v>
      </c>
      <c r="I24" s="79" t="s">
        <v>104</v>
      </c>
      <c r="J24" s="92"/>
      <c r="K24" s="78" t="b">
        <v>1</v>
      </c>
      <c r="L24" s="66" t="str">
        <f t="shared" si="2"/>
        <v/>
      </c>
      <c r="M24" s="81" t="str">
        <f>IFERROR(__xludf.DUMMYFUNCTION("IF(W24=1,IFERROR(IMPORTXML(I24, ""//p[@class='status-date']""), ""Not deployed""),"""")"),"")</f>
        <v/>
      </c>
      <c r="N24" s="82"/>
      <c r="O24" s="66"/>
      <c r="P24" s="66"/>
      <c r="Q24" s="66"/>
      <c r="R24" s="83" t="str">
        <f t="shared" si="3"/>
        <v/>
      </c>
      <c r="S24" s="84" t="str">
        <f t="shared" si="4"/>
        <v/>
      </c>
      <c r="T24" s="85"/>
      <c r="U24" s="82">
        <f t="shared" si="5"/>
        <v>0</v>
      </c>
      <c r="V24" s="66">
        <f t="shared" si="6"/>
        <v>0</v>
      </c>
      <c r="W24" s="81">
        <f t="shared" si="7"/>
        <v>0</v>
      </c>
      <c r="X24" s="82" t="str">
        <f t="shared" si="8"/>
        <v>AmezorC</v>
      </c>
      <c r="Y24" s="86" t="str">
        <f t="shared" si="9"/>
        <v>https://www.munzee.com/m/AmezorC/13974/</v>
      </c>
    </row>
    <row r="25" hidden="1" outlineLevel="1">
      <c r="A25" s="76" t="s">
        <v>105</v>
      </c>
      <c r="B25" s="77">
        <v>3.0</v>
      </c>
      <c r="C25" s="77">
        <v>10.0</v>
      </c>
      <c r="D25" s="64">
        <v>52.122154</v>
      </c>
      <c r="E25" s="64">
        <v>5.382818</v>
      </c>
      <c r="F25" s="78" t="s">
        <v>51</v>
      </c>
      <c r="G25" s="78" t="s">
        <v>52</v>
      </c>
      <c r="H25" s="78" t="s">
        <v>75</v>
      </c>
      <c r="I25" s="79" t="s">
        <v>106</v>
      </c>
      <c r="J25" s="92"/>
      <c r="K25" s="78" t="b">
        <v>1</v>
      </c>
      <c r="L25" s="66" t="str">
        <f t="shared" si="2"/>
        <v/>
      </c>
      <c r="M25" s="81" t="str">
        <f>IFERROR(__xludf.DUMMYFUNCTION("IF(W25=1,IFERROR(IMPORTXML(I25, ""//p[@class='status-date']""), ""Not deployed""),"""")"),"")</f>
        <v/>
      </c>
      <c r="N25" s="82"/>
      <c r="O25" s="66"/>
      <c r="P25" s="66"/>
      <c r="Q25" s="66"/>
      <c r="R25" s="83" t="str">
        <f t="shared" si="3"/>
        <v/>
      </c>
      <c r="S25" s="84" t="str">
        <f t="shared" si="4"/>
        <v/>
      </c>
      <c r="T25" s="85"/>
      <c r="U25" s="82">
        <f t="shared" si="5"/>
        <v>0</v>
      </c>
      <c r="V25" s="66">
        <f t="shared" si="6"/>
        <v>0</v>
      </c>
      <c r="W25" s="81">
        <f t="shared" si="7"/>
        <v>0</v>
      </c>
      <c r="X25" s="82" t="str">
        <f t="shared" si="8"/>
        <v>Ingetje</v>
      </c>
      <c r="Y25" s="86" t="str">
        <f t="shared" si="9"/>
        <v>https://www.munzee.com/m/Ingetje/5709/</v>
      </c>
    </row>
    <row r="26" hidden="1" outlineLevel="1">
      <c r="A26" s="76" t="s">
        <v>107</v>
      </c>
      <c r="B26" s="77">
        <v>3.0</v>
      </c>
      <c r="C26" s="77">
        <v>11.0</v>
      </c>
      <c r="D26" s="64">
        <v>52.122154</v>
      </c>
      <c r="E26" s="64">
        <v>5.383052</v>
      </c>
      <c r="F26" s="78" t="s">
        <v>70</v>
      </c>
      <c r="G26" s="78" t="s">
        <v>71</v>
      </c>
      <c r="H26" s="78" t="s">
        <v>108</v>
      </c>
      <c r="I26" s="79" t="s">
        <v>109</v>
      </c>
      <c r="J26" s="92"/>
      <c r="K26" s="78" t="b">
        <v>1</v>
      </c>
      <c r="L26" s="66" t="str">
        <f t="shared" si="2"/>
        <v/>
      </c>
      <c r="M26" s="81" t="str">
        <f>IFERROR(__xludf.DUMMYFUNCTION("IF(W26=1,IFERROR(IMPORTXML(I26, ""//p[@class='status-date']""), ""Not deployed""),"""")"),"")</f>
        <v/>
      </c>
      <c r="N26" s="82"/>
      <c r="O26" s="66"/>
      <c r="P26" s="66"/>
      <c r="Q26" s="66"/>
      <c r="R26" s="83" t="str">
        <f t="shared" si="3"/>
        <v/>
      </c>
      <c r="S26" s="84" t="str">
        <f t="shared" si="4"/>
        <v/>
      </c>
      <c r="T26" s="85"/>
      <c r="U26" s="82">
        <f t="shared" si="5"/>
        <v>0</v>
      </c>
      <c r="V26" s="66">
        <f t="shared" si="6"/>
        <v>0</v>
      </c>
      <c r="W26" s="81">
        <f t="shared" si="7"/>
        <v>0</v>
      </c>
      <c r="X26" s="82" t="str">
        <f t="shared" si="8"/>
        <v>123xilef</v>
      </c>
      <c r="Y26" s="86" t="str">
        <f t="shared" si="9"/>
        <v>https://www.munzee.com/m/123xilef/24445/</v>
      </c>
    </row>
    <row r="27" hidden="1" outlineLevel="1">
      <c r="A27" s="76" t="s">
        <v>110</v>
      </c>
      <c r="B27" s="77">
        <v>3.0</v>
      </c>
      <c r="C27" s="77">
        <v>12.0</v>
      </c>
      <c r="D27" s="64">
        <v>52.122154</v>
      </c>
      <c r="E27" s="64">
        <v>5.383287</v>
      </c>
      <c r="F27" s="78" t="s">
        <v>78</v>
      </c>
      <c r="G27" s="78" t="s">
        <v>79</v>
      </c>
      <c r="H27" s="78" t="s">
        <v>111</v>
      </c>
      <c r="I27" s="79" t="s">
        <v>112</v>
      </c>
      <c r="J27" s="92"/>
      <c r="K27" s="78" t="b">
        <v>1</v>
      </c>
      <c r="L27" s="66" t="str">
        <f t="shared" si="2"/>
        <v/>
      </c>
      <c r="M27" s="81" t="str">
        <f>IFERROR(__xludf.DUMMYFUNCTION("IF(W27=1,IFERROR(IMPORTXML(I27, ""//p[@class='status-date']""), ""Not deployed""),"""")"),"")</f>
        <v/>
      </c>
      <c r="N27" s="82"/>
      <c r="O27" s="66"/>
      <c r="P27" s="66"/>
      <c r="Q27" s="66"/>
      <c r="R27" s="83" t="str">
        <f t="shared" si="3"/>
        <v/>
      </c>
      <c r="S27" s="84" t="str">
        <f t="shared" si="4"/>
        <v/>
      </c>
      <c r="T27" s="85"/>
      <c r="U27" s="82">
        <f t="shared" si="5"/>
        <v>0</v>
      </c>
      <c r="V27" s="66">
        <f t="shared" si="6"/>
        <v>0</v>
      </c>
      <c r="W27" s="81">
        <f t="shared" si="7"/>
        <v>0</v>
      </c>
      <c r="X27" s="82" t="str">
        <f t="shared" si="8"/>
        <v>Amerod</v>
      </c>
      <c r="Y27" s="86" t="str">
        <f t="shared" si="9"/>
        <v>https://www.munzee.com/m/Amerod/5581/</v>
      </c>
    </row>
    <row r="28" hidden="1" outlineLevel="1">
      <c r="A28" s="76" t="s">
        <v>113</v>
      </c>
      <c r="B28" s="77">
        <v>3.0</v>
      </c>
      <c r="C28" s="77">
        <v>13.0</v>
      </c>
      <c r="D28" s="64">
        <v>52.122154</v>
      </c>
      <c r="E28" s="64">
        <v>5.383521</v>
      </c>
      <c r="F28" s="78" t="s">
        <v>51</v>
      </c>
      <c r="G28" s="78" t="s">
        <v>52</v>
      </c>
      <c r="H28" s="78" t="s">
        <v>114</v>
      </c>
      <c r="I28" s="79" t="s">
        <v>115</v>
      </c>
      <c r="J28" s="92"/>
      <c r="K28" s="78" t="b">
        <v>1</v>
      </c>
      <c r="L28" s="66" t="str">
        <f t="shared" si="2"/>
        <v/>
      </c>
      <c r="M28" s="81" t="str">
        <f>IFERROR(__xludf.DUMMYFUNCTION("IF(W28=1,IFERROR(IMPORTXML(I28, ""//p[@class='status-date']""), ""Not deployed""),"""")"),"")</f>
        <v/>
      </c>
      <c r="N28" s="82"/>
      <c r="O28" s="66"/>
      <c r="P28" s="66"/>
      <c r="Q28" s="66"/>
      <c r="R28" s="83" t="str">
        <f t="shared" si="3"/>
        <v/>
      </c>
      <c r="S28" s="84" t="str">
        <f t="shared" si="4"/>
        <v/>
      </c>
      <c r="T28" s="85"/>
      <c r="U28" s="82">
        <f t="shared" si="5"/>
        <v>0</v>
      </c>
      <c r="V28" s="66">
        <f t="shared" si="6"/>
        <v>0</v>
      </c>
      <c r="W28" s="81">
        <f t="shared" si="7"/>
        <v>0</v>
      </c>
      <c r="X28" s="82" t="str">
        <f t="shared" si="8"/>
        <v>gerardz</v>
      </c>
      <c r="Y28" s="86" t="str">
        <f t="shared" si="9"/>
        <v>https://www.munzee.com/m/gerardz/8137/</v>
      </c>
    </row>
    <row r="29" hidden="1" outlineLevel="1">
      <c r="A29" s="76" t="s">
        <v>116</v>
      </c>
      <c r="B29" s="77">
        <v>4.0</v>
      </c>
      <c r="C29" s="77">
        <v>5.0</v>
      </c>
      <c r="D29" s="64">
        <v>52.12201</v>
      </c>
      <c r="E29" s="64">
        <v>5.381648</v>
      </c>
      <c r="F29" s="78" t="s">
        <v>117</v>
      </c>
      <c r="G29" s="78" t="s">
        <v>118</v>
      </c>
      <c r="H29" s="66" t="str">
        <f>IF(ISTEXT(X29),X29,"")</f>
        <v>keromar</v>
      </c>
      <c r="I29" s="79" t="s">
        <v>119</v>
      </c>
      <c r="J29" s="92"/>
      <c r="K29" s="78" t="b">
        <v>1</v>
      </c>
      <c r="L29" s="66" t="str">
        <f t="shared" si="2"/>
        <v/>
      </c>
      <c r="M29" s="81" t="str">
        <f>IFERROR(__xludf.DUMMYFUNCTION("IF(W29=1,IFERROR(IMPORTXML(I29, ""//p[@class='status-date']""), ""Not deployed""),"""")"),"")</f>
        <v/>
      </c>
      <c r="N29" s="82"/>
      <c r="O29" s="66"/>
      <c r="P29" s="66"/>
      <c r="Q29" s="66"/>
      <c r="R29" s="83" t="str">
        <f t="shared" si="3"/>
        <v/>
      </c>
      <c r="S29" s="84" t="str">
        <f t="shared" si="4"/>
        <v/>
      </c>
      <c r="T29" s="85"/>
      <c r="U29" s="82">
        <f t="shared" si="5"/>
        <v>0</v>
      </c>
      <c r="V29" s="66">
        <f t="shared" si="6"/>
        <v>0</v>
      </c>
      <c r="W29" s="81">
        <f t="shared" si="7"/>
        <v>0</v>
      </c>
      <c r="X29" s="82" t="str">
        <f t="shared" si="8"/>
        <v>keromar</v>
      </c>
      <c r="Y29" s="86" t="str">
        <f t="shared" si="9"/>
        <v>https://www.munzee.com/m/keromar/8543/</v>
      </c>
    </row>
    <row r="30" hidden="1" outlineLevel="1">
      <c r="A30" s="76" t="s">
        <v>120</v>
      </c>
      <c r="B30" s="77">
        <v>4.0</v>
      </c>
      <c r="C30" s="77">
        <v>6.0</v>
      </c>
      <c r="D30" s="64">
        <v>52.12201</v>
      </c>
      <c r="E30" s="64">
        <v>5.381882</v>
      </c>
      <c r="F30" s="78" t="s">
        <v>121</v>
      </c>
      <c r="G30" s="78" t="s">
        <v>122</v>
      </c>
      <c r="H30" s="78" t="str">
        <f>IF(X30=" ",X30,'Flamingo @ DenTreek'!H28)</f>
        <v>Wawie</v>
      </c>
      <c r="I30" s="79" t="s">
        <v>123</v>
      </c>
      <c r="J30" s="88"/>
      <c r="K30" s="78" t="b">
        <v>1</v>
      </c>
      <c r="L30" s="66" t="str">
        <f t="shared" si="2"/>
        <v/>
      </c>
      <c r="M30" s="81" t="str">
        <f>IFERROR(__xludf.DUMMYFUNCTION("IF(W30=1,IFERROR(IMPORTXML(I30, ""//p[@class='status-date']""), ""Not deployed""),"""")"),"")</f>
        <v/>
      </c>
      <c r="N30" s="82"/>
      <c r="O30" s="66"/>
      <c r="P30" s="66"/>
      <c r="Q30" s="66"/>
      <c r="R30" s="83" t="str">
        <f t="shared" si="3"/>
        <v/>
      </c>
      <c r="S30" s="84" t="str">
        <f t="shared" si="4"/>
        <v/>
      </c>
      <c r="T30" s="85"/>
      <c r="U30" s="82">
        <f t="shared" si="5"/>
        <v>0</v>
      </c>
      <c r="V30" s="66">
        <f t="shared" si="6"/>
        <v>0</v>
      </c>
      <c r="W30" s="81">
        <f t="shared" si="7"/>
        <v>0</v>
      </c>
      <c r="X30" s="82" t="str">
        <f t="shared" si="8"/>
        <v>Wawie</v>
      </c>
      <c r="Y30" s="86" t="str">
        <f t="shared" si="9"/>
        <v>https://www.munzee.com/m/Wawie/2235/</v>
      </c>
    </row>
    <row r="31" hidden="1" outlineLevel="1">
      <c r="A31" s="76" t="s">
        <v>124</v>
      </c>
      <c r="B31" s="77">
        <v>4.0</v>
      </c>
      <c r="C31" s="77">
        <v>7.0</v>
      </c>
      <c r="D31" s="64">
        <v>52.12201</v>
      </c>
      <c r="E31" s="64">
        <v>5.382116</v>
      </c>
      <c r="F31" s="78" t="s">
        <v>125</v>
      </c>
      <c r="G31" s="78" t="s">
        <v>126</v>
      </c>
      <c r="H31" s="66" t="str">
        <f>IF(X31=" ",X31,'Flamingo @ DenTreek'!H29)</f>
        <v>raftjen</v>
      </c>
      <c r="I31" s="79" t="str">
        <f>'Flamingo @ DenTreek'!I29</f>
        <v>https://www.munzee.com/m/raftjen/6865/</v>
      </c>
      <c r="J31" s="92"/>
      <c r="K31" s="78" t="b">
        <v>1</v>
      </c>
      <c r="L31" s="66" t="str">
        <f t="shared" si="2"/>
        <v/>
      </c>
      <c r="M31" s="81" t="str">
        <f>IFERROR(__xludf.DUMMYFUNCTION("IF(W31=1,IFERROR(IMPORTXML(I31, ""//p[@class='status-date']""), ""Not deployed""),"""")"),"")</f>
        <v/>
      </c>
      <c r="N31" s="82"/>
      <c r="O31" s="66"/>
      <c r="P31" s="66"/>
      <c r="Q31" s="66"/>
      <c r="R31" s="83" t="str">
        <f t="shared" si="3"/>
        <v/>
      </c>
      <c r="S31" s="84" t="str">
        <f t="shared" si="4"/>
        <v/>
      </c>
      <c r="T31" s="85"/>
      <c r="U31" s="82">
        <f t="shared" si="5"/>
        <v>0</v>
      </c>
      <c r="V31" s="66">
        <f t="shared" si="6"/>
        <v>0</v>
      </c>
      <c r="W31" s="81">
        <f t="shared" si="7"/>
        <v>0</v>
      </c>
      <c r="X31" s="82" t="str">
        <f t="shared" si="8"/>
        <v>raftjen</v>
      </c>
      <c r="Y31" s="86" t="str">
        <f t="shared" si="9"/>
        <v>https://www.munzee.com/m/raftjen/6865/</v>
      </c>
    </row>
    <row r="32" hidden="1" outlineLevel="1">
      <c r="A32" s="76" t="s">
        <v>127</v>
      </c>
      <c r="B32" s="77">
        <v>4.0</v>
      </c>
      <c r="C32" s="77">
        <v>8.0</v>
      </c>
      <c r="D32" s="64">
        <v>52.12201</v>
      </c>
      <c r="E32" s="64">
        <v>5.38235</v>
      </c>
      <c r="F32" s="78" t="s">
        <v>128</v>
      </c>
      <c r="G32" s="78" t="s">
        <v>129</v>
      </c>
      <c r="H32" s="66" t="str">
        <f>IF(ISTEXT(X32),X32,"")</f>
        <v>MarioVN</v>
      </c>
      <c r="I32" s="79" t="s">
        <v>130</v>
      </c>
      <c r="J32" s="80"/>
      <c r="K32" s="78" t="b">
        <v>1</v>
      </c>
      <c r="L32" s="66" t="str">
        <f t="shared" si="2"/>
        <v/>
      </c>
      <c r="M32" s="81" t="str">
        <f>IFERROR(__xludf.DUMMYFUNCTION("IF(W32=1,IFERROR(IMPORTXML(I32, ""//p[@class='status-date']""), ""Not deployed""),"""")"),"")</f>
        <v/>
      </c>
      <c r="N32" s="82"/>
      <c r="O32" s="66"/>
      <c r="P32" s="66"/>
      <c r="Q32" s="66"/>
      <c r="R32" s="83" t="str">
        <f t="shared" si="3"/>
        <v/>
      </c>
      <c r="S32" s="84" t="str">
        <f t="shared" si="4"/>
        <v/>
      </c>
      <c r="T32" s="85"/>
      <c r="U32" s="82">
        <f t="shared" si="5"/>
        <v>0</v>
      </c>
      <c r="V32" s="66">
        <f t="shared" si="6"/>
        <v>0</v>
      </c>
      <c r="W32" s="81">
        <f t="shared" si="7"/>
        <v>0</v>
      </c>
      <c r="X32" s="82" t="str">
        <f t="shared" si="8"/>
        <v>MarioVN</v>
      </c>
      <c r="Y32" s="86" t="str">
        <f t="shared" si="9"/>
        <v>https://www.munzee.com/m/MarioVN/1740/</v>
      </c>
    </row>
    <row r="33" hidden="1" outlineLevel="1">
      <c r="A33" s="76" t="s">
        <v>131</v>
      </c>
      <c r="B33" s="77">
        <v>4.0</v>
      </c>
      <c r="C33" s="77">
        <v>9.0</v>
      </c>
      <c r="D33" s="64">
        <v>52.12201</v>
      </c>
      <c r="E33" s="64">
        <v>5.382584</v>
      </c>
      <c r="F33" s="78" t="s">
        <v>132</v>
      </c>
      <c r="G33" s="78" t="s">
        <v>133</v>
      </c>
      <c r="H33" s="78" t="str">
        <f>IF(X33=" ",X33,'Flamingo @ DenTreek'!H31)</f>
        <v>Wawie</v>
      </c>
      <c r="I33" s="79" t="s">
        <v>134</v>
      </c>
      <c r="J33" s="88"/>
      <c r="K33" s="78" t="b">
        <v>1</v>
      </c>
      <c r="L33" s="66" t="str">
        <f t="shared" si="2"/>
        <v/>
      </c>
      <c r="M33" s="81" t="str">
        <f>IFERROR(__xludf.DUMMYFUNCTION("IF(W33=1,IFERROR(IMPORTXML(I33, ""//p[@class='status-date']""), ""Not deployed""),"""")"),"")</f>
        <v/>
      </c>
      <c r="N33" s="82"/>
      <c r="O33" s="66"/>
      <c r="P33" s="66"/>
      <c r="Q33" s="66"/>
      <c r="R33" s="83" t="str">
        <f t="shared" si="3"/>
        <v/>
      </c>
      <c r="S33" s="84" t="str">
        <f t="shared" si="4"/>
        <v/>
      </c>
      <c r="T33" s="85"/>
      <c r="U33" s="82">
        <f t="shared" si="5"/>
        <v>0</v>
      </c>
      <c r="V33" s="66">
        <f t="shared" si="6"/>
        <v>0</v>
      </c>
      <c r="W33" s="81">
        <f t="shared" si="7"/>
        <v>0</v>
      </c>
      <c r="X33" s="82" t="str">
        <f t="shared" si="8"/>
        <v>Wawie</v>
      </c>
      <c r="Y33" s="86" t="str">
        <f t="shared" si="9"/>
        <v>https://www.munzee.com/m/Wawie/2203/</v>
      </c>
    </row>
    <row r="34" hidden="1" outlineLevel="1">
      <c r="A34" s="76" t="s">
        <v>135</v>
      </c>
      <c r="B34" s="77">
        <v>4.0</v>
      </c>
      <c r="C34" s="77">
        <v>10.0</v>
      </c>
      <c r="D34" s="64">
        <v>52.12201</v>
      </c>
      <c r="E34" s="64">
        <v>5.382818</v>
      </c>
      <c r="F34" s="78" t="s">
        <v>136</v>
      </c>
      <c r="G34" s="78" t="s">
        <v>137</v>
      </c>
      <c r="H34" s="66" t="str">
        <f>IF(ISTEXT(X34),X34,"")</f>
        <v>keromar</v>
      </c>
      <c r="I34" s="79" t="s">
        <v>138</v>
      </c>
      <c r="J34" s="80"/>
      <c r="K34" s="78" t="b">
        <v>1</v>
      </c>
      <c r="L34" s="66" t="str">
        <f t="shared" si="2"/>
        <v/>
      </c>
      <c r="M34" s="81" t="str">
        <f>IFERROR(__xludf.DUMMYFUNCTION("IF(W34=1,IFERROR(IMPORTXML(I34, ""//p[@class='status-date']""), ""Not deployed""),"""")"),"")</f>
        <v/>
      </c>
      <c r="N34" s="82"/>
      <c r="O34" s="66"/>
      <c r="P34" s="66"/>
      <c r="Q34" s="66"/>
      <c r="R34" s="83" t="str">
        <f t="shared" si="3"/>
        <v/>
      </c>
      <c r="S34" s="84" t="str">
        <f t="shared" si="4"/>
        <v/>
      </c>
      <c r="T34" s="85"/>
      <c r="U34" s="82">
        <f t="shared" si="5"/>
        <v>0</v>
      </c>
      <c r="V34" s="66">
        <f t="shared" si="6"/>
        <v>0</v>
      </c>
      <c r="W34" s="81">
        <f t="shared" si="7"/>
        <v>0</v>
      </c>
      <c r="X34" s="82" t="str">
        <f t="shared" si="8"/>
        <v>keromar</v>
      </c>
      <c r="Y34" s="86" t="str">
        <f t="shared" si="9"/>
        <v>https://www.munzee.com/m/keromar/8558/</v>
      </c>
    </row>
    <row r="35" hidden="1" outlineLevel="1">
      <c r="A35" s="76" t="s">
        <v>139</v>
      </c>
      <c r="B35" s="77">
        <v>4.0</v>
      </c>
      <c r="C35" s="77">
        <v>11.0</v>
      </c>
      <c r="D35" s="64">
        <v>52.12201</v>
      </c>
      <c r="E35" s="64">
        <v>5.383052</v>
      </c>
      <c r="F35" s="78" t="s">
        <v>125</v>
      </c>
      <c r="G35" s="78" t="s">
        <v>126</v>
      </c>
      <c r="H35" s="66" t="str">
        <f>IF(X35=" ",X35,'Flamingo @ DenTreek'!H33)</f>
        <v>does</v>
      </c>
      <c r="I35" s="79" t="str">
        <f>'Flamingo @ DenTreek'!I33</f>
        <v>https://www.munzee.com/m/does/1729/</v>
      </c>
      <c r="J35" s="80"/>
      <c r="K35" s="78" t="b">
        <v>1</v>
      </c>
      <c r="L35" s="66" t="str">
        <f t="shared" si="2"/>
        <v/>
      </c>
      <c r="M35" s="81" t="str">
        <f>IFERROR(__xludf.DUMMYFUNCTION("IF(W35=1,IFERROR(IMPORTXML(I35, ""//p[@class='status-date']""), ""Not deployed""),"""")"),"")</f>
        <v/>
      </c>
      <c r="N35" s="82"/>
      <c r="O35" s="66"/>
      <c r="P35" s="66"/>
      <c r="Q35" s="66"/>
      <c r="R35" s="83" t="str">
        <f t="shared" si="3"/>
        <v/>
      </c>
      <c r="S35" s="84" t="str">
        <f t="shared" si="4"/>
        <v/>
      </c>
      <c r="T35" s="85"/>
      <c r="U35" s="82">
        <f t="shared" si="5"/>
        <v>0</v>
      </c>
      <c r="V35" s="66">
        <f t="shared" si="6"/>
        <v>0</v>
      </c>
      <c r="W35" s="81">
        <f t="shared" si="7"/>
        <v>0</v>
      </c>
      <c r="X35" s="82" t="str">
        <f t="shared" si="8"/>
        <v>does</v>
      </c>
      <c r="Y35" s="86" t="str">
        <f t="shared" si="9"/>
        <v>https://www.munzee.com/m/does/1729/</v>
      </c>
    </row>
    <row r="36" hidden="1" outlineLevel="1">
      <c r="A36" s="76" t="s">
        <v>140</v>
      </c>
      <c r="B36" s="77">
        <v>4.0</v>
      </c>
      <c r="C36" s="77">
        <v>12.0</v>
      </c>
      <c r="D36" s="64">
        <v>52.12201</v>
      </c>
      <c r="E36" s="64">
        <v>5.383287</v>
      </c>
      <c r="F36" s="78" t="s">
        <v>78</v>
      </c>
      <c r="G36" s="78" t="s">
        <v>79</v>
      </c>
      <c r="H36" s="78" t="str">
        <f>IF(X36=" ",X36,'Flamingo @ DenTreek'!H34)</f>
        <v>Wawie</v>
      </c>
      <c r="I36" s="79" t="s">
        <v>141</v>
      </c>
      <c r="J36" s="88"/>
      <c r="K36" s="78" t="b">
        <v>1</v>
      </c>
      <c r="L36" s="66" t="str">
        <f t="shared" si="2"/>
        <v/>
      </c>
      <c r="M36" s="81" t="str">
        <f>IFERROR(__xludf.DUMMYFUNCTION("IF(W36=1,IFERROR(IMPORTXML(I36, ""//p[@class='status-date']""), ""Not deployed""),"""")"),"")</f>
        <v/>
      </c>
      <c r="N36" s="82"/>
      <c r="O36" s="66"/>
      <c r="P36" s="66"/>
      <c r="Q36" s="66"/>
      <c r="R36" s="83" t="str">
        <f t="shared" si="3"/>
        <v/>
      </c>
      <c r="S36" s="84" t="str">
        <f t="shared" si="4"/>
        <v/>
      </c>
      <c r="T36" s="85"/>
      <c r="U36" s="82">
        <f t="shared" si="5"/>
        <v>0</v>
      </c>
      <c r="V36" s="66">
        <f t="shared" si="6"/>
        <v>0</v>
      </c>
      <c r="W36" s="81">
        <f t="shared" si="7"/>
        <v>0</v>
      </c>
      <c r="X36" s="82" t="str">
        <f t="shared" si="8"/>
        <v>Wawie</v>
      </c>
      <c r="Y36" s="86" t="str">
        <f t="shared" si="9"/>
        <v>https://www.munzee.com/m/Wawie/2202/</v>
      </c>
    </row>
    <row r="37" hidden="1" outlineLevel="1">
      <c r="A37" s="76" t="s">
        <v>142</v>
      </c>
      <c r="B37" s="77">
        <v>4.0</v>
      </c>
      <c r="C37" s="77">
        <v>13.0</v>
      </c>
      <c r="D37" s="64">
        <v>52.12201</v>
      </c>
      <c r="E37" s="64">
        <v>5.383521</v>
      </c>
      <c r="F37" s="78" t="s">
        <v>70</v>
      </c>
      <c r="G37" s="78" t="s">
        <v>71</v>
      </c>
      <c r="H37" s="66" t="str">
        <f>IF(ISTEXT(X37),X37,"")</f>
        <v>raftjen</v>
      </c>
      <c r="I37" s="79" t="s">
        <v>143</v>
      </c>
      <c r="J37" s="80"/>
      <c r="K37" s="78" t="b">
        <v>1</v>
      </c>
      <c r="L37" s="66" t="str">
        <f t="shared" si="2"/>
        <v/>
      </c>
      <c r="M37" s="81" t="str">
        <f>IFERROR(__xludf.DUMMYFUNCTION("IF(W37=1,IFERROR(IMPORTXML(I37, ""//p[@class='status-date']""), ""Not deployed""),"""")"),"")</f>
        <v/>
      </c>
      <c r="N37" s="82"/>
      <c r="O37" s="66"/>
      <c r="P37" s="66"/>
      <c r="Q37" s="66"/>
      <c r="R37" s="83" t="str">
        <f t="shared" si="3"/>
        <v/>
      </c>
      <c r="S37" s="84" t="str">
        <f t="shared" si="4"/>
        <v/>
      </c>
      <c r="T37" s="85"/>
      <c r="U37" s="82">
        <f t="shared" si="5"/>
        <v>0</v>
      </c>
      <c r="V37" s="66">
        <f t="shared" si="6"/>
        <v>0</v>
      </c>
      <c r="W37" s="81">
        <f t="shared" si="7"/>
        <v>0</v>
      </c>
      <c r="X37" s="82" t="str">
        <f t="shared" si="8"/>
        <v>raftjen</v>
      </c>
      <c r="Y37" s="86" t="str">
        <f t="shared" si="9"/>
        <v>https://www.munzee.com/m/raftjen/6805/</v>
      </c>
    </row>
    <row r="38" hidden="1" outlineLevel="1">
      <c r="A38" s="76" t="s">
        <v>144</v>
      </c>
      <c r="B38" s="77">
        <v>4.0</v>
      </c>
      <c r="C38" s="77">
        <v>14.0</v>
      </c>
      <c r="D38" s="64">
        <v>52.12201</v>
      </c>
      <c r="E38" s="64">
        <v>5.383755</v>
      </c>
      <c r="F38" s="78" t="s">
        <v>51</v>
      </c>
      <c r="G38" s="78" t="s">
        <v>52</v>
      </c>
      <c r="H38" s="78" t="s">
        <v>72</v>
      </c>
      <c r="I38" s="79" t="s">
        <v>145</v>
      </c>
      <c r="J38" s="80"/>
      <c r="K38" s="78" t="b">
        <v>1</v>
      </c>
      <c r="L38" s="66" t="str">
        <f t="shared" si="2"/>
        <v/>
      </c>
      <c r="M38" s="81" t="str">
        <f>IFERROR(__xludf.DUMMYFUNCTION("IF(W38=1,IFERROR(IMPORTXML(I38, ""//p[@class='status-date']""), ""Not deployed""),"""")"),"")</f>
        <v/>
      </c>
      <c r="N38" s="82"/>
      <c r="O38" s="66"/>
      <c r="P38" s="66"/>
      <c r="Q38" s="66"/>
      <c r="R38" s="83" t="str">
        <f t="shared" si="3"/>
        <v/>
      </c>
      <c r="S38" s="84" t="str">
        <f t="shared" si="4"/>
        <v/>
      </c>
      <c r="T38" s="85"/>
      <c r="U38" s="82">
        <f t="shared" si="5"/>
        <v>0</v>
      </c>
      <c r="V38" s="66">
        <f t="shared" si="6"/>
        <v>0</v>
      </c>
      <c r="W38" s="81">
        <f t="shared" si="7"/>
        <v>0</v>
      </c>
      <c r="X38" s="82" t="str">
        <f t="shared" si="8"/>
        <v>AmezorC</v>
      </c>
      <c r="Y38" s="86" t="str">
        <f t="shared" si="9"/>
        <v>https://www.munzee.com/m/AmezorC/13969/</v>
      </c>
    </row>
    <row r="39" hidden="1" outlineLevel="1">
      <c r="A39" s="76" t="s">
        <v>146</v>
      </c>
      <c r="B39" s="77">
        <v>5.0</v>
      </c>
      <c r="C39" s="77">
        <v>5.0</v>
      </c>
      <c r="D39" s="64">
        <v>52.121866</v>
      </c>
      <c r="E39" s="64">
        <v>5.381648</v>
      </c>
      <c r="F39" s="78" t="s">
        <v>147</v>
      </c>
      <c r="G39" s="78" t="s">
        <v>148</v>
      </c>
      <c r="H39" s="78" t="s">
        <v>91</v>
      </c>
      <c r="I39" s="79" t="s">
        <v>149</v>
      </c>
      <c r="J39" s="80"/>
      <c r="K39" s="78" t="b">
        <v>1</v>
      </c>
      <c r="L39" s="66" t="str">
        <f t="shared" si="2"/>
        <v/>
      </c>
      <c r="M39" s="81" t="str">
        <f>IFERROR(__xludf.DUMMYFUNCTION("IF(W39=1,IFERROR(IMPORTXML(I39, ""//p[@class='status-date']""), ""Not deployed""),"""")"),"")</f>
        <v/>
      </c>
      <c r="N39" s="82"/>
      <c r="O39" s="66"/>
      <c r="P39" s="66"/>
      <c r="Q39" s="66"/>
      <c r="R39" s="83" t="str">
        <f t="shared" si="3"/>
        <v/>
      </c>
      <c r="S39" s="84" t="str">
        <f t="shared" si="4"/>
        <v/>
      </c>
      <c r="T39" s="85"/>
      <c r="U39" s="82">
        <f t="shared" si="5"/>
        <v>0</v>
      </c>
      <c r="V39" s="66">
        <f t="shared" si="6"/>
        <v>0</v>
      </c>
      <c r="W39" s="81">
        <f t="shared" si="7"/>
        <v>0</v>
      </c>
      <c r="X39" s="82" t="str">
        <f t="shared" si="8"/>
        <v>TheFrog</v>
      </c>
      <c r="Y39" s="86" t="str">
        <f t="shared" si="9"/>
        <v>https://www.munzee.com/m/TheFrog/8089/</v>
      </c>
    </row>
    <row r="40" hidden="1" outlineLevel="1">
      <c r="A40" s="76" t="s">
        <v>150</v>
      </c>
      <c r="B40" s="77">
        <v>5.0</v>
      </c>
      <c r="C40" s="77">
        <v>6.0</v>
      </c>
      <c r="D40" s="64">
        <v>52.121866</v>
      </c>
      <c r="E40" s="64">
        <v>5.381882</v>
      </c>
      <c r="F40" s="78" t="s">
        <v>151</v>
      </c>
      <c r="G40" s="78" t="s">
        <v>152</v>
      </c>
      <c r="H40" s="66" t="str">
        <f t="shared" ref="H40:H42" si="10">IF(ISTEXT(X40),X40,"")</f>
        <v>does</v>
      </c>
      <c r="I40" s="79" t="s">
        <v>153</v>
      </c>
      <c r="J40" s="80"/>
      <c r="K40" s="78" t="b">
        <v>1</v>
      </c>
      <c r="L40" s="66" t="str">
        <f t="shared" si="2"/>
        <v/>
      </c>
      <c r="M40" s="81" t="str">
        <f>IFERROR(__xludf.DUMMYFUNCTION("IF(W40=1,IFERROR(IMPORTXML(I40, ""//p[@class='status-date']""), ""Not deployed""),"""")"),"")</f>
        <v/>
      </c>
      <c r="N40" s="82"/>
      <c r="O40" s="66"/>
      <c r="P40" s="66"/>
      <c r="Q40" s="66"/>
      <c r="R40" s="83" t="str">
        <f t="shared" si="3"/>
        <v/>
      </c>
      <c r="S40" s="84" t="str">
        <f t="shared" si="4"/>
        <v/>
      </c>
      <c r="T40" s="85"/>
      <c r="U40" s="82">
        <f t="shared" si="5"/>
        <v>0</v>
      </c>
      <c r="V40" s="66">
        <f t="shared" si="6"/>
        <v>0</v>
      </c>
      <c r="W40" s="81">
        <f t="shared" si="7"/>
        <v>0</v>
      </c>
      <c r="X40" s="82" t="str">
        <f t="shared" si="8"/>
        <v>does</v>
      </c>
      <c r="Y40" s="86" t="str">
        <f t="shared" si="9"/>
        <v>https://www.munzee.com/m/does/1720/</v>
      </c>
    </row>
    <row r="41" hidden="1" outlineLevel="1">
      <c r="A41" s="76" t="s">
        <v>154</v>
      </c>
      <c r="B41" s="77">
        <v>5.0</v>
      </c>
      <c r="C41" s="77">
        <v>7.0</v>
      </c>
      <c r="D41" s="64">
        <v>52.121866</v>
      </c>
      <c r="E41" s="64">
        <v>5.382116</v>
      </c>
      <c r="F41" s="78" t="s">
        <v>117</v>
      </c>
      <c r="G41" s="78" t="s">
        <v>118</v>
      </c>
      <c r="H41" s="66" t="str">
        <f t="shared" si="10"/>
        <v>MariaHTJ</v>
      </c>
      <c r="I41" s="79" t="s">
        <v>155</v>
      </c>
      <c r="J41" s="80"/>
      <c r="K41" s="78" t="b">
        <v>1</v>
      </c>
      <c r="L41" s="66" t="str">
        <f t="shared" si="2"/>
        <v/>
      </c>
      <c r="M41" s="81" t="str">
        <f>IFERROR(__xludf.DUMMYFUNCTION("IF(W41=1,IFERROR(IMPORTXML(I41, ""//p[@class='status-date']""), ""Not deployed""),"""")"),"")</f>
        <v/>
      </c>
      <c r="N41" s="82"/>
      <c r="O41" s="66"/>
      <c r="P41" s="66"/>
      <c r="Q41" s="66"/>
      <c r="R41" s="83" t="str">
        <f t="shared" si="3"/>
        <v/>
      </c>
      <c r="S41" s="84" t="str">
        <f t="shared" si="4"/>
        <v/>
      </c>
      <c r="T41" s="85"/>
      <c r="U41" s="82">
        <f t="shared" si="5"/>
        <v>0</v>
      </c>
      <c r="V41" s="66">
        <f t="shared" si="6"/>
        <v>0</v>
      </c>
      <c r="W41" s="81">
        <f t="shared" si="7"/>
        <v>0</v>
      </c>
      <c r="X41" s="82" t="str">
        <f t="shared" si="8"/>
        <v>MariaHTJ</v>
      </c>
      <c r="Y41" s="86" t="str">
        <f t="shared" si="9"/>
        <v>https://www.munzee.com/m/MariaHTJ/20335/</v>
      </c>
    </row>
    <row r="42" hidden="1" outlineLevel="1">
      <c r="A42" s="76" t="s">
        <v>156</v>
      </c>
      <c r="B42" s="77">
        <v>5.0</v>
      </c>
      <c r="C42" s="77">
        <v>8.0</v>
      </c>
      <c r="D42" s="64">
        <v>52.121866</v>
      </c>
      <c r="E42" s="64">
        <v>5.38235</v>
      </c>
      <c r="F42" s="78" t="s">
        <v>128</v>
      </c>
      <c r="G42" s="78" t="s">
        <v>129</v>
      </c>
      <c r="H42" s="66" t="str">
        <f t="shared" si="10"/>
        <v>destrandman</v>
      </c>
      <c r="I42" s="79" t="s">
        <v>157</v>
      </c>
      <c r="J42" s="80"/>
      <c r="K42" s="78" t="b">
        <v>1</v>
      </c>
      <c r="L42" s="66" t="str">
        <f t="shared" si="2"/>
        <v/>
      </c>
      <c r="M42" s="81" t="str">
        <f>IFERROR(__xludf.DUMMYFUNCTION("IF(W42=1,IFERROR(IMPORTXML(I42, ""//p[@class='status-date']""), ""Not deployed""),"""")"),"")</f>
        <v/>
      </c>
      <c r="N42" s="82"/>
      <c r="O42" s="66"/>
      <c r="P42" s="66"/>
      <c r="Q42" s="66"/>
      <c r="R42" s="83" t="str">
        <f t="shared" si="3"/>
        <v/>
      </c>
      <c r="S42" s="84" t="str">
        <f t="shared" si="4"/>
        <v/>
      </c>
      <c r="T42" s="85"/>
      <c r="U42" s="82">
        <f t="shared" si="5"/>
        <v>0</v>
      </c>
      <c r="V42" s="66">
        <f t="shared" si="6"/>
        <v>0</v>
      </c>
      <c r="W42" s="81">
        <f t="shared" si="7"/>
        <v>0</v>
      </c>
      <c r="X42" s="82" t="str">
        <f t="shared" si="8"/>
        <v>destrandman</v>
      </c>
      <c r="Y42" s="86" t="str">
        <f t="shared" si="9"/>
        <v>https://www.munzee.com/m/destrandman/5843/</v>
      </c>
    </row>
    <row r="43" hidden="1" outlineLevel="1">
      <c r="A43" s="76" t="s">
        <v>158</v>
      </c>
      <c r="B43" s="77">
        <v>5.0</v>
      </c>
      <c r="C43" s="77">
        <v>9.0</v>
      </c>
      <c r="D43" s="64">
        <v>52.121866</v>
      </c>
      <c r="E43" s="64">
        <v>5.382584</v>
      </c>
      <c r="F43" s="78" t="s">
        <v>128</v>
      </c>
      <c r="G43" s="78" t="s">
        <v>129</v>
      </c>
      <c r="H43" s="78" t="s">
        <v>159</v>
      </c>
      <c r="I43" s="93" t="s">
        <v>160</v>
      </c>
      <c r="J43" s="80"/>
      <c r="K43" s="78" t="b">
        <v>1</v>
      </c>
      <c r="L43" s="66" t="str">
        <f t="shared" si="2"/>
        <v/>
      </c>
      <c r="M43" s="81" t="str">
        <f>IFERROR(__xludf.DUMMYFUNCTION("IF(W43=1,IFERROR(IMPORTXML(I43, ""//p[@class='status-date']""), ""Not deployed""),"""")"),"")</f>
        <v/>
      </c>
      <c r="N43" s="82"/>
      <c r="O43" s="66"/>
      <c r="P43" s="66"/>
      <c r="Q43" s="66"/>
      <c r="R43" s="83" t="str">
        <f t="shared" si="3"/>
        <v/>
      </c>
      <c r="S43" s="84" t="str">
        <f t="shared" si="4"/>
        <v/>
      </c>
      <c r="T43" s="85"/>
      <c r="U43" s="82">
        <f t="shared" si="5"/>
        <v>0</v>
      </c>
      <c r="V43" s="66">
        <f t="shared" si="6"/>
        <v>0</v>
      </c>
      <c r="W43" s="81">
        <f t="shared" si="7"/>
        <v>0</v>
      </c>
      <c r="X43" s="82" t="str">
        <f t="shared" si="8"/>
        <v>TURTLE</v>
      </c>
      <c r="Y43" s="86" t="str">
        <f t="shared" si="9"/>
        <v>https://www.munzee.com/m/TURTLE/12365/</v>
      </c>
    </row>
    <row r="44" hidden="1" outlineLevel="1">
      <c r="A44" s="76" t="s">
        <v>161</v>
      </c>
      <c r="B44" s="77">
        <v>5.0</v>
      </c>
      <c r="C44" s="77">
        <v>10.0</v>
      </c>
      <c r="D44" s="64">
        <v>52.121866</v>
      </c>
      <c r="E44" s="64">
        <v>5.382818</v>
      </c>
      <c r="F44" s="78" t="s">
        <v>128</v>
      </c>
      <c r="G44" s="78" t="s">
        <v>129</v>
      </c>
      <c r="H44" s="66" t="str">
        <f>IF(ISTEXT(X44),X44,"")</f>
        <v>MariaHTJ</v>
      </c>
      <c r="I44" s="79" t="s">
        <v>162</v>
      </c>
      <c r="J44" s="80"/>
      <c r="K44" s="78" t="b">
        <v>1</v>
      </c>
      <c r="L44" s="66" t="str">
        <f t="shared" si="2"/>
        <v/>
      </c>
      <c r="M44" s="81" t="str">
        <f>IFERROR(__xludf.DUMMYFUNCTION("IF(W44=1,IFERROR(IMPORTXML(I44, ""//p[@class='status-date']""), ""Not deployed""),"""")"),"")</f>
        <v/>
      </c>
      <c r="N44" s="82"/>
      <c r="O44" s="66"/>
      <c r="P44" s="66"/>
      <c r="Q44" s="66"/>
      <c r="R44" s="83" t="str">
        <f t="shared" si="3"/>
        <v/>
      </c>
      <c r="S44" s="84" t="str">
        <f t="shared" si="4"/>
        <v/>
      </c>
      <c r="T44" s="85"/>
      <c r="U44" s="82">
        <f t="shared" si="5"/>
        <v>0</v>
      </c>
      <c r="V44" s="66">
        <f t="shared" si="6"/>
        <v>0</v>
      </c>
      <c r="W44" s="81">
        <f t="shared" si="7"/>
        <v>0</v>
      </c>
      <c r="X44" s="82" t="str">
        <f t="shared" si="8"/>
        <v>MariaHTJ</v>
      </c>
      <c r="Y44" s="86" t="str">
        <f t="shared" si="9"/>
        <v>https://www.munzee.com/m/MariaHTJ/20217/</v>
      </c>
    </row>
    <row r="45" hidden="1" outlineLevel="1">
      <c r="A45" s="76" t="s">
        <v>163</v>
      </c>
      <c r="B45" s="77">
        <v>5.0</v>
      </c>
      <c r="C45" s="77">
        <v>11.0</v>
      </c>
      <c r="D45" s="64">
        <v>52.121866</v>
      </c>
      <c r="E45" s="64">
        <v>5.383052</v>
      </c>
      <c r="F45" s="78" t="s">
        <v>70</v>
      </c>
      <c r="G45" s="78" t="s">
        <v>71</v>
      </c>
      <c r="H45" s="78" t="s">
        <v>86</v>
      </c>
      <c r="I45" s="79" t="s">
        <v>164</v>
      </c>
      <c r="J45" s="80"/>
      <c r="K45" s="78" t="b">
        <v>1</v>
      </c>
      <c r="L45" s="66" t="str">
        <f t="shared" si="2"/>
        <v/>
      </c>
      <c r="M45" s="81" t="str">
        <f>IFERROR(__xludf.DUMMYFUNCTION("IF(W45=1,IFERROR(IMPORTXML(I45, ""//p[@class='status-date']""), ""Not deployed""),"""")"),"")</f>
        <v/>
      </c>
      <c r="N45" s="82"/>
      <c r="O45" s="66"/>
      <c r="P45" s="66"/>
      <c r="Q45" s="66"/>
      <c r="R45" s="83" t="str">
        <f t="shared" si="3"/>
        <v/>
      </c>
      <c r="S45" s="84" t="str">
        <f t="shared" si="4"/>
        <v/>
      </c>
      <c r="T45" s="85"/>
      <c r="U45" s="82">
        <f t="shared" si="5"/>
        <v>0</v>
      </c>
      <c r="V45" s="66">
        <f t="shared" si="6"/>
        <v>0</v>
      </c>
      <c r="W45" s="81">
        <f t="shared" si="7"/>
        <v>0</v>
      </c>
      <c r="X45" s="82" t="str">
        <f t="shared" si="8"/>
        <v>Alroso</v>
      </c>
      <c r="Y45" s="86" t="str">
        <f t="shared" si="9"/>
        <v>https://www.munzee.com/m/Alroso/2839/</v>
      </c>
    </row>
    <row r="46" hidden="1" outlineLevel="1">
      <c r="A46" s="76" t="s">
        <v>165</v>
      </c>
      <c r="B46" s="77">
        <v>5.0</v>
      </c>
      <c r="C46" s="77">
        <v>12.0</v>
      </c>
      <c r="D46" s="64">
        <v>52.121866</v>
      </c>
      <c r="E46" s="64">
        <v>5.383287</v>
      </c>
      <c r="F46" s="78" t="s">
        <v>78</v>
      </c>
      <c r="G46" s="78" t="s">
        <v>79</v>
      </c>
      <c r="H46" s="66" t="str">
        <f>IF(ISTEXT(X46),X46,"")</f>
        <v>230Volt</v>
      </c>
      <c r="I46" s="79" t="s">
        <v>166</v>
      </c>
      <c r="J46" s="80"/>
      <c r="K46" s="78" t="b">
        <v>1</v>
      </c>
      <c r="L46" s="66" t="str">
        <f t="shared" si="2"/>
        <v/>
      </c>
      <c r="M46" s="81" t="str">
        <f>IFERROR(__xludf.DUMMYFUNCTION("IF(W46=1,IFERROR(IMPORTXML(#REF!, ""//p[@class='status-date']""), ""Not deployed""),"""")"),"")</f>
        <v/>
      </c>
      <c r="N46" s="82"/>
      <c r="O46" s="66"/>
      <c r="P46" s="66"/>
      <c r="Q46" s="66"/>
      <c r="R46" s="83" t="str">
        <f t="shared" si="3"/>
        <v/>
      </c>
      <c r="S46" s="84" t="str">
        <f t="shared" si="4"/>
        <v/>
      </c>
      <c r="T46" s="85"/>
      <c r="U46" s="82">
        <f t="shared" si="5"/>
        <v>0</v>
      </c>
      <c r="V46" s="66">
        <f t="shared" si="6"/>
        <v>0</v>
      </c>
      <c r="W46" s="81">
        <f t="shared" si="7"/>
        <v>0</v>
      </c>
      <c r="X46" s="82" t="str">
        <f t="shared" si="8"/>
        <v>230Volt</v>
      </c>
      <c r="Y46" s="86" t="str">
        <f t="shared" si="9"/>
        <v>https://www.munzee.com/m/230Volt/1330/</v>
      </c>
    </row>
    <row r="47" hidden="1" outlineLevel="1">
      <c r="A47" s="76" t="s">
        <v>167</v>
      </c>
      <c r="B47" s="77">
        <v>5.0</v>
      </c>
      <c r="C47" s="77">
        <v>13.0</v>
      </c>
      <c r="D47" s="64">
        <v>52.121866</v>
      </c>
      <c r="E47" s="64">
        <v>5.383521</v>
      </c>
      <c r="F47" s="78" t="s">
        <v>125</v>
      </c>
      <c r="G47" s="78" t="s">
        <v>126</v>
      </c>
      <c r="H47" s="78" t="s">
        <v>94</v>
      </c>
      <c r="I47" s="79" t="s">
        <v>168</v>
      </c>
      <c r="J47" s="80"/>
      <c r="K47" s="78" t="b">
        <v>1</v>
      </c>
      <c r="L47" s="66" t="str">
        <f t="shared" si="2"/>
        <v/>
      </c>
      <c r="M47" s="81" t="str">
        <f>IFERROR(__xludf.DUMMYFUNCTION("IF(W47=1,IFERROR(IMPORTXML(I46, ""//p[@class='status-date']""), ""Not deployed""),"""")"),"")</f>
        <v/>
      </c>
      <c r="N47" s="82"/>
      <c r="O47" s="66"/>
      <c r="P47" s="66"/>
      <c r="Q47" s="66"/>
      <c r="R47" s="83" t="str">
        <f t="shared" si="3"/>
        <v/>
      </c>
      <c r="S47" s="84" t="str">
        <f t="shared" si="4"/>
        <v/>
      </c>
      <c r="T47" s="85"/>
      <c r="U47" s="82">
        <f t="shared" si="5"/>
        <v>0</v>
      </c>
      <c r="V47" s="66">
        <f t="shared" si="6"/>
        <v>0</v>
      </c>
      <c r="W47" s="81">
        <f t="shared" si="7"/>
        <v>0</v>
      </c>
      <c r="X47" s="82" t="str">
        <f t="shared" si="8"/>
        <v>paulus2012</v>
      </c>
      <c r="Y47" s="86" t="str">
        <f t="shared" si="9"/>
        <v>https://www.munzee.com/m/paulus2012/8971/</v>
      </c>
    </row>
    <row r="48" hidden="1" outlineLevel="1">
      <c r="A48" s="76" t="s">
        <v>169</v>
      </c>
      <c r="B48" s="77">
        <v>5.0</v>
      </c>
      <c r="C48" s="77">
        <v>14.0</v>
      </c>
      <c r="D48" s="64">
        <v>52.121866</v>
      </c>
      <c r="E48" s="64">
        <v>5.383755</v>
      </c>
      <c r="F48" s="78" t="s">
        <v>125</v>
      </c>
      <c r="G48" s="78" t="s">
        <v>126</v>
      </c>
      <c r="H48" s="78" t="s">
        <v>170</v>
      </c>
      <c r="I48" s="79" t="s">
        <v>171</v>
      </c>
      <c r="J48" s="80"/>
      <c r="K48" s="78" t="b">
        <v>1</v>
      </c>
      <c r="L48" s="66" t="str">
        <f t="shared" si="2"/>
        <v/>
      </c>
      <c r="M48" s="81" t="str">
        <f>IFERROR(__xludf.DUMMYFUNCTION("IF(W48=1,IFERROR(IMPORTXML(I48, ""//p[@class='status-date']""), ""Not deployed""),"""")"),"")</f>
        <v/>
      </c>
      <c r="N48" s="82"/>
      <c r="O48" s="66"/>
      <c r="P48" s="66"/>
      <c r="Q48" s="66"/>
      <c r="R48" s="83" t="str">
        <f t="shared" si="3"/>
        <v/>
      </c>
      <c r="S48" s="84" t="str">
        <f t="shared" si="4"/>
        <v/>
      </c>
      <c r="T48" s="85"/>
      <c r="U48" s="82">
        <f t="shared" si="5"/>
        <v>0</v>
      </c>
      <c r="V48" s="66">
        <f t="shared" si="6"/>
        <v>0</v>
      </c>
      <c r="W48" s="81">
        <f t="shared" si="7"/>
        <v>0</v>
      </c>
      <c r="X48" s="82" t="str">
        <f t="shared" si="8"/>
        <v>MrsSourflush</v>
      </c>
      <c r="Y48" s="86" t="str">
        <f t="shared" si="9"/>
        <v>https://www.munzee.com/m/MrsSourflush/7114/</v>
      </c>
    </row>
    <row r="49" hidden="1" outlineLevel="1">
      <c r="A49" s="76" t="s">
        <v>172</v>
      </c>
      <c r="B49" s="77">
        <v>5.0</v>
      </c>
      <c r="C49" s="77">
        <v>15.0</v>
      </c>
      <c r="D49" s="64">
        <v>52.121866</v>
      </c>
      <c r="E49" s="64">
        <v>5.383989</v>
      </c>
      <c r="F49" s="78" t="s">
        <v>51</v>
      </c>
      <c r="G49" s="78" t="s">
        <v>52</v>
      </c>
      <c r="H49" s="66" t="str">
        <f t="shared" ref="H49:H52" si="11">IF(ISTEXT(X49),X49,"")</f>
        <v>MariaHTJ</v>
      </c>
      <c r="I49" s="79" t="s">
        <v>173</v>
      </c>
      <c r="J49" s="80"/>
      <c r="K49" s="78" t="b">
        <v>1</v>
      </c>
      <c r="L49" s="66" t="str">
        <f t="shared" si="2"/>
        <v/>
      </c>
      <c r="M49" s="81" t="str">
        <f>IFERROR(__xludf.DUMMYFUNCTION("IF(W49=1,IFERROR(IMPORTXML(I49, ""//p[@class='status-date']""), ""Not deployed""),"""")"),"")</f>
        <v/>
      </c>
      <c r="N49" s="82"/>
      <c r="O49" s="66"/>
      <c r="P49" s="66"/>
      <c r="Q49" s="66"/>
      <c r="R49" s="83" t="str">
        <f t="shared" si="3"/>
        <v/>
      </c>
      <c r="S49" s="84" t="str">
        <f t="shared" si="4"/>
        <v/>
      </c>
      <c r="T49" s="85"/>
      <c r="U49" s="82">
        <f t="shared" si="5"/>
        <v>0</v>
      </c>
      <c r="V49" s="66">
        <f t="shared" si="6"/>
        <v>0</v>
      </c>
      <c r="W49" s="81">
        <f t="shared" si="7"/>
        <v>0</v>
      </c>
      <c r="X49" s="82" t="str">
        <f t="shared" si="8"/>
        <v>MariaHTJ</v>
      </c>
      <c r="Y49" s="86" t="str">
        <f t="shared" si="9"/>
        <v>https://www.munzee.com/m/MariaHTJ/20216/</v>
      </c>
    </row>
    <row r="50" hidden="1" outlineLevel="1">
      <c r="A50" s="76" t="s">
        <v>174</v>
      </c>
      <c r="B50" s="77">
        <v>6.0</v>
      </c>
      <c r="C50" s="77">
        <v>3.0</v>
      </c>
      <c r="D50" s="64">
        <v>52.121723</v>
      </c>
      <c r="E50" s="64">
        <v>5.38118</v>
      </c>
      <c r="F50" s="78" t="s">
        <v>147</v>
      </c>
      <c r="G50" s="78" t="s">
        <v>148</v>
      </c>
      <c r="H50" s="66" t="str">
        <f t="shared" si="11"/>
        <v>AmezorC</v>
      </c>
      <c r="I50" s="79" t="s">
        <v>175</v>
      </c>
      <c r="J50" s="80"/>
      <c r="K50" s="78" t="b">
        <v>1</v>
      </c>
      <c r="L50" s="66" t="str">
        <f t="shared" si="2"/>
        <v/>
      </c>
      <c r="M50" s="81" t="str">
        <f>IFERROR(__xludf.DUMMYFUNCTION("IF(W50=1,IFERROR(IMPORTXML(I50, ""//p[@class='status-date']""), ""Not deployed""),"""")"),"")</f>
        <v/>
      </c>
      <c r="N50" s="82"/>
      <c r="O50" s="66"/>
      <c r="P50" s="66"/>
      <c r="Q50" s="66"/>
      <c r="R50" s="83" t="str">
        <f t="shared" si="3"/>
        <v/>
      </c>
      <c r="S50" s="84" t="str">
        <f t="shared" si="4"/>
        <v/>
      </c>
      <c r="T50" s="85"/>
      <c r="U50" s="82">
        <f t="shared" si="5"/>
        <v>0</v>
      </c>
      <c r="V50" s="66">
        <f t="shared" si="6"/>
        <v>0</v>
      </c>
      <c r="W50" s="81">
        <f t="shared" si="7"/>
        <v>0</v>
      </c>
      <c r="X50" s="82" t="str">
        <f t="shared" si="8"/>
        <v>AmezorC</v>
      </c>
      <c r="Y50" s="86" t="str">
        <f t="shared" si="9"/>
        <v>https://www.munzee.com/m/AmezorC/13968/</v>
      </c>
    </row>
    <row r="51" hidden="1" outlineLevel="1">
      <c r="A51" s="76" t="s">
        <v>176</v>
      </c>
      <c r="B51" s="77">
        <v>6.0</v>
      </c>
      <c r="C51" s="77">
        <v>4.0</v>
      </c>
      <c r="D51" s="64">
        <v>52.121723</v>
      </c>
      <c r="E51" s="64">
        <v>5.381414</v>
      </c>
      <c r="F51" s="78" t="s">
        <v>177</v>
      </c>
      <c r="G51" s="78" t="s">
        <v>178</v>
      </c>
      <c r="H51" s="66" t="str">
        <f t="shared" si="11"/>
        <v>230Volt</v>
      </c>
      <c r="I51" s="79" t="s">
        <v>179</v>
      </c>
      <c r="J51" s="80"/>
      <c r="K51" s="78" t="b">
        <v>1</v>
      </c>
      <c r="L51" s="66" t="str">
        <f t="shared" si="2"/>
        <v/>
      </c>
      <c r="M51" s="81" t="str">
        <f>IFERROR(__xludf.DUMMYFUNCTION("IF(W51=1,IFERROR(IMPORTXML(I51, ""//p[@class='status-date']""), ""Not deployed""),"""")"),"")</f>
        <v/>
      </c>
      <c r="N51" s="82"/>
      <c r="O51" s="66"/>
      <c r="P51" s="66"/>
      <c r="Q51" s="66"/>
      <c r="R51" s="83" t="str">
        <f t="shared" si="3"/>
        <v/>
      </c>
      <c r="S51" s="84" t="str">
        <f t="shared" si="4"/>
        <v/>
      </c>
      <c r="T51" s="85"/>
      <c r="U51" s="82">
        <f t="shared" si="5"/>
        <v>0</v>
      </c>
      <c r="V51" s="66">
        <f t="shared" si="6"/>
        <v>0</v>
      </c>
      <c r="W51" s="81">
        <f t="shared" si="7"/>
        <v>0</v>
      </c>
      <c r="X51" s="82" t="str">
        <f t="shared" si="8"/>
        <v>230Volt</v>
      </c>
      <c r="Y51" s="86" t="str">
        <f t="shared" si="9"/>
        <v>https://www.munzee.com/m/230Volt/1331/</v>
      </c>
    </row>
    <row r="52" hidden="1" outlineLevel="1">
      <c r="A52" s="76" t="s">
        <v>180</v>
      </c>
      <c r="B52" s="77">
        <v>6.0</v>
      </c>
      <c r="C52" s="77">
        <v>5.0</v>
      </c>
      <c r="D52" s="64">
        <v>52.121723</v>
      </c>
      <c r="E52" s="64">
        <v>5.381648</v>
      </c>
      <c r="F52" s="78" t="s">
        <v>177</v>
      </c>
      <c r="G52" s="78" t="s">
        <v>178</v>
      </c>
      <c r="H52" s="66" t="str">
        <f t="shared" si="11"/>
        <v>Amerod</v>
      </c>
      <c r="I52" s="79" t="s">
        <v>181</v>
      </c>
      <c r="J52" s="80"/>
      <c r="K52" s="78" t="b">
        <v>1</v>
      </c>
      <c r="L52" s="66" t="str">
        <f t="shared" si="2"/>
        <v/>
      </c>
      <c r="M52" s="81" t="str">
        <f>IFERROR(__xludf.DUMMYFUNCTION("IF(W52=1,IFERROR(IMPORTXML(I52, ""//p[@class='status-date']""), ""Not deployed""),"""")"),"")</f>
        <v/>
      </c>
      <c r="N52" s="82"/>
      <c r="O52" s="66"/>
      <c r="P52" s="66"/>
      <c r="Q52" s="66"/>
      <c r="R52" s="83" t="str">
        <f t="shared" si="3"/>
        <v/>
      </c>
      <c r="S52" s="84" t="str">
        <f t="shared" si="4"/>
        <v/>
      </c>
      <c r="T52" s="85"/>
      <c r="U52" s="82">
        <f t="shared" si="5"/>
        <v>0</v>
      </c>
      <c r="V52" s="66">
        <f t="shared" si="6"/>
        <v>0</v>
      </c>
      <c r="W52" s="81">
        <f t="shared" si="7"/>
        <v>0</v>
      </c>
      <c r="X52" s="82" t="str">
        <f t="shared" si="8"/>
        <v>Amerod</v>
      </c>
      <c r="Y52" s="86" t="str">
        <f t="shared" si="9"/>
        <v>https://www.munzee.com/m/Amerod/5580/</v>
      </c>
    </row>
    <row r="53" hidden="1" outlineLevel="1">
      <c r="A53" s="76" t="s">
        <v>182</v>
      </c>
      <c r="B53" s="77">
        <v>6.0</v>
      </c>
      <c r="C53" s="77">
        <v>6.0</v>
      </c>
      <c r="D53" s="64">
        <v>52.121723</v>
      </c>
      <c r="E53" s="64">
        <v>5.381882</v>
      </c>
      <c r="F53" s="78" t="s">
        <v>177</v>
      </c>
      <c r="G53" s="78" t="s">
        <v>178</v>
      </c>
      <c r="H53" s="78" t="s">
        <v>183</v>
      </c>
      <c r="I53" s="79" t="s">
        <v>184</v>
      </c>
      <c r="J53" s="80"/>
      <c r="K53" s="78" t="b">
        <v>1</v>
      </c>
      <c r="L53" s="66" t="str">
        <f t="shared" si="2"/>
        <v/>
      </c>
      <c r="M53" s="81" t="str">
        <f>IFERROR(__xludf.DUMMYFUNCTION("IF(W53=1,IFERROR(IMPORTXML(I53, ""//p[@class='status-date']""), ""Not deployed""),"""")"),"")</f>
        <v/>
      </c>
      <c r="N53" s="82"/>
      <c r="O53" s="66"/>
      <c r="P53" s="66"/>
      <c r="Q53" s="66"/>
      <c r="R53" s="83" t="str">
        <f t="shared" si="3"/>
        <v/>
      </c>
      <c r="S53" s="84" t="str">
        <f t="shared" si="4"/>
        <v/>
      </c>
      <c r="T53" s="85"/>
      <c r="U53" s="82">
        <f t="shared" si="5"/>
        <v>0</v>
      </c>
      <c r="V53" s="66">
        <f t="shared" si="6"/>
        <v>0</v>
      </c>
      <c r="W53" s="81">
        <f t="shared" si="7"/>
        <v>0</v>
      </c>
      <c r="X53" s="82" t="str">
        <f t="shared" si="8"/>
        <v>SpaceCoastGeoStore</v>
      </c>
      <c r="Y53" s="86" t="str">
        <f t="shared" si="9"/>
        <v>https://www.munzee.com/m/SpaceCoastGeoStore/15947/</v>
      </c>
    </row>
    <row r="54" hidden="1" outlineLevel="1">
      <c r="A54" s="76" t="s">
        <v>185</v>
      </c>
      <c r="B54" s="77">
        <v>6.0</v>
      </c>
      <c r="C54" s="77">
        <v>7.0</v>
      </c>
      <c r="D54" s="64">
        <v>52.121723</v>
      </c>
      <c r="E54" s="64">
        <v>5.382116</v>
      </c>
      <c r="F54" s="78" t="s">
        <v>186</v>
      </c>
      <c r="G54" s="78" t="s">
        <v>187</v>
      </c>
      <c r="H54" s="78" t="s">
        <v>188</v>
      </c>
      <c r="I54" s="79" t="s">
        <v>189</v>
      </c>
      <c r="J54" s="80"/>
      <c r="K54" s="78" t="b">
        <v>1</v>
      </c>
      <c r="L54" s="66" t="str">
        <f t="shared" si="2"/>
        <v/>
      </c>
      <c r="M54" s="81" t="str">
        <f>IFERROR(__xludf.DUMMYFUNCTION("IF(W54=1,IFERROR(IMPORTXML(I54, ""//p[@class='status-date']""), ""Not deployed""),"""")"),"")</f>
        <v/>
      </c>
      <c r="N54" s="82"/>
      <c r="O54" s="66"/>
      <c r="P54" s="66"/>
      <c r="Q54" s="66"/>
      <c r="R54" s="83" t="str">
        <f t="shared" si="3"/>
        <v/>
      </c>
      <c r="S54" s="84" t="str">
        <f t="shared" si="4"/>
        <v/>
      </c>
      <c r="T54" s="85"/>
      <c r="U54" s="82">
        <f t="shared" si="5"/>
        <v>0</v>
      </c>
      <c r="V54" s="66">
        <f t="shared" si="6"/>
        <v>0</v>
      </c>
      <c r="W54" s="81">
        <f t="shared" si="7"/>
        <v>0</v>
      </c>
      <c r="X54" s="82" t="str">
        <f t="shared" si="8"/>
        <v>DarbyJoan</v>
      </c>
      <c r="Y54" s="86" t="str">
        <f t="shared" si="9"/>
        <v>https://www.munzee.com/m/DarbyJoan/2875/</v>
      </c>
    </row>
    <row r="55" hidden="1" outlineLevel="1">
      <c r="A55" s="76" t="s">
        <v>190</v>
      </c>
      <c r="B55" s="77">
        <v>6.0</v>
      </c>
      <c r="C55" s="77">
        <v>8.0</v>
      </c>
      <c r="D55" s="64">
        <v>52.121723</v>
      </c>
      <c r="E55" s="64">
        <v>5.38235</v>
      </c>
      <c r="F55" s="78" t="s">
        <v>51</v>
      </c>
      <c r="G55" s="78" t="s">
        <v>52</v>
      </c>
      <c r="H55" s="78" t="s">
        <v>86</v>
      </c>
      <c r="I55" s="79" t="s">
        <v>191</v>
      </c>
      <c r="J55" s="80"/>
      <c r="K55" s="78" t="b">
        <v>1</v>
      </c>
      <c r="L55" s="66" t="str">
        <f t="shared" si="2"/>
        <v/>
      </c>
      <c r="M55" s="81" t="str">
        <f>IFERROR(__xludf.DUMMYFUNCTION("IF(W55=1,IFERROR(IMPORTXML(I55, ""//p[@class='status-date']""), ""Not deployed""),"""")"),"")</f>
        <v/>
      </c>
      <c r="N55" s="82"/>
      <c r="O55" s="66"/>
      <c r="P55" s="66"/>
      <c r="Q55" s="66"/>
      <c r="R55" s="83" t="str">
        <f t="shared" si="3"/>
        <v/>
      </c>
      <c r="S55" s="84" t="str">
        <f t="shared" si="4"/>
        <v/>
      </c>
      <c r="T55" s="85"/>
      <c r="U55" s="82">
        <f t="shared" si="5"/>
        <v>0</v>
      </c>
      <c r="V55" s="66">
        <f t="shared" si="6"/>
        <v>0</v>
      </c>
      <c r="W55" s="81">
        <f t="shared" si="7"/>
        <v>0</v>
      </c>
      <c r="X55" s="82" t="str">
        <f t="shared" si="8"/>
        <v>Alroso</v>
      </c>
      <c r="Y55" s="86" t="str">
        <f t="shared" si="9"/>
        <v>https://www.munzee.com/m/Alroso/2992/</v>
      </c>
    </row>
    <row r="56" hidden="1" outlineLevel="1">
      <c r="A56" s="76" t="s">
        <v>192</v>
      </c>
      <c r="B56" s="77">
        <v>6.0</v>
      </c>
      <c r="C56" s="77">
        <v>9.0</v>
      </c>
      <c r="D56" s="64">
        <v>52.121723</v>
      </c>
      <c r="E56" s="64">
        <v>5.382584</v>
      </c>
      <c r="F56" s="78" t="s">
        <v>136</v>
      </c>
      <c r="G56" s="78" t="s">
        <v>137</v>
      </c>
      <c r="H56" s="66" t="str">
        <f>IF(ISTEXT(X56),X56,"")</f>
        <v>230Volt</v>
      </c>
      <c r="I56" s="79" t="s">
        <v>193</v>
      </c>
      <c r="J56" s="80"/>
      <c r="K56" s="78" t="b">
        <v>1</v>
      </c>
      <c r="L56" s="66" t="str">
        <f t="shared" si="2"/>
        <v/>
      </c>
      <c r="M56" s="81" t="str">
        <f>IFERROR(__xludf.DUMMYFUNCTION("IF(W56=1,IFERROR(IMPORTXML(I56, ""//p[@class='status-date']""), ""Not deployed""),"""")"),"")</f>
        <v/>
      </c>
      <c r="N56" s="82"/>
      <c r="O56" s="66"/>
      <c r="P56" s="66"/>
      <c r="Q56" s="66"/>
      <c r="R56" s="83" t="str">
        <f t="shared" si="3"/>
        <v/>
      </c>
      <c r="S56" s="84" t="str">
        <f t="shared" si="4"/>
        <v/>
      </c>
      <c r="T56" s="85"/>
      <c r="U56" s="82">
        <f t="shared" si="5"/>
        <v>0</v>
      </c>
      <c r="V56" s="66">
        <f t="shared" si="6"/>
        <v>0</v>
      </c>
      <c r="W56" s="81">
        <f t="shared" si="7"/>
        <v>0</v>
      </c>
      <c r="X56" s="82" t="str">
        <f t="shared" si="8"/>
        <v>230Volt</v>
      </c>
      <c r="Y56" s="86" t="str">
        <f t="shared" si="9"/>
        <v>https://www.munzee.com/m/230Volt/1344/</v>
      </c>
    </row>
    <row r="57" hidden="1" outlineLevel="1">
      <c r="A57" s="76" t="s">
        <v>194</v>
      </c>
      <c r="B57" s="77">
        <v>6.0</v>
      </c>
      <c r="C57" s="77">
        <v>10.0</v>
      </c>
      <c r="D57" s="64">
        <v>52.121723</v>
      </c>
      <c r="E57" s="64">
        <v>5.382818</v>
      </c>
      <c r="F57" s="78" t="s">
        <v>57</v>
      </c>
      <c r="G57" s="78" t="s">
        <v>58</v>
      </c>
      <c r="H57" s="78" t="s">
        <v>94</v>
      </c>
      <c r="I57" s="79" t="s">
        <v>195</v>
      </c>
      <c r="J57" s="80"/>
      <c r="K57" s="78" t="b">
        <v>1</v>
      </c>
      <c r="L57" s="66" t="str">
        <f t="shared" si="2"/>
        <v/>
      </c>
      <c r="M57" s="81" t="str">
        <f>IFERROR(__xludf.DUMMYFUNCTION("IF(W57=1,IFERROR(IMPORTXML(I57, ""//p[@class='status-date']""), ""Not deployed""),"""")"),"")</f>
        <v/>
      </c>
      <c r="N57" s="82"/>
      <c r="O57" s="66"/>
      <c r="P57" s="66"/>
      <c r="Q57" s="66"/>
      <c r="R57" s="83" t="str">
        <f t="shared" si="3"/>
        <v/>
      </c>
      <c r="S57" s="84" t="str">
        <f t="shared" si="4"/>
        <v/>
      </c>
      <c r="T57" s="85"/>
      <c r="U57" s="82">
        <f t="shared" si="5"/>
        <v>0</v>
      </c>
      <c r="V57" s="66">
        <f t="shared" si="6"/>
        <v>0</v>
      </c>
      <c r="W57" s="81">
        <f t="shared" si="7"/>
        <v>0</v>
      </c>
      <c r="X57" s="82" t="str">
        <f t="shared" si="8"/>
        <v>paulus2012</v>
      </c>
      <c r="Y57" s="86" t="str">
        <f t="shared" si="9"/>
        <v>https://www.munzee.com/m/paulus2012/8970/</v>
      </c>
    </row>
    <row r="58" hidden="1" outlineLevel="1">
      <c r="A58" s="76" t="s">
        <v>196</v>
      </c>
      <c r="B58" s="77">
        <v>6.0</v>
      </c>
      <c r="C58" s="77">
        <v>11.0</v>
      </c>
      <c r="D58" s="64">
        <v>52.121723</v>
      </c>
      <c r="E58" s="64">
        <v>5.383052</v>
      </c>
      <c r="F58" s="78" t="s">
        <v>78</v>
      </c>
      <c r="G58" s="78" t="s">
        <v>79</v>
      </c>
      <c r="H58" s="78" t="s">
        <v>108</v>
      </c>
      <c r="I58" s="79" t="s">
        <v>197</v>
      </c>
      <c r="J58" s="88"/>
      <c r="K58" s="78" t="b">
        <v>1</v>
      </c>
      <c r="L58" s="66" t="str">
        <f t="shared" si="2"/>
        <v/>
      </c>
      <c r="M58" s="81" t="str">
        <f>IFERROR(__xludf.DUMMYFUNCTION("IF(W58=1,IFERROR(IMPORTXML(I58, ""//p[@class='status-date']""), ""Not deployed""),"""")"),"")</f>
        <v/>
      </c>
      <c r="N58" s="82"/>
      <c r="O58" s="66"/>
      <c r="P58" s="66"/>
      <c r="Q58" s="66"/>
      <c r="R58" s="83" t="str">
        <f t="shared" si="3"/>
        <v/>
      </c>
      <c r="S58" s="84" t="str">
        <f t="shared" si="4"/>
        <v/>
      </c>
      <c r="T58" s="85"/>
      <c r="U58" s="82">
        <f t="shared" si="5"/>
        <v>0</v>
      </c>
      <c r="V58" s="66">
        <f t="shared" si="6"/>
        <v>0</v>
      </c>
      <c r="W58" s="81">
        <f t="shared" si="7"/>
        <v>0</v>
      </c>
      <c r="X58" s="82" t="str">
        <f t="shared" si="8"/>
        <v>123xilef</v>
      </c>
      <c r="Y58" s="86" t="str">
        <f t="shared" si="9"/>
        <v>https://www.munzee.com/m/123xilef/25761/</v>
      </c>
    </row>
    <row r="59" hidden="1" outlineLevel="1">
      <c r="A59" s="76" t="s">
        <v>198</v>
      </c>
      <c r="B59" s="77">
        <v>6.0</v>
      </c>
      <c r="C59" s="77">
        <v>12.0</v>
      </c>
      <c r="D59" s="64">
        <v>52.121723</v>
      </c>
      <c r="E59" s="64">
        <v>5.383286</v>
      </c>
      <c r="F59" s="78" t="s">
        <v>70</v>
      </c>
      <c r="G59" s="78" t="s">
        <v>71</v>
      </c>
      <c r="H59" s="78" t="s">
        <v>199</v>
      </c>
      <c r="I59" s="79" t="s">
        <v>200</v>
      </c>
      <c r="J59" s="80"/>
      <c r="K59" s="78" t="b">
        <v>1</v>
      </c>
      <c r="L59" s="66" t="str">
        <f t="shared" si="2"/>
        <v/>
      </c>
      <c r="M59" s="81" t="str">
        <f>IFERROR(__xludf.DUMMYFUNCTION("IF(W59=1,IFERROR(IMPORTXML(I59, ""//p[@class='status-date']""), ""Not deployed""),"""")"),"")</f>
        <v/>
      </c>
      <c r="N59" s="82"/>
      <c r="O59" s="66"/>
      <c r="P59" s="66"/>
      <c r="Q59" s="66"/>
      <c r="R59" s="83" t="str">
        <f t="shared" si="3"/>
        <v/>
      </c>
      <c r="S59" s="84" t="str">
        <f t="shared" si="4"/>
        <v/>
      </c>
      <c r="T59" s="85"/>
      <c r="U59" s="82">
        <f t="shared" si="5"/>
        <v>0</v>
      </c>
      <c r="V59" s="66">
        <f t="shared" si="6"/>
        <v>0</v>
      </c>
      <c r="W59" s="81">
        <f t="shared" si="7"/>
        <v>0</v>
      </c>
      <c r="X59" s="82" t="str">
        <f t="shared" si="8"/>
        <v>Kegelhexe</v>
      </c>
      <c r="Y59" s="86" t="str">
        <f t="shared" si="9"/>
        <v>https://www.munzee.com/m/Kegelhexe/5357/</v>
      </c>
    </row>
    <row r="60" hidden="1" outlineLevel="1">
      <c r="A60" s="76" t="s">
        <v>201</v>
      </c>
      <c r="B60" s="77">
        <v>6.0</v>
      </c>
      <c r="C60" s="77">
        <v>13.0</v>
      </c>
      <c r="D60" s="64">
        <v>52.121723</v>
      </c>
      <c r="E60" s="64">
        <v>5.383521</v>
      </c>
      <c r="F60" s="78" t="s">
        <v>100</v>
      </c>
      <c r="G60" s="78" t="s">
        <v>101</v>
      </c>
      <c r="H60" s="66" t="str">
        <f>IF(ISTEXT(X60),X60,"")</f>
        <v>destrandman</v>
      </c>
      <c r="I60" s="79" t="s">
        <v>202</v>
      </c>
      <c r="J60" s="80"/>
      <c r="K60" s="78" t="b">
        <v>1</v>
      </c>
      <c r="L60" s="66" t="str">
        <f t="shared" si="2"/>
        <v/>
      </c>
      <c r="M60" s="81" t="str">
        <f>IFERROR(__xludf.DUMMYFUNCTION("IF(W60=1,IFERROR(IMPORTXML(I60, ""//p[@class='status-date']""), ""Not deployed""),"""")"),"")</f>
        <v/>
      </c>
      <c r="N60" s="82"/>
      <c r="O60" s="66"/>
      <c r="P60" s="66"/>
      <c r="Q60" s="66"/>
      <c r="R60" s="83" t="str">
        <f t="shared" si="3"/>
        <v/>
      </c>
      <c r="S60" s="84" t="str">
        <f t="shared" si="4"/>
        <v/>
      </c>
      <c r="T60" s="85"/>
      <c r="U60" s="82">
        <f t="shared" si="5"/>
        <v>0</v>
      </c>
      <c r="V60" s="66">
        <f t="shared" si="6"/>
        <v>0</v>
      </c>
      <c r="W60" s="81">
        <f t="shared" si="7"/>
        <v>0</v>
      </c>
      <c r="X60" s="82" t="str">
        <f t="shared" si="8"/>
        <v>destrandman</v>
      </c>
      <c r="Y60" s="86" t="str">
        <f t="shared" si="9"/>
        <v>https://www.munzee.com/m/destrandman/5841/</v>
      </c>
    </row>
    <row r="61" hidden="1" outlineLevel="1">
      <c r="A61" s="76" t="s">
        <v>203</v>
      </c>
      <c r="B61" s="77">
        <v>6.0</v>
      </c>
      <c r="C61" s="77">
        <v>14.0</v>
      </c>
      <c r="D61" s="64">
        <v>52.121723</v>
      </c>
      <c r="E61" s="64">
        <v>5.383755</v>
      </c>
      <c r="F61" s="78" t="s">
        <v>125</v>
      </c>
      <c r="G61" s="78" t="s">
        <v>126</v>
      </c>
      <c r="H61" s="78" t="s">
        <v>204</v>
      </c>
      <c r="I61" s="94" t="s">
        <v>205</v>
      </c>
      <c r="J61" s="80"/>
      <c r="K61" s="78" t="b">
        <v>1</v>
      </c>
      <c r="L61" s="66" t="str">
        <f t="shared" si="2"/>
        <v/>
      </c>
      <c r="M61" s="81" t="str">
        <f>IFERROR(__xludf.DUMMYFUNCTION("IF(W61=1,IFERROR(IMPORTXML(I61, ""//p[@class='status-date']""), ""Not deployed""),"""")"),"")</f>
        <v/>
      </c>
      <c r="N61" s="82"/>
      <c r="O61" s="66"/>
      <c r="P61" s="66"/>
      <c r="Q61" s="66"/>
      <c r="R61" s="83" t="str">
        <f t="shared" si="3"/>
        <v/>
      </c>
      <c r="S61" s="84" t="str">
        <f t="shared" si="4"/>
        <v/>
      </c>
      <c r="T61" s="85"/>
      <c r="U61" s="82">
        <f t="shared" si="5"/>
        <v>0</v>
      </c>
      <c r="V61" s="66">
        <f t="shared" si="6"/>
        <v>0</v>
      </c>
      <c r="W61" s="81">
        <f t="shared" si="7"/>
        <v>0</v>
      </c>
      <c r="X61" s="82" t="str">
        <f t="shared" si="8"/>
        <v>Cleland</v>
      </c>
      <c r="Y61" s="86" t="str">
        <f t="shared" si="9"/>
        <v>https://www.munzee.com/m/Cleland/1618/</v>
      </c>
    </row>
    <row r="62" hidden="1" outlineLevel="1">
      <c r="A62" s="76" t="s">
        <v>206</v>
      </c>
      <c r="B62" s="77">
        <v>6.0</v>
      </c>
      <c r="C62" s="77">
        <v>15.0</v>
      </c>
      <c r="D62" s="64">
        <v>52.121723</v>
      </c>
      <c r="E62" s="64">
        <v>5.383989</v>
      </c>
      <c r="F62" s="78" t="s">
        <v>57</v>
      </c>
      <c r="G62" s="78" t="s">
        <v>58</v>
      </c>
      <c r="H62" s="78" t="s">
        <v>207</v>
      </c>
      <c r="I62" s="93" t="s">
        <v>208</v>
      </c>
      <c r="J62" s="80"/>
      <c r="K62" s="78" t="b">
        <v>1</v>
      </c>
      <c r="L62" s="66" t="str">
        <f t="shared" si="2"/>
        <v/>
      </c>
      <c r="M62" s="81" t="str">
        <f>IFERROR(__xludf.DUMMYFUNCTION("IF(W62=1,IFERROR(IMPORTXML(I62, ""//p[@class='status-date']""), ""Not deployed""),"""")"),"")</f>
        <v/>
      </c>
      <c r="N62" s="82"/>
      <c r="O62" s="66"/>
      <c r="P62" s="66"/>
      <c r="Q62" s="66"/>
      <c r="R62" s="83" t="str">
        <f t="shared" si="3"/>
        <v/>
      </c>
      <c r="S62" s="84" t="str">
        <f t="shared" si="4"/>
        <v/>
      </c>
      <c r="T62" s="85"/>
      <c r="U62" s="82">
        <f t="shared" si="5"/>
        <v>0</v>
      </c>
      <c r="V62" s="66">
        <f t="shared" si="6"/>
        <v>0</v>
      </c>
      <c r="W62" s="81">
        <f t="shared" si="7"/>
        <v>0</v>
      </c>
      <c r="X62" s="82" t="str">
        <f t="shared" si="8"/>
        <v>lison55</v>
      </c>
      <c r="Y62" s="86" t="str">
        <f t="shared" si="9"/>
        <v>https://www.munzee.com/m/lison55/14535/</v>
      </c>
    </row>
    <row r="63" hidden="1" outlineLevel="1">
      <c r="A63" s="76" t="s">
        <v>209</v>
      </c>
      <c r="B63" s="77">
        <v>6.0</v>
      </c>
      <c r="C63" s="77">
        <v>16.0</v>
      </c>
      <c r="D63" s="64">
        <v>52.121723</v>
      </c>
      <c r="E63" s="64">
        <v>5.384223</v>
      </c>
      <c r="F63" s="78" t="s">
        <v>128</v>
      </c>
      <c r="G63" s="78" t="s">
        <v>129</v>
      </c>
      <c r="H63" s="66" t="str">
        <f>IF(ISTEXT(X63),X63,"")</f>
        <v>230Volt</v>
      </c>
      <c r="I63" s="79" t="s">
        <v>210</v>
      </c>
      <c r="J63" s="80"/>
      <c r="K63" s="78" t="b">
        <v>1</v>
      </c>
      <c r="L63" s="66" t="str">
        <f t="shared" si="2"/>
        <v/>
      </c>
      <c r="M63" s="81" t="str">
        <f>IFERROR(__xludf.DUMMYFUNCTION("IF(W63=1,IFERROR(IMPORTXML(I63, ""//p[@class='status-date']""), ""Not deployed""),"""")"),"")</f>
        <v/>
      </c>
      <c r="N63" s="82"/>
      <c r="O63" s="66"/>
      <c r="P63" s="66"/>
      <c r="Q63" s="66"/>
      <c r="R63" s="83" t="str">
        <f t="shared" si="3"/>
        <v/>
      </c>
      <c r="S63" s="84" t="str">
        <f t="shared" si="4"/>
        <v/>
      </c>
      <c r="T63" s="85"/>
      <c r="U63" s="82">
        <f t="shared" si="5"/>
        <v>0</v>
      </c>
      <c r="V63" s="66">
        <f t="shared" si="6"/>
        <v>0</v>
      </c>
      <c r="W63" s="81">
        <f t="shared" si="7"/>
        <v>0</v>
      </c>
      <c r="X63" s="82" t="str">
        <f t="shared" si="8"/>
        <v>230Volt</v>
      </c>
      <c r="Y63" s="86" t="str">
        <f t="shared" si="9"/>
        <v>https://www.munzee.com/m/230Volt/1345/</v>
      </c>
    </row>
    <row r="64" hidden="1" outlineLevel="1">
      <c r="A64" s="76" t="s">
        <v>211</v>
      </c>
      <c r="B64" s="77">
        <v>7.0</v>
      </c>
      <c r="C64" s="77">
        <v>2.0</v>
      </c>
      <c r="D64" s="64">
        <v>52.121579</v>
      </c>
      <c r="E64" s="64">
        <v>5.380946</v>
      </c>
      <c r="F64" s="78" t="s">
        <v>147</v>
      </c>
      <c r="G64" s="78" t="s">
        <v>148</v>
      </c>
      <c r="H64" s="78" t="s">
        <v>86</v>
      </c>
      <c r="I64" s="79" t="s">
        <v>212</v>
      </c>
      <c r="J64" s="80"/>
      <c r="K64" s="78" t="b">
        <v>1</v>
      </c>
      <c r="L64" s="66" t="str">
        <f t="shared" si="2"/>
        <v/>
      </c>
      <c r="M64" s="81" t="str">
        <f>IFERROR(__xludf.DUMMYFUNCTION("IF(W64=1,IFERROR(IMPORTXML(I64, ""//p[@class='status-date']""), ""Not deployed""),"""")"),"")</f>
        <v/>
      </c>
      <c r="N64" s="82"/>
      <c r="O64" s="66"/>
      <c r="P64" s="66"/>
      <c r="Q64" s="66"/>
      <c r="R64" s="83" t="str">
        <f t="shared" si="3"/>
        <v/>
      </c>
      <c r="S64" s="84" t="str">
        <f t="shared" si="4"/>
        <v/>
      </c>
      <c r="T64" s="85"/>
      <c r="U64" s="82">
        <f t="shared" si="5"/>
        <v>0</v>
      </c>
      <c r="V64" s="66">
        <f t="shared" si="6"/>
        <v>0</v>
      </c>
      <c r="W64" s="81">
        <f t="shared" si="7"/>
        <v>0</v>
      </c>
      <c r="X64" s="82" t="str">
        <f t="shared" si="8"/>
        <v>Alroso</v>
      </c>
      <c r="Y64" s="86" t="str">
        <f t="shared" si="9"/>
        <v>https://www.munzee.com/m/Alroso/2787/</v>
      </c>
    </row>
    <row r="65" hidden="1" outlineLevel="1">
      <c r="A65" s="76" t="s">
        <v>213</v>
      </c>
      <c r="B65" s="77">
        <v>7.0</v>
      </c>
      <c r="C65" s="77">
        <v>3.0</v>
      </c>
      <c r="D65" s="64">
        <v>52.121579</v>
      </c>
      <c r="E65" s="64">
        <v>5.38118</v>
      </c>
      <c r="F65" s="78" t="s">
        <v>214</v>
      </c>
      <c r="G65" s="78" t="s">
        <v>215</v>
      </c>
      <c r="H65" s="78" t="s">
        <v>94</v>
      </c>
      <c r="I65" s="79" t="s">
        <v>216</v>
      </c>
      <c r="J65" s="80"/>
      <c r="K65" s="78" t="b">
        <v>1</v>
      </c>
      <c r="L65" s="66" t="str">
        <f t="shared" si="2"/>
        <v/>
      </c>
      <c r="M65" s="81" t="str">
        <f>IFERROR(__xludf.DUMMYFUNCTION("IF(W65=1,IFERROR(IMPORTXML(I65, ""//p[@class='status-date']""), ""Not deployed""),"""")"),"")</f>
        <v/>
      </c>
      <c r="N65" s="82"/>
      <c r="O65" s="66"/>
      <c r="P65" s="66"/>
      <c r="Q65" s="66"/>
      <c r="R65" s="83" t="str">
        <f t="shared" si="3"/>
        <v/>
      </c>
      <c r="S65" s="84" t="str">
        <f t="shared" si="4"/>
        <v/>
      </c>
      <c r="T65" s="85"/>
      <c r="U65" s="82">
        <f t="shared" si="5"/>
        <v>0</v>
      </c>
      <c r="V65" s="66">
        <f t="shared" si="6"/>
        <v>0</v>
      </c>
      <c r="W65" s="81">
        <f t="shared" si="7"/>
        <v>0</v>
      </c>
      <c r="X65" s="82" t="str">
        <f t="shared" si="8"/>
        <v>paulus2012</v>
      </c>
      <c r="Y65" s="86" t="str">
        <f t="shared" si="9"/>
        <v>https://www.munzee.com/m/paulus2012/8969/</v>
      </c>
    </row>
    <row r="66" hidden="1" outlineLevel="1">
      <c r="A66" s="76" t="s">
        <v>217</v>
      </c>
      <c r="B66" s="77">
        <v>7.0</v>
      </c>
      <c r="C66" s="77">
        <v>4.0</v>
      </c>
      <c r="D66" s="64">
        <v>52.121579</v>
      </c>
      <c r="E66" s="64">
        <v>5.381414</v>
      </c>
      <c r="F66" s="78" t="s">
        <v>177</v>
      </c>
      <c r="G66" s="78" t="s">
        <v>178</v>
      </c>
      <c r="H66" s="66" t="str">
        <f>IF(X66=" ",X66,'Flamingo @ DenTreek'!H64)</f>
        <v>Marcelkooyman</v>
      </c>
      <c r="I66" s="79" t="str">
        <f>'Flamingo @ DenTreek'!I64</f>
        <v>https://www.munzee.com/m/Marcelkooyman/170/</v>
      </c>
      <c r="J66" s="80"/>
      <c r="K66" s="78" t="b">
        <v>1</v>
      </c>
      <c r="L66" s="66" t="str">
        <f t="shared" si="2"/>
        <v/>
      </c>
      <c r="M66" s="81" t="str">
        <f>IFERROR(__xludf.DUMMYFUNCTION("IF(W66=1,IFERROR(IMPORTXML(I66, ""//p[@class='status-date']""), ""Not deployed""),"""")"),"")</f>
        <v/>
      </c>
      <c r="N66" s="82"/>
      <c r="O66" s="66"/>
      <c r="P66" s="66"/>
      <c r="Q66" s="66"/>
      <c r="R66" s="83" t="str">
        <f t="shared" si="3"/>
        <v/>
      </c>
      <c r="S66" s="84" t="str">
        <f t="shared" si="4"/>
        <v/>
      </c>
      <c r="T66" s="85"/>
      <c r="U66" s="82">
        <f t="shared" si="5"/>
        <v>0</v>
      </c>
      <c r="V66" s="66">
        <f t="shared" si="6"/>
        <v>0</v>
      </c>
      <c r="W66" s="81">
        <f t="shared" si="7"/>
        <v>0</v>
      </c>
      <c r="X66" s="82" t="str">
        <f t="shared" si="8"/>
        <v>Marcelkooyman</v>
      </c>
      <c r="Y66" s="86" t="str">
        <f t="shared" si="9"/>
        <v>https://www.munzee.com/m/Marcelkooyman/170/</v>
      </c>
    </row>
    <row r="67" hidden="1" outlineLevel="1">
      <c r="A67" s="76" t="s">
        <v>218</v>
      </c>
      <c r="B67" s="77">
        <v>7.0</v>
      </c>
      <c r="C67" s="77">
        <v>5.0</v>
      </c>
      <c r="D67" s="64">
        <v>52.121579</v>
      </c>
      <c r="E67" s="64">
        <v>5.381648</v>
      </c>
      <c r="F67" s="78" t="s">
        <v>177</v>
      </c>
      <c r="G67" s="78" t="s">
        <v>178</v>
      </c>
      <c r="H67" s="78" t="s">
        <v>219</v>
      </c>
      <c r="I67" s="79" t="s">
        <v>220</v>
      </c>
      <c r="J67" s="80"/>
      <c r="K67" s="78" t="b">
        <v>1</v>
      </c>
      <c r="L67" s="66" t="str">
        <f t="shared" si="2"/>
        <v/>
      </c>
      <c r="M67" s="81" t="str">
        <f>IFERROR(__xludf.DUMMYFUNCTION("IF(W67=1,IFERROR(IMPORTXML(I67, ""//p[@class='status-date']""), ""Not deployed""),"""")"),"")</f>
        <v/>
      </c>
      <c r="N67" s="82"/>
      <c r="O67" s="66"/>
      <c r="P67" s="66"/>
      <c r="Q67" s="66"/>
      <c r="R67" s="83" t="str">
        <f t="shared" si="3"/>
        <v/>
      </c>
      <c r="S67" s="84" t="str">
        <f t="shared" si="4"/>
        <v/>
      </c>
      <c r="T67" s="85"/>
      <c r="U67" s="82">
        <f t="shared" si="5"/>
        <v>0</v>
      </c>
      <c r="V67" s="66">
        <f t="shared" si="6"/>
        <v>0</v>
      </c>
      <c r="W67" s="81">
        <f t="shared" si="7"/>
        <v>0</v>
      </c>
      <c r="X67" s="82" t="str">
        <f t="shared" si="8"/>
        <v>raftjen</v>
      </c>
      <c r="Y67" s="86" t="str">
        <f t="shared" si="9"/>
        <v>https://www.munzee.com/m/raftjen/6707/</v>
      </c>
    </row>
    <row r="68" hidden="1" outlineLevel="1">
      <c r="A68" s="76" t="s">
        <v>221</v>
      </c>
      <c r="B68" s="77">
        <v>7.0</v>
      </c>
      <c r="C68" s="77">
        <v>6.0</v>
      </c>
      <c r="D68" s="64">
        <v>52.121579</v>
      </c>
      <c r="E68" s="64">
        <v>5.381882</v>
      </c>
      <c r="F68" s="78" t="s">
        <v>151</v>
      </c>
      <c r="G68" s="78" t="s">
        <v>152</v>
      </c>
      <c r="H68" s="78" t="s">
        <v>222</v>
      </c>
      <c r="I68" s="79" t="s">
        <v>223</v>
      </c>
      <c r="J68" s="80"/>
      <c r="K68" s="78" t="b">
        <v>1</v>
      </c>
      <c r="L68" s="66" t="str">
        <f t="shared" si="2"/>
        <v/>
      </c>
      <c r="M68" s="81" t="str">
        <f>IFERROR(__xludf.DUMMYFUNCTION("IF(W68=1,IFERROR(IMPORTXML(I68, ""//p[@class='status-date']""), ""Not deployed""),"""")"),"")</f>
        <v/>
      </c>
      <c r="N68" s="82"/>
      <c r="O68" s="66"/>
      <c r="P68" s="66"/>
      <c r="Q68" s="66"/>
      <c r="R68" s="83" t="str">
        <f t="shared" si="3"/>
        <v/>
      </c>
      <c r="S68" s="84" t="str">
        <f t="shared" si="4"/>
        <v/>
      </c>
      <c r="T68" s="85"/>
      <c r="U68" s="82">
        <f t="shared" si="5"/>
        <v>0</v>
      </c>
      <c r="V68" s="66">
        <f t="shared" si="6"/>
        <v>0</v>
      </c>
      <c r="W68" s="81">
        <f t="shared" si="7"/>
        <v>0</v>
      </c>
      <c r="X68" s="82" t="str">
        <f t="shared" si="8"/>
        <v>RTHawk</v>
      </c>
      <c r="Y68" s="86" t="str">
        <f t="shared" si="9"/>
        <v>https://www.munzee.com/m/RTHawk/5649/</v>
      </c>
    </row>
    <row r="69" hidden="1" outlineLevel="1">
      <c r="A69" s="76" t="s">
        <v>224</v>
      </c>
      <c r="B69" s="77">
        <v>7.0</v>
      </c>
      <c r="C69" s="77">
        <v>7.0</v>
      </c>
      <c r="D69" s="64">
        <v>52.121579</v>
      </c>
      <c r="E69" s="64">
        <v>5.382116</v>
      </c>
      <c r="F69" s="78" t="s">
        <v>186</v>
      </c>
      <c r="G69" s="78" t="s">
        <v>187</v>
      </c>
      <c r="H69" s="66" t="str">
        <f>IF(X69=" ",X69,'Flamingo @ DenTreek'!H67)</f>
        <v>Marcelkooyman</v>
      </c>
      <c r="I69" s="79" t="str">
        <f>'Flamingo @ DenTreek'!I67</f>
        <v>https://www.munzee.com/m/Marcelkooyman/169/</v>
      </c>
      <c r="J69" s="80"/>
      <c r="K69" s="78" t="b">
        <v>1</v>
      </c>
      <c r="L69" s="66" t="str">
        <f t="shared" si="2"/>
        <v/>
      </c>
      <c r="M69" s="81" t="str">
        <f>IFERROR(__xludf.DUMMYFUNCTION("IF(W69=1,IFERROR(IMPORTXML(I69, ""//p[@class='status-date']""), ""Not deployed""),"""")"),"")</f>
        <v/>
      </c>
      <c r="N69" s="82"/>
      <c r="O69" s="66"/>
      <c r="P69" s="66"/>
      <c r="Q69" s="66"/>
      <c r="R69" s="83" t="str">
        <f t="shared" si="3"/>
        <v/>
      </c>
      <c r="S69" s="84" t="str">
        <f t="shared" si="4"/>
        <v/>
      </c>
      <c r="T69" s="85"/>
      <c r="U69" s="82">
        <f t="shared" si="5"/>
        <v>0</v>
      </c>
      <c r="V69" s="66">
        <f t="shared" si="6"/>
        <v>0</v>
      </c>
      <c r="W69" s="81">
        <f t="shared" si="7"/>
        <v>0</v>
      </c>
      <c r="X69" s="82" t="str">
        <f t="shared" si="8"/>
        <v>Marcelkooyman</v>
      </c>
      <c r="Y69" s="86" t="str">
        <f t="shared" si="9"/>
        <v>https://www.munzee.com/m/Marcelkooyman/169/</v>
      </c>
    </row>
    <row r="70" hidden="1" outlineLevel="1">
      <c r="A70" s="76" t="s">
        <v>225</v>
      </c>
      <c r="B70" s="77">
        <v>7.0</v>
      </c>
      <c r="C70" s="77">
        <v>8.0</v>
      </c>
      <c r="D70" s="64">
        <v>52.121579</v>
      </c>
      <c r="E70" s="64">
        <v>5.38235</v>
      </c>
      <c r="F70" s="78" t="s">
        <v>125</v>
      </c>
      <c r="G70" s="78" t="s">
        <v>126</v>
      </c>
      <c r="H70" s="66" t="str">
        <f>IF(ISTEXT(X70),X70,"")</f>
        <v>AmezorC</v>
      </c>
      <c r="I70" s="79" t="s">
        <v>226</v>
      </c>
      <c r="J70" s="80"/>
      <c r="K70" s="78" t="b">
        <v>1</v>
      </c>
      <c r="L70" s="66" t="str">
        <f t="shared" si="2"/>
        <v/>
      </c>
      <c r="M70" s="81" t="str">
        <f>IFERROR(__xludf.DUMMYFUNCTION("IF(W70=1,IFERROR(IMPORTXML(I70, ""//p[@class='status-date']""), ""Not deployed""),"""")"),"")</f>
        <v/>
      </c>
      <c r="N70" s="82"/>
      <c r="O70" s="66"/>
      <c r="P70" s="66"/>
      <c r="Q70" s="66"/>
      <c r="R70" s="83" t="str">
        <f t="shared" si="3"/>
        <v/>
      </c>
      <c r="S70" s="84" t="str">
        <f t="shared" si="4"/>
        <v/>
      </c>
      <c r="T70" s="85"/>
      <c r="U70" s="82">
        <f t="shared" si="5"/>
        <v>0</v>
      </c>
      <c r="V70" s="66">
        <f t="shared" si="6"/>
        <v>0</v>
      </c>
      <c r="W70" s="81">
        <f t="shared" si="7"/>
        <v>0</v>
      </c>
      <c r="X70" s="82" t="str">
        <f t="shared" si="8"/>
        <v>AmezorC</v>
      </c>
      <c r="Y70" s="86" t="str">
        <f t="shared" si="9"/>
        <v>https://www.munzee.com/m/AmezorC/13967/</v>
      </c>
    </row>
    <row r="71" hidden="1" outlineLevel="1">
      <c r="A71" s="76" t="s">
        <v>227</v>
      </c>
      <c r="B71" s="77">
        <v>7.0</v>
      </c>
      <c r="C71" s="77">
        <v>9.0</v>
      </c>
      <c r="D71" s="64">
        <v>52.121579</v>
      </c>
      <c r="E71" s="64">
        <v>5.382584</v>
      </c>
      <c r="F71" s="78" t="s">
        <v>78</v>
      </c>
      <c r="G71" s="78" t="s">
        <v>79</v>
      </c>
      <c r="H71" s="78" t="s">
        <v>228</v>
      </c>
      <c r="I71" s="79" t="s">
        <v>229</v>
      </c>
      <c r="J71" s="80"/>
      <c r="K71" s="78" t="b">
        <v>1</v>
      </c>
      <c r="L71" s="66" t="str">
        <f t="shared" si="2"/>
        <v/>
      </c>
      <c r="M71" s="81" t="str">
        <f>IFERROR(__xludf.DUMMYFUNCTION("IF(W71=1,IFERROR(IMPORTXML(I71, ""//p[@class='status-date']""), ""Not deployed""),"""")"),"")</f>
        <v/>
      </c>
      <c r="N71" s="82"/>
      <c r="O71" s="66"/>
      <c r="P71" s="66"/>
      <c r="Q71" s="66"/>
      <c r="R71" s="83" t="str">
        <f t="shared" si="3"/>
        <v/>
      </c>
      <c r="S71" s="84" t="str">
        <f t="shared" si="4"/>
        <v/>
      </c>
      <c r="T71" s="85"/>
      <c r="U71" s="82">
        <f t="shared" si="5"/>
        <v>0</v>
      </c>
      <c r="V71" s="66">
        <f t="shared" si="6"/>
        <v>0</v>
      </c>
      <c r="W71" s="81">
        <f t="shared" si="7"/>
        <v>0</v>
      </c>
      <c r="X71" s="82" t="str">
        <f t="shared" si="8"/>
        <v>CzPeet</v>
      </c>
      <c r="Y71" s="86" t="str">
        <f t="shared" si="9"/>
        <v>https://www.munzee.com/m/CzPeet/11198/</v>
      </c>
    </row>
    <row r="72" hidden="1" outlineLevel="1">
      <c r="A72" s="76" t="s">
        <v>230</v>
      </c>
      <c r="B72" s="77">
        <v>7.0</v>
      </c>
      <c r="C72" s="77">
        <v>10.0</v>
      </c>
      <c r="D72" s="64">
        <v>52.121579</v>
      </c>
      <c r="E72" s="64">
        <v>5.382818</v>
      </c>
      <c r="F72" s="78" t="s">
        <v>78</v>
      </c>
      <c r="G72" s="78" t="s">
        <v>79</v>
      </c>
      <c r="H72" s="66" t="str">
        <f>IF(ISTEXT(X72),X72,"")</f>
        <v>keromar</v>
      </c>
      <c r="I72" s="79" t="s">
        <v>231</v>
      </c>
      <c r="J72" s="80"/>
      <c r="K72" s="78" t="b">
        <v>1</v>
      </c>
      <c r="L72" s="66" t="str">
        <f t="shared" si="2"/>
        <v/>
      </c>
      <c r="M72" s="81" t="str">
        <f>IFERROR(__xludf.DUMMYFUNCTION("IF(W72=1,IFERROR(IMPORTXML(I72, ""//p[@class='status-date']""), ""Not deployed""),"""")"),"")</f>
        <v/>
      </c>
      <c r="N72" s="82"/>
      <c r="O72" s="66"/>
      <c r="P72" s="66"/>
      <c r="Q72" s="66"/>
      <c r="R72" s="83" t="str">
        <f t="shared" si="3"/>
        <v/>
      </c>
      <c r="S72" s="84" t="str">
        <f t="shared" si="4"/>
        <v/>
      </c>
      <c r="T72" s="85"/>
      <c r="U72" s="82">
        <f t="shared" si="5"/>
        <v>0</v>
      </c>
      <c r="V72" s="66">
        <f t="shared" si="6"/>
        <v>0</v>
      </c>
      <c r="W72" s="81">
        <f t="shared" si="7"/>
        <v>0</v>
      </c>
      <c r="X72" s="82" t="str">
        <f t="shared" si="8"/>
        <v>keromar</v>
      </c>
      <c r="Y72" s="86" t="str">
        <f t="shared" si="9"/>
        <v>https://www.munzee.com/m/keromar/8454/</v>
      </c>
    </row>
    <row r="73" hidden="1" outlineLevel="1">
      <c r="A73" s="76" t="s">
        <v>232</v>
      </c>
      <c r="B73" s="77">
        <v>7.0</v>
      </c>
      <c r="C73" s="77">
        <v>11.0</v>
      </c>
      <c r="D73" s="64">
        <v>52.121579</v>
      </c>
      <c r="E73" s="64">
        <v>5.383052</v>
      </c>
      <c r="F73" s="78" t="s">
        <v>78</v>
      </c>
      <c r="G73" s="78" t="s">
        <v>79</v>
      </c>
      <c r="H73" s="78" t="s">
        <v>188</v>
      </c>
      <c r="I73" s="79" t="s">
        <v>233</v>
      </c>
      <c r="J73" s="80"/>
      <c r="K73" s="78" t="b">
        <v>1</v>
      </c>
      <c r="L73" s="66" t="str">
        <f t="shared" si="2"/>
        <v/>
      </c>
      <c r="M73" s="81" t="str">
        <f>IFERROR(__xludf.DUMMYFUNCTION("IF(W73=1,IFERROR(IMPORTXML(I73, ""//p[@class='status-date']""), ""Not deployed""),"""")"),"")</f>
        <v/>
      </c>
      <c r="N73" s="82"/>
      <c r="O73" s="66"/>
      <c r="P73" s="66"/>
      <c r="Q73" s="66"/>
      <c r="R73" s="83" t="str">
        <f t="shared" si="3"/>
        <v/>
      </c>
      <c r="S73" s="84" t="str">
        <f t="shared" si="4"/>
        <v/>
      </c>
      <c r="T73" s="85"/>
      <c r="U73" s="82">
        <f t="shared" si="5"/>
        <v>0</v>
      </c>
      <c r="V73" s="66">
        <f t="shared" si="6"/>
        <v>0</v>
      </c>
      <c r="W73" s="81">
        <f t="shared" si="7"/>
        <v>0</v>
      </c>
      <c r="X73" s="82" t="str">
        <f t="shared" si="8"/>
        <v>DarbyJoan</v>
      </c>
      <c r="Y73" s="86" t="str">
        <f t="shared" si="9"/>
        <v>https://www.munzee.com/m/DarbyJoan/3163/</v>
      </c>
    </row>
    <row r="74" hidden="1" outlineLevel="1">
      <c r="A74" s="76" t="s">
        <v>234</v>
      </c>
      <c r="B74" s="77">
        <v>7.0</v>
      </c>
      <c r="C74" s="77">
        <v>12.0</v>
      </c>
      <c r="D74" s="64">
        <v>52.121579</v>
      </c>
      <c r="E74" s="64">
        <v>5.383286</v>
      </c>
      <c r="F74" s="78" t="s">
        <v>100</v>
      </c>
      <c r="G74" s="78" t="s">
        <v>101</v>
      </c>
      <c r="H74" s="66" t="str">
        <f>IF(X74=" ",X74,'Flamingo @ DenTreek'!H72)</f>
        <v>Marcelkooyman</v>
      </c>
      <c r="I74" s="79" t="s">
        <v>235</v>
      </c>
      <c r="J74" s="80"/>
      <c r="K74" s="78" t="b">
        <v>1</v>
      </c>
      <c r="L74" s="66" t="str">
        <f t="shared" si="2"/>
        <v/>
      </c>
      <c r="M74" s="81" t="str">
        <f>IFERROR(__xludf.DUMMYFUNCTION("IF(W74=1,IFERROR(IMPORTXML(I74, ""//p[@class='status-date']""), ""Not deployed""),"""")"),"")</f>
        <v/>
      </c>
      <c r="N74" s="82"/>
      <c r="O74" s="66"/>
      <c r="P74" s="66"/>
      <c r="Q74" s="66"/>
      <c r="R74" s="83" t="str">
        <f t="shared" si="3"/>
        <v/>
      </c>
      <c r="S74" s="84" t="str">
        <f t="shared" si="4"/>
        <v/>
      </c>
      <c r="T74" s="85"/>
      <c r="U74" s="82">
        <f t="shared" si="5"/>
        <v>0</v>
      </c>
      <c r="V74" s="66">
        <f t="shared" si="6"/>
        <v>0</v>
      </c>
      <c r="W74" s="81">
        <f t="shared" si="7"/>
        <v>0</v>
      </c>
      <c r="X74" s="82" t="str">
        <f t="shared" si="8"/>
        <v>Marcelkooyman</v>
      </c>
      <c r="Y74" s="86" t="str">
        <f t="shared" si="9"/>
        <v>https://www.munzee.com/m/Marcelkooyman/57/</v>
      </c>
    </row>
    <row r="75" hidden="1" outlineLevel="1">
      <c r="A75" s="76" t="s">
        <v>236</v>
      </c>
      <c r="B75" s="77">
        <v>7.0</v>
      </c>
      <c r="C75" s="77">
        <v>13.0</v>
      </c>
      <c r="D75" s="64">
        <v>52.121579</v>
      </c>
      <c r="E75" s="64">
        <v>5.383521</v>
      </c>
      <c r="F75" s="78" t="s">
        <v>100</v>
      </c>
      <c r="G75" s="78" t="s">
        <v>101</v>
      </c>
      <c r="H75" s="78" t="s">
        <v>237</v>
      </c>
      <c r="I75" s="79" t="s">
        <v>238</v>
      </c>
      <c r="J75" s="80"/>
      <c r="K75" s="78" t="b">
        <v>1</v>
      </c>
      <c r="L75" s="66" t="str">
        <f t="shared" si="2"/>
        <v/>
      </c>
      <c r="M75" s="81" t="str">
        <f>IFERROR(__xludf.DUMMYFUNCTION("IF(W75=1,IFERROR(IMPORTXML(I75, ""//p[@class='status-date']""), ""Not deployed""),"""")"),"")</f>
        <v/>
      </c>
      <c r="N75" s="82"/>
      <c r="O75" s="66"/>
      <c r="P75" s="66"/>
      <c r="Q75" s="66"/>
      <c r="R75" s="83" t="str">
        <f t="shared" si="3"/>
        <v/>
      </c>
      <c r="S75" s="84" t="str">
        <f t="shared" si="4"/>
        <v/>
      </c>
      <c r="T75" s="85"/>
      <c r="U75" s="82">
        <f t="shared" si="5"/>
        <v>0</v>
      </c>
      <c r="V75" s="66">
        <f t="shared" si="6"/>
        <v>0</v>
      </c>
      <c r="W75" s="81">
        <f t="shared" si="7"/>
        <v>0</v>
      </c>
      <c r="X75" s="82" t="str">
        <f t="shared" si="8"/>
        <v>Helefant</v>
      </c>
      <c r="Y75" s="86" t="str">
        <f t="shared" si="9"/>
        <v>https://www.munzee.com/m/Helefant/5562/</v>
      </c>
    </row>
    <row r="76" hidden="1" outlineLevel="1">
      <c r="A76" s="76" t="s">
        <v>239</v>
      </c>
      <c r="B76" s="77">
        <v>7.0</v>
      </c>
      <c r="C76" s="77">
        <v>14.0</v>
      </c>
      <c r="D76" s="64">
        <v>52.121579</v>
      </c>
      <c r="E76" s="64">
        <v>5.383755</v>
      </c>
      <c r="F76" s="78" t="s">
        <v>100</v>
      </c>
      <c r="G76" s="78" t="s">
        <v>101</v>
      </c>
      <c r="H76" s="78" t="s">
        <v>240</v>
      </c>
      <c r="I76" s="79" t="s">
        <v>241</v>
      </c>
      <c r="J76" s="80"/>
      <c r="K76" s="78" t="b">
        <v>1</v>
      </c>
      <c r="L76" s="66" t="str">
        <f t="shared" si="2"/>
        <v/>
      </c>
      <c r="M76" s="81" t="str">
        <f>IFERROR(__xludf.DUMMYFUNCTION("IF(W76=1,IFERROR(IMPORTXML(I76, ""//p[@class='status-date']""), ""Not deployed""),"""")"),"")</f>
        <v/>
      </c>
      <c r="N76" s="82"/>
      <c r="O76" s="66"/>
      <c r="P76" s="66"/>
      <c r="Q76" s="66"/>
      <c r="R76" s="83" t="str">
        <f t="shared" si="3"/>
        <v/>
      </c>
      <c r="S76" s="84" t="str">
        <f t="shared" si="4"/>
        <v/>
      </c>
      <c r="T76" s="85"/>
      <c r="U76" s="82">
        <f t="shared" si="5"/>
        <v>0</v>
      </c>
      <c r="V76" s="66">
        <f t="shared" si="6"/>
        <v>0</v>
      </c>
      <c r="W76" s="81">
        <f t="shared" si="7"/>
        <v>0</v>
      </c>
      <c r="X76" s="82" t="str">
        <f t="shared" si="8"/>
        <v>GMariusz</v>
      </c>
      <c r="Y76" s="86" t="str">
        <f t="shared" si="9"/>
        <v>https://www.munzee.com/m/GMariusz/1986/</v>
      </c>
    </row>
    <row r="77" hidden="1" outlineLevel="1">
      <c r="A77" s="76" t="s">
        <v>242</v>
      </c>
      <c r="B77" s="77">
        <v>7.0</v>
      </c>
      <c r="C77" s="77">
        <v>15.0</v>
      </c>
      <c r="D77" s="64">
        <v>52.121579</v>
      </c>
      <c r="E77" s="64">
        <v>5.383989</v>
      </c>
      <c r="F77" s="78" t="s">
        <v>57</v>
      </c>
      <c r="G77" s="78" t="s">
        <v>58</v>
      </c>
      <c r="H77" s="66" t="str">
        <f>IF(ISTEXT(X77),X77,"")</f>
        <v>keromar</v>
      </c>
      <c r="I77" s="79" t="s">
        <v>243</v>
      </c>
      <c r="J77" s="80"/>
      <c r="K77" s="78" t="b">
        <v>1</v>
      </c>
      <c r="L77" s="66" t="str">
        <f t="shared" si="2"/>
        <v/>
      </c>
      <c r="M77" s="81" t="str">
        <f>IFERROR(__xludf.DUMMYFUNCTION("IF(W77=1,IFERROR(IMPORTXML(I77, ""//p[@class='status-date']""), ""Not deployed""),"""")"),"")</f>
        <v/>
      </c>
      <c r="N77" s="82"/>
      <c r="O77" s="66"/>
      <c r="P77" s="66"/>
      <c r="Q77" s="66"/>
      <c r="R77" s="83" t="str">
        <f t="shared" si="3"/>
        <v/>
      </c>
      <c r="S77" s="84" t="str">
        <f t="shared" si="4"/>
        <v/>
      </c>
      <c r="T77" s="85"/>
      <c r="U77" s="82">
        <f t="shared" si="5"/>
        <v>0</v>
      </c>
      <c r="V77" s="66">
        <f t="shared" si="6"/>
        <v>0</v>
      </c>
      <c r="W77" s="81">
        <f t="shared" si="7"/>
        <v>0</v>
      </c>
      <c r="X77" s="82" t="str">
        <f t="shared" si="8"/>
        <v>keromar</v>
      </c>
      <c r="Y77" s="86" t="str">
        <f t="shared" si="9"/>
        <v>https://www.munzee.com/m/keromar/8301/</v>
      </c>
    </row>
    <row r="78" hidden="1" outlineLevel="1">
      <c r="A78" s="76" t="s">
        <v>244</v>
      </c>
      <c r="B78" s="77">
        <v>7.0</v>
      </c>
      <c r="C78" s="77">
        <v>16.0</v>
      </c>
      <c r="D78" s="64">
        <v>52.121579</v>
      </c>
      <c r="E78" s="64">
        <v>5.384223</v>
      </c>
      <c r="F78" s="78" t="s">
        <v>57</v>
      </c>
      <c r="G78" s="78" t="s">
        <v>58</v>
      </c>
      <c r="H78" s="78" t="s">
        <v>86</v>
      </c>
      <c r="I78" s="79" t="s">
        <v>245</v>
      </c>
      <c r="J78" s="80"/>
      <c r="K78" s="78" t="b">
        <v>1</v>
      </c>
      <c r="L78" s="66" t="str">
        <f t="shared" si="2"/>
        <v/>
      </c>
      <c r="M78" s="81" t="str">
        <f>IFERROR(__xludf.DUMMYFUNCTION("IF(W78=1,IFERROR(IMPORTXML(I78, ""//p[@class='status-date']""), ""Not deployed""),"""")"),"")</f>
        <v/>
      </c>
      <c r="N78" s="82"/>
      <c r="O78" s="66"/>
      <c r="P78" s="66"/>
      <c r="Q78" s="66"/>
      <c r="R78" s="83" t="str">
        <f t="shared" si="3"/>
        <v/>
      </c>
      <c r="S78" s="84" t="str">
        <f t="shared" si="4"/>
        <v/>
      </c>
      <c r="T78" s="85"/>
      <c r="U78" s="82">
        <f t="shared" si="5"/>
        <v>0</v>
      </c>
      <c r="V78" s="66">
        <f t="shared" si="6"/>
        <v>0</v>
      </c>
      <c r="W78" s="81">
        <f t="shared" si="7"/>
        <v>0</v>
      </c>
      <c r="X78" s="82" t="str">
        <f t="shared" si="8"/>
        <v>Alroso</v>
      </c>
      <c r="Y78" s="86" t="str">
        <f t="shared" si="9"/>
        <v>https://www.munzee.com/m/Alroso/3191/</v>
      </c>
    </row>
    <row r="79" hidden="1" outlineLevel="1">
      <c r="A79" s="76" t="s">
        <v>246</v>
      </c>
      <c r="B79" s="77">
        <v>8.0</v>
      </c>
      <c r="C79" s="77">
        <v>2.0</v>
      </c>
      <c r="D79" s="64">
        <v>52.121435</v>
      </c>
      <c r="E79" s="64">
        <v>5.380946</v>
      </c>
      <c r="F79" s="78" t="s">
        <v>247</v>
      </c>
      <c r="G79" s="78" t="s">
        <v>248</v>
      </c>
      <c r="H79" s="78" t="str">
        <f>IF(X79=" ",X79,'Flamingo @ DenTreek'!H77)</f>
        <v>Wawie</v>
      </c>
      <c r="I79" s="79" t="s">
        <v>249</v>
      </c>
      <c r="J79" s="88"/>
      <c r="K79" s="78" t="b">
        <v>1</v>
      </c>
      <c r="L79" s="66" t="str">
        <f t="shared" si="2"/>
        <v/>
      </c>
      <c r="M79" s="81" t="str">
        <f>IFERROR(__xludf.DUMMYFUNCTION("IF(W79=1,IFERROR(IMPORTXML(I79, ""//p[@class='status-date']""), ""Not deployed""),"""")"),"")</f>
        <v/>
      </c>
      <c r="N79" s="82"/>
      <c r="O79" s="66"/>
      <c r="P79" s="66"/>
      <c r="Q79" s="66"/>
      <c r="R79" s="83" t="str">
        <f t="shared" si="3"/>
        <v/>
      </c>
      <c r="S79" s="84" t="str">
        <f t="shared" si="4"/>
        <v/>
      </c>
      <c r="T79" s="85"/>
      <c r="U79" s="82">
        <f t="shared" si="5"/>
        <v>0</v>
      </c>
      <c r="V79" s="66">
        <f t="shared" si="6"/>
        <v>0</v>
      </c>
      <c r="W79" s="81">
        <f t="shared" si="7"/>
        <v>0</v>
      </c>
      <c r="X79" s="82" t="str">
        <f t="shared" si="8"/>
        <v>Wawie</v>
      </c>
      <c r="Y79" s="86" t="str">
        <f t="shared" si="9"/>
        <v>https://www.munzee.com/m/Wawie/2200/</v>
      </c>
    </row>
    <row r="80" hidden="1" outlineLevel="1">
      <c r="A80" s="76" t="s">
        <v>250</v>
      </c>
      <c r="B80" s="77">
        <v>8.0</v>
      </c>
      <c r="C80" s="77">
        <v>3.0</v>
      </c>
      <c r="D80" s="64">
        <v>52.121435</v>
      </c>
      <c r="E80" s="64">
        <v>5.38118</v>
      </c>
      <c r="F80" s="78" t="s">
        <v>186</v>
      </c>
      <c r="G80" s="78" t="s">
        <v>187</v>
      </c>
      <c r="H80" s="66" t="str">
        <f t="shared" ref="H80:H81" si="12">IF(ISTEXT(X80),X80,"")</f>
        <v>destrandman</v>
      </c>
      <c r="I80" s="79" t="s">
        <v>251</v>
      </c>
      <c r="J80" s="80"/>
      <c r="K80" s="78" t="b">
        <v>1</v>
      </c>
      <c r="L80" s="66" t="str">
        <f t="shared" si="2"/>
        <v/>
      </c>
      <c r="M80" s="81" t="str">
        <f>IFERROR(__xludf.DUMMYFUNCTION("IF(W80=1,IFERROR(IMPORTXML(I80, ""//p[@class='status-date']""), ""Not deployed""),"""")"),"")</f>
        <v/>
      </c>
      <c r="N80" s="82"/>
      <c r="O80" s="66"/>
      <c r="P80" s="66"/>
      <c r="Q80" s="66"/>
      <c r="R80" s="83" t="str">
        <f t="shared" si="3"/>
        <v/>
      </c>
      <c r="S80" s="84" t="str">
        <f t="shared" si="4"/>
        <v/>
      </c>
      <c r="T80" s="85"/>
      <c r="U80" s="82">
        <f t="shared" si="5"/>
        <v>0</v>
      </c>
      <c r="V80" s="66">
        <f t="shared" si="6"/>
        <v>0</v>
      </c>
      <c r="W80" s="81">
        <f t="shared" si="7"/>
        <v>0</v>
      </c>
      <c r="X80" s="82" t="str">
        <f t="shared" si="8"/>
        <v>destrandman</v>
      </c>
      <c r="Y80" s="86" t="str">
        <f t="shared" si="9"/>
        <v>https://www.munzee.com/m/destrandman/5839/</v>
      </c>
    </row>
    <row r="81" hidden="1" outlineLevel="1">
      <c r="A81" s="76" t="s">
        <v>252</v>
      </c>
      <c r="B81" s="77">
        <v>8.0</v>
      </c>
      <c r="C81" s="77">
        <v>4.0</v>
      </c>
      <c r="D81" s="64">
        <v>52.121435</v>
      </c>
      <c r="E81" s="64">
        <v>5.381414</v>
      </c>
      <c r="F81" s="78" t="s">
        <v>151</v>
      </c>
      <c r="G81" s="78" t="s">
        <v>152</v>
      </c>
      <c r="H81" s="66" t="str">
        <f t="shared" si="12"/>
        <v>keromar</v>
      </c>
      <c r="I81" s="79" t="s">
        <v>253</v>
      </c>
      <c r="J81" s="80"/>
      <c r="K81" s="78" t="b">
        <v>1</v>
      </c>
      <c r="L81" s="66" t="str">
        <f t="shared" si="2"/>
        <v/>
      </c>
      <c r="M81" s="81" t="str">
        <f>IFERROR(__xludf.DUMMYFUNCTION("IF(W81=1,IFERROR(IMPORTXML(I81, ""//p[@class='status-date']""), ""Not deployed""),"""")"),"")</f>
        <v/>
      </c>
      <c r="N81" s="82"/>
      <c r="O81" s="66"/>
      <c r="P81" s="66"/>
      <c r="Q81" s="66"/>
      <c r="R81" s="83" t="str">
        <f t="shared" si="3"/>
        <v/>
      </c>
      <c r="S81" s="84" t="str">
        <f t="shared" si="4"/>
        <v/>
      </c>
      <c r="T81" s="85"/>
      <c r="U81" s="82">
        <f t="shared" si="5"/>
        <v>0</v>
      </c>
      <c r="V81" s="66">
        <f t="shared" si="6"/>
        <v>0</v>
      </c>
      <c r="W81" s="81">
        <f t="shared" si="7"/>
        <v>0</v>
      </c>
      <c r="X81" s="82" t="str">
        <f t="shared" si="8"/>
        <v>keromar</v>
      </c>
      <c r="Y81" s="86" t="str">
        <f t="shared" si="9"/>
        <v>https://www.munzee.com/m/keromar/8513/</v>
      </c>
    </row>
    <row r="82" hidden="1" outlineLevel="1">
      <c r="A82" s="76" t="s">
        <v>254</v>
      </c>
      <c r="B82" s="77">
        <v>8.0</v>
      </c>
      <c r="C82" s="77">
        <v>5.0</v>
      </c>
      <c r="D82" s="64">
        <v>52.121435</v>
      </c>
      <c r="E82" s="64">
        <v>5.381648</v>
      </c>
      <c r="F82" s="78" t="s">
        <v>151</v>
      </c>
      <c r="G82" s="78" t="s">
        <v>152</v>
      </c>
      <c r="H82" s="78" t="str">
        <f>IF(X82=" ",X82,'Flamingo @ DenTreek'!H80)</f>
        <v>Wawie</v>
      </c>
      <c r="I82" s="79" t="s">
        <v>255</v>
      </c>
      <c r="J82" s="88"/>
      <c r="K82" s="78" t="b">
        <v>1</v>
      </c>
      <c r="L82" s="66" t="str">
        <f t="shared" si="2"/>
        <v/>
      </c>
      <c r="M82" s="81" t="str">
        <f>IFERROR(__xludf.DUMMYFUNCTION("IF(W82=1,IFERROR(IMPORTXML(I82, ""//p[@class='status-date']""), ""Not deployed""),"""")"),"")</f>
        <v/>
      </c>
      <c r="N82" s="82"/>
      <c r="O82" s="66"/>
      <c r="P82" s="66"/>
      <c r="Q82" s="66"/>
      <c r="R82" s="83" t="str">
        <f t="shared" si="3"/>
        <v/>
      </c>
      <c r="S82" s="84" t="str">
        <f t="shared" si="4"/>
        <v/>
      </c>
      <c r="T82" s="85"/>
      <c r="U82" s="82">
        <f t="shared" si="5"/>
        <v>0</v>
      </c>
      <c r="V82" s="66">
        <f t="shared" si="6"/>
        <v>0</v>
      </c>
      <c r="W82" s="81">
        <f t="shared" si="7"/>
        <v>0</v>
      </c>
      <c r="X82" s="82" t="str">
        <f t="shared" si="8"/>
        <v>Wawie</v>
      </c>
      <c r="Y82" s="86" t="str">
        <f t="shared" si="9"/>
        <v>https://www.munzee.com/m/Wawie/2199/</v>
      </c>
    </row>
    <row r="83" hidden="1" outlineLevel="1">
      <c r="A83" s="76" t="s">
        <v>256</v>
      </c>
      <c r="B83" s="77">
        <v>8.0</v>
      </c>
      <c r="C83" s="77">
        <v>6.0</v>
      </c>
      <c r="D83" s="64">
        <v>52.121435</v>
      </c>
      <c r="E83" s="64">
        <v>5.381882</v>
      </c>
      <c r="F83" s="78" t="s">
        <v>186</v>
      </c>
      <c r="G83" s="78" t="s">
        <v>187</v>
      </c>
      <c r="H83" s="66" t="str">
        <f t="shared" ref="H83:H84" si="13">IF(ISTEXT(X83),X83,"")</f>
        <v>amundadus</v>
      </c>
      <c r="I83" s="79" t="s">
        <v>257</v>
      </c>
      <c r="J83" s="80"/>
      <c r="K83" s="78" t="b">
        <v>1</v>
      </c>
      <c r="L83" s="66" t="str">
        <f t="shared" si="2"/>
        <v/>
      </c>
      <c r="M83" s="81" t="str">
        <f>IFERROR(__xludf.DUMMYFUNCTION("IF(W83=1,IFERROR(IMPORTXML(I83, ""//p[@class='status-date']""), ""Not deployed""),"""")"),"")</f>
        <v/>
      </c>
      <c r="N83" s="82"/>
      <c r="O83" s="66"/>
      <c r="P83" s="66"/>
      <c r="Q83" s="66"/>
      <c r="R83" s="83" t="str">
        <f t="shared" si="3"/>
        <v/>
      </c>
      <c r="S83" s="84" t="str">
        <f t="shared" si="4"/>
        <v/>
      </c>
      <c r="T83" s="85"/>
      <c r="U83" s="82">
        <f t="shared" si="5"/>
        <v>0</v>
      </c>
      <c r="V83" s="66">
        <f t="shared" si="6"/>
        <v>0</v>
      </c>
      <c r="W83" s="81">
        <f t="shared" si="7"/>
        <v>0</v>
      </c>
      <c r="X83" s="82" t="str">
        <f t="shared" si="8"/>
        <v>amundadus</v>
      </c>
      <c r="Y83" s="86" t="str">
        <f t="shared" si="9"/>
        <v>https://www.munzee.com/m/amundadus/1655/</v>
      </c>
    </row>
    <row r="84" hidden="1" outlineLevel="1">
      <c r="A84" s="76" t="s">
        <v>258</v>
      </c>
      <c r="B84" s="77">
        <v>8.0</v>
      </c>
      <c r="C84" s="77">
        <v>7.0</v>
      </c>
      <c r="D84" s="64">
        <v>52.121435</v>
      </c>
      <c r="E84" s="64">
        <v>5.382116</v>
      </c>
      <c r="F84" s="78" t="s">
        <v>100</v>
      </c>
      <c r="G84" s="78" t="s">
        <v>101</v>
      </c>
      <c r="H84" s="66" t="str">
        <f t="shared" si="13"/>
        <v>destrandman</v>
      </c>
      <c r="I84" s="79" t="s">
        <v>259</v>
      </c>
      <c r="J84" s="80"/>
      <c r="K84" s="78" t="b">
        <v>1</v>
      </c>
      <c r="L84" s="66" t="str">
        <f t="shared" si="2"/>
        <v/>
      </c>
      <c r="M84" s="81" t="str">
        <f>IFERROR(__xludf.DUMMYFUNCTION("IF(W84=1,IFERROR(IMPORTXML(I84, ""//p[@class='status-date']""), ""Not deployed""),"""")"),"")</f>
        <v/>
      </c>
      <c r="N84" s="82"/>
      <c r="O84" s="66"/>
      <c r="P84" s="66"/>
      <c r="Q84" s="66"/>
      <c r="R84" s="83" t="str">
        <f t="shared" si="3"/>
        <v/>
      </c>
      <c r="S84" s="84" t="str">
        <f t="shared" si="4"/>
        <v/>
      </c>
      <c r="T84" s="85"/>
      <c r="U84" s="82">
        <f t="shared" si="5"/>
        <v>0</v>
      </c>
      <c r="V84" s="66">
        <f t="shared" si="6"/>
        <v>0</v>
      </c>
      <c r="W84" s="81">
        <f t="shared" si="7"/>
        <v>0</v>
      </c>
      <c r="X84" s="82" t="str">
        <f t="shared" si="8"/>
        <v>destrandman</v>
      </c>
      <c r="Y84" s="86" t="str">
        <f t="shared" si="9"/>
        <v>https://www.munzee.com/m/destrandman/5838/</v>
      </c>
    </row>
    <row r="85" hidden="1" outlineLevel="1">
      <c r="A85" s="76" t="s">
        <v>260</v>
      </c>
      <c r="B85" s="77">
        <v>8.0</v>
      </c>
      <c r="C85" s="77">
        <v>8.0</v>
      </c>
      <c r="D85" s="64">
        <v>52.121435</v>
      </c>
      <c r="E85" s="64">
        <v>5.38235</v>
      </c>
      <c r="F85" s="78" t="s">
        <v>100</v>
      </c>
      <c r="G85" s="78" t="s">
        <v>101</v>
      </c>
      <c r="H85" s="78" t="str">
        <f>IF(X85=" ",X85,'Flamingo @ DenTreek'!H83)</f>
        <v>Wawie</v>
      </c>
      <c r="I85" s="79" t="s">
        <v>261</v>
      </c>
      <c r="J85" s="88"/>
      <c r="K85" s="78" t="b">
        <v>1</v>
      </c>
      <c r="L85" s="66" t="str">
        <f t="shared" si="2"/>
        <v/>
      </c>
      <c r="M85" s="81" t="str">
        <f>IFERROR(__xludf.DUMMYFUNCTION("IF(W85=1,IFERROR(IMPORTXML(I85, ""//p[@class='status-date']""), ""Not deployed""),"""")"),"")</f>
        <v/>
      </c>
      <c r="N85" s="82"/>
      <c r="O85" s="66"/>
      <c r="P85" s="66"/>
      <c r="Q85" s="66"/>
      <c r="R85" s="83" t="str">
        <f t="shared" si="3"/>
        <v/>
      </c>
      <c r="S85" s="84" t="str">
        <f t="shared" si="4"/>
        <v/>
      </c>
      <c r="T85" s="85"/>
      <c r="U85" s="82">
        <f t="shared" si="5"/>
        <v>0</v>
      </c>
      <c r="V85" s="66">
        <f t="shared" si="6"/>
        <v>0</v>
      </c>
      <c r="W85" s="81">
        <f t="shared" si="7"/>
        <v>0</v>
      </c>
      <c r="X85" s="82" t="str">
        <f t="shared" si="8"/>
        <v>Wawie</v>
      </c>
      <c r="Y85" s="86" t="str">
        <f t="shared" si="9"/>
        <v>https://www.munzee.com/m/Wawie/2198/</v>
      </c>
    </row>
    <row r="86" hidden="1" outlineLevel="1">
      <c r="A86" s="76" t="s">
        <v>262</v>
      </c>
      <c r="B86" s="77">
        <v>8.0</v>
      </c>
      <c r="C86" s="77">
        <v>9.0</v>
      </c>
      <c r="D86" s="64">
        <v>52.121435</v>
      </c>
      <c r="E86" s="64">
        <v>5.382584</v>
      </c>
      <c r="F86" s="78" t="s">
        <v>125</v>
      </c>
      <c r="G86" s="78" t="s">
        <v>126</v>
      </c>
      <c r="H86" s="78" t="s">
        <v>263</v>
      </c>
      <c r="I86" s="79" t="s">
        <v>264</v>
      </c>
      <c r="J86" s="80"/>
      <c r="K86" s="78" t="b">
        <v>1</v>
      </c>
      <c r="L86" s="66" t="str">
        <f t="shared" si="2"/>
        <v/>
      </c>
      <c r="M86" s="81" t="str">
        <f>IFERROR(__xludf.DUMMYFUNCTION("IF(W86=1,IFERROR(IMPORTXML(I86, ""//p[@class='status-date']""), ""Not deployed""),"""")"),"")</f>
        <v/>
      </c>
      <c r="N86" s="82"/>
      <c r="O86" s="66"/>
      <c r="P86" s="66"/>
      <c r="Q86" s="66"/>
      <c r="R86" s="83" t="str">
        <f t="shared" si="3"/>
        <v/>
      </c>
      <c r="S86" s="84" t="str">
        <f t="shared" si="4"/>
        <v/>
      </c>
      <c r="T86" s="85"/>
      <c r="U86" s="82">
        <f t="shared" si="5"/>
        <v>0</v>
      </c>
      <c r="V86" s="66">
        <f t="shared" si="6"/>
        <v>0</v>
      </c>
      <c r="W86" s="81">
        <f t="shared" si="7"/>
        <v>0</v>
      </c>
      <c r="X86" s="82" t="str">
        <f t="shared" si="8"/>
        <v>Sidcup</v>
      </c>
      <c r="Y86" s="86" t="str">
        <f t="shared" si="9"/>
        <v>https://www.munzee.com/m/Sidcup/16499/</v>
      </c>
    </row>
    <row r="87" hidden="1" outlineLevel="1">
      <c r="A87" s="76" t="s">
        <v>265</v>
      </c>
      <c r="B87" s="77">
        <v>8.0</v>
      </c>
      <c r="C87" s="77">
        <v>10.0</v>
      </c>
      <c r="D87" s="64">
        <v>52.121435</v>
      </c>
      <c r="E87" s="64">
        <v>5.382818</v>
      </c>
      <c r="F87" s="78" t="s">
        <v>125</v>
      </c>
      <c r="G87" s="78" t="s">
        <v>126</v>
      </c>
      <c r="H87" s="66" t="str">
        <f>IF(ISTEXT(X87),X87,"")</f>
        <v>RobS</v>
      </c>
      <c r="I87" s="79" t="s">
        <v>266</v>
      </c>
      <c r="J87" s="88"/>
      <c r="K87" s="78" t="b">
        <v>1</v>
      </c>
      <c r="L87" s="66" t="str">
        <f t="shared" si="2"/>
        <v/>
      </c>
      <c r="M87" s="81" t="str">
        <f>IFERROR(__xludf.DUMMYFUNCTION("IF(W87=1,IFERROR(IMPORTXML(I87, ""//p[@class='status-date']""), ""Not deployed""),"""")"),"")</f>
        <v/>
      </c>
      <c r="N87" s="82"/>
      <c r="O87" s="66"/>
      <c r="P87" s="66"/>
      <c r="Q87" s="66"/>
      <c r="R87" s="83" t="str">
        <f t="shared" si="3"/>
        <v/>
      </c>
      <c r="S87" s="84" t="str">
        <f t="shared" si="4"/>
        <v/>
      </c>
      <c r="T87" s="85"/>
      <c r="U87" s="82">
        <f t="shared" si="5"/>
        <v>0</v>
      </c>
      <c r="V87" s="66">
        <f t="shared" si="6"/>
        <v>0</v>
      </c>
      <c r="W87" s="81">
        <f t="shared" si="7"/>
        <v>0</v>
      </c>
      <c r="X87" s="82" t="str">
        <f t="shared" si="8"/>
        <v>RobS</v>
      </c>
      <c r="Y87" s="86" t="str">
        <f t="shared" si="9"/>
        <v>https://www.munzee.com/m/RobS/5070/</v>
      </c>
    </row>
    <row r="88" hidden="1" outlineLevel="1">
      <c r="A88" s="76" t="s">
        <v>267</v>
      </c>
      <c r="B88" s="77">
        <v>8.0</v>
      </c>
      <c r="C88" s="77">
        <v>11.0</v>
      </c>
      <c r="D88" s="64">
        <v>52.121435</v>
      </c>
      <c r="E88" s="64">
        <v>5.383052</v>
      </c>
      <c r="F88" s="78" t="s">
        <v>100</v>
      </c>
      <c r="G88" s="78" t="s">
        <v>101</v>
      </c>
      <c r="H88" s="78" t="str">
        <f>IF(X88=" ",X88,'Flamingo @ DenTreek'!H86)</f>
        <v>Wawie</v>
      </c>
      <c r="I88" s="79" t="s">
        <v>268</v>
      </c>
      <c r="J88" s="88"/>
      <c r="K88" s="78" t="b">
        <v>1</v>
      </c>
      <c r="L88" s="66" t="str">
        <f t="shared" si="2"/>
        <v/>
      </c>
      <c r="M88" s="81" t="str">
        <f>IFERROR(__xludf.DUMMYFUNCTION("IF(W88=1,IFERROR(IMPORTXML(I88, ""//p[@class='status-date']""), ""Not deployed""),"""")"),"")</f>
        <v/>
      </c>
      <c r="N88" s="82"/>
      <c r="O88" s="66"/>
      <c r="P88" s="66"/>
      <c r="Q88" s="66"/>
      <c r="R88" s="83" t="str">
        <f t="shared" si="3"/>
        <v/>
      </c>
      <c r="S88" s="84" t="str">
        <f t="shared" si="4"/>
        <v/>
      </c>
      <c r="T88" s="85"/>
      <c r="U88" s="82">
        <f t="shared" si="5"/>
        <v>0</v>
      </c>
      <c r="V88" s="66">
        <f t="shared" si="6"/>
        <v>0</v>
      </c>
      <c r="W88" s="81">
        <f t="shared" si="7"/>
        <v>0</v>
      </c>
      <c r="X88" s="82" t="str">
        <f t="shared" si="8"/>
        <v>Wawie</v>
      </c>
      <c r="Y88" s="86" t="str">
        <f t="shared" si="9"/>
        <v>https://www.munzee.com/m/Wawie/2192/</v>
      </c>
    </row>
    <row r="89" hidden="1" outlineLevel="1">
      <c r="A89" s="76" t="s">
        <v>269</v>
      </c>
      <c r="B89" s="77">
        <v>8.0</v>
      </c>
      <c r="C89" s="77">
        <v>14.0</v>
      </c>
      <c r="D89" s="64">
        <v>52.121435</v>
      </c>
      <c r="E89" s="64">
        <v>5.383755</v>
      </c>
      <c r="F89" s="78" t="s">
        <v>100</v>
      </c>
      <c r="G89" s="78" t="s">
        <v>101</v>
      </c>
      <c r="H89" s="66" t="str">
        <f>IF(ISTEXT(X89),X89,"")</f>
        <v>AmezorC</v>
      </c>
      <c r="I89" s="79" t="s">
        <v>270</v>
      </c>
      <c r="J89" s="80"/>
      <c r="K89" s="78" t="b">
        <v>1</v>
      </c>
      <c r="L89" s="66" t="str">
        <f t="shared" si="2"/>
        <v/>
      </c>
      <c r="M89" s="81" t="str">
        <f>IFERROR(__xludf.DUMMYFUNCTION("IF(W89=1,IFERROR(IMPORTXML(I89, ""//p[@class='status-date']""), ""Not deployed""),"""")"),"")</f>
        <v/>
      </c>
      <c r="N89" s="82"/>
      <c r="O89" s="66"/>
      <c r="P89" s="66"/>
      <c r="Q89" s="66"/>
      <c r="R89" s="83" t="str">
        <f t="shared" si="3"/>
        <v/>
      </c>
      <c r="S89" s="84" t="str">
        <f t="shared" si="4"/>
        <v/>
      </c>
      <c r="T89" s="85"/>
      <c r="U89" s="82">
        <f t="shared" si="5"/>
        <v>0</v>
      </c>
      <c r="V89" s="66">
        <f t="shared" si="6"/>
        <v>0</v>
      </c>
      <c r="W89" s="81">
        <f t="shared" si="7"/>
        <v>0</v>
      </c>
      <c r="X89" s="82" t="str">
        <f t="shared" si="8"/>
        <v>AmezorC</v>
      </c>
      <c r="Y89" s="86" t="str">
        <f t="shared" si="9"/>
        <v>https://www.munzee.com/m/AmezorC/13931/</v>
      </c>
    </row>
    <row r="90" hidden="1" outlineLevel="1">
      <c r="A90" s="76" t="s">
        <v>271</v>
      </c>
      <c r="B90" s="77">
        <v>8.0</v>
      </c>
      <c r="C90" s="77">
        <v>15.0</v>
      </c>
      <c r="D90" s="64">
        <v>52.121435</v>
      </c>
      <c r="E90" s="64">
        <v>5.383989</v>
      </c>
      <c r="F90" s="78" t="s">
        <v>78</v>
      </c>
      <c r="G90" s="78" t="s">
        <v>79</v>
      </c>
      <c r="H90" s="78" t="s">
        <v>272</v>
      </c>
      <c r="I90" s="79" t="s">
        <v>273</v>
      </c>
      <c r="J90" s="80"/>
      <c r="K90" s="78" t="b">
        <v>1</v>
      </c>
      <c r="L90" s="66" t="str">
        <f t="shared" si="2"/>
        <v/>
      </c>
      <c r="M90" s="81" t="str">
        <f>IFERROR(__xludf.DUMMYFUNCTION("IF(W90=1,IFERROR(IMPORTXML(I90, ""//p[@class='status-date']""), ""Not deployed""),"""")"),"")</f>
        <v/>
      </c>
      <c r="N90" s="82"/>
      <c r="O90" s="66"/>
      <c r="P90" s="66"/>
      <c r="Q90" s="66"/>
      <c r="R90" s="83" t="str">
        <f t="shared" si="3"/>
        <v/>
      </c>
      <c r="S90" s="84" t="str">
        <f t="shared" si="4"/>
        <v/>
      </c>
      <c r="T90" s="85"/>
      <c r="U90" s="82">
        <f t="shared" si="5"/>
        <v>0</v>
      </c>
      <c r="V90" s="66">
        <f t="shared" si="6"/>
        <v>0</v>
      </c>
      <c r="W90" s="81">
        <f t="shared" si="7"/>
        <v>0</v>
      </c>
      <c r="X90" s="82" t="str">
        <f t="shared" si="8"/>
        <v>annabanana</v>
      </c>
      <c r="Y90" s="86" t="str">
        <f t="shared" si="9"/>
        <v>https://www.munzee.com/m/annabanana/17731/</v>
      </c>
    </row>
    <row r="91" hidden="1" outlineLevel="1">
      <c r="A91" s="76" t="s">
        <v>274</v>
      </c>
      <c r="B91" s="77">
        <v>8.0</v>
      </c>
      <c r="C91" s="77">
        <v>16.0</v>
      </c>
      <c r="D91" s="64">
        <v>52.121435</v>
      </c>
      <c r="E91" s="64">
        <v>5.384223</v>
      </c>
      <c r="F91" s="78" t="s">
        <v>57</v>
      </c>
      <c r="G91" s="78" t="s">
        <v>58</v>
      </c>
      <c r="H91" s="78" t="str">
        <f>IF(X91=" ",X91,'Flamingo @ DenTreek'!H89)</f>
        <v>Wawie</v>
      </c>
      <c r="I91" s="79" t="s">
        <v>275</v>
      </c>
      <c r="J91" s="88"/>
      <c r="K91" s="78" t="b">
        <v>1</v>
      </c>
      <c r="L91" s="66" t="str">
        <f t="shared" si="2"/>
        <v/>
      </c>
      <c r="M91" s="81" t="str">
        <f>IFERROR(__xludf.DUMMYFUNCTION("IF(W91=1,IFERROR(IMPORTXML(I91, ""//p[@class='status-date']""), ""Not deployed""),"""")"),"")</f>
        <v/>
      </c>
      <c r="N91" s="82"/>
      <c r="O91" s="66"/>
      <c r="P91" s="66"/>
      <c r="Q91" s="66"/>
      <c r="R91" s="83" t="str">
        <f t="shared" si="3"/>
        <v/>
      </c>
      <c r="S91" s="84" t="str">
        <f t="shared" si="4"/>
        <v/>
      </c>
      <c r="T91" s="85"/>
      <c r="U91" s="82">
        <f t="shared" si="5"/>
        <v>0</v>
      </c>
      <c r="V91" s="66">
        <f t="shared" si="6"/>
        <v>0</v>
      </c>
      <c r="W91" s="81">
        <f t="shared" si="7"/>
        <v>0</v>
      </c>
      <c r="X91" s="82" t="str">
        <f t="shared" si="8"/>
        <v>Wawie</v>
      </c>
      <c r="Y91" s="86" t="str">
        <f t="shared" si="9"/>
        <v>https://www.munzee.com/m/Wawie/2191/</v>
      </c>
    </row>
    <row r="92" hidden="1" outlineLevel="1">
      <c r="A92" s="76" t="s">
        <v>276</v>
      </c>
      <c r="B92" s="77">
        <v>9.0</v>
      </c>
      <c r="C92" s="77">
        <v>1.0</v>
      </c>
      <c r="D92" s="64">
        <v>52.121291</v>
      </c>
      <c r="E92" s="64">
        <v>5.380711</v>
      </c>
      <c r="F92" s="78" t="s">
        <v>132</v>
      </c>
      <c r="G92" s="78" t="s">
        <v>133</v>
      </c>
      <c r="H92" s="66" t="str">
        <f>IF(X92=" ",X92,'Flamingo @ DenTreek'!H90)</f>
        <v>Marcelkooyman</v>
      </c>
      <c r="I92" s="79" t="str">
        <f>'Flamingo @ DenTreek'!I90</f>
        <v>https://www.munzee.com/m/Marcelkooyman/91/</v>
      </c>
      <c r="J92" s="80"/>
      <c r="K92" s="78" t="b">
        <v>1</v>
      </c>
      <c r="L92" s="66" t="str">
        <f t="shared" si="2"/>
        <v/>
      </c>
      <c r="M92" s="81" t="str">
        <f>IFERROR(__xludf.DUMMYFUNCTION("IF(W92=1,IFERROR(IMPORTXML(I92, ""//p[@class='status-date']""), ""Not deployed""),"""")"),"")</f>
        <v/>
      </c>
      <c r="N92" s="82"/>
      <c r="O92" s="66"/>
      <c r="P92" s="66"/>
      <c r="Q92" s="66"/>
      <c r="R92" s="83" t="str">
        <f t="shared" si="3"/>
        <v/>
      </c>
      <c r="S92" s="84" t="str">
        <f t="shared" si="4"/>
        <v/>
      </c>
      <c r="T92" s="85"/>
      <c r="U92" s="82">
        <f t="shared" si="5"/>
        <v>0</v>
      </c>
      <c r="V92" s="66">
        <f t="shared" si="6"/>
        <v>0</v>
      </c>
      <c r="W92" s="81">
        <f t="shared" si="7"/>
        <v>0</v>
      </c>
      <c r="X92" s="82" t="str">
        <f t="shared" si="8"/>
        <v>Marcelkooyman</v>
      </c>
      <c r="Y92" s="86" t="str">
        <f t="shared" si="9"/>
        <v>https://www.munzee.com/m/Marcelkooyman/91/</v>
      </c>
    </row>
    <row r="93" hidden="1" outlineLevel="1">
      <c r="A93" s="76" t="s">
        <v>277</v>
      </c>
      <c r="B93" s="77">
        <v>9.0</v>
      </c>
      <c r="C93" s="77">
        <v>2.0</v>
      </c>
      <c r="D93" s="64">
        <v>52.121291</v>
      </c>
      <c r="E93" s="64">
        <v>5.380946</v>
      </c>
      <c r="F93" s="78" t="s">
        <v>132</v>
      </c>
      <c r="G93" s="78" t="s">
        <v>133</v>
      </c>
      <c r="H93" s="66" t="str">
        <f>IF(ISTEXT(X93),X93,"")</f>
        <v>230Volt</v>
      </c>
      <c r="I93" s="79" t="s">
        <v>278</v>
      </c>
      <c r="J93" s="80"/>
      <c r="K93" s="78" t="b">
        <v>1</v>
      </c>
      <c r="L93" s="66" t="str">
        <f t="shared" si="2"/>
        <v/>
      </c>
      <c r="M93" s="81" t="str">
        <f>IFERROR(__xludf.DUMMYFUNCTION("IF(W93=1,IFERROR(IMPORTXML(I93, ""//p[@class='status-date']""), ""Not deployed""),"""")"),"")</f>
        <v/>
      </c>
      <c r="N93" s="82"/>
      <c r="O93" s="66"/>
      <c r="P93" s="66"/>
      <c r="Q93" s="66"/>
      <c r="R93" s="83" t="str">
        <f t="shared" si="3"/>
        <v/>
      </c>
      <c r="S93" s="84" t="str">
        <f t="shared" si="4"/>
        <v/>
      </c>
      <c r="T93" s="85"/>
      <c r="U93" s="82">
        <f t="shared" si="5"/>
        <v>0</v>
      </c>
      <c r="V93" s="66">
        <f t="shared" si="6"/>
        <v>0</v>
      </c>
      <c r="W93" s="81">
        <f t="shared" si="7"/>
        <v>0</v>
      </c>
      <c r="X93" s="82" t="str">
        <f t="shared" si="8"/>
        <v>230Volt</v>
      </c>
      <c r="Y93" s="86" t="str">
        <f t="shared" si="9"/>
        <v>https://www.munzee.com/m/230Volt/1353/</v>
      </c>
    </row>
    <row r="94" hidden="1" outlineLevel="1">
      <c r="A94" s="76" t="s">
        <v>279</v>
      </c>
      <c r="B94" s="77">
        <v>9.0</v>
      </c>
      <c r="C94" s="77">
        <v>3.0</v>
      </c>
      <c r="D94" s="64">
        <v>52.121291</v>
      </c>
      <c r="E94" s="64">
        <v>5.38118</v>
      </c>
      <c r="F94" s="78" t="s">
        <v>247</v>
      </c>
      <c r="G94" s="78" t="s">
        <v>248</v>
      </c>
      <c r="H94" s="78" t="s">
        <v>188</v>
      </c>
      <c r="I94" s="79" t="s">
        <v>280</v>
      </c>
      <c r="J94" s="80"/>
      <c r="K94" s="78" t="b">
        <v>1</v>
      </c>
      <c r="L94" s="66" t="str">
        <f t="shared" si="2"/>
        <v/>
      </c>
      <c r="M94" s="81" t="str">
        <f>IFERROR(__xludf.DUMMYFUNCTION("IF(W94=1,IFERROR(IMPORTXML(I94, ""//p[@class='status-date']""), ""Not deployed""),"""")"),"")</f>
        <v/>
      </c>
      <c r="N94" s="82"/>
      <c r="O94" s="66"/>
      <c r="P94" s="66"/>
      <c r="Q94" s="66"/>
      <c r="R94" s="83" t="str">
        <f t="shared" si="3"/>
        <v/>
      </c>
      <c r="S94" s="84" t="str">
        <f t="shared" si="4"/>
        <v/>
      </c>
      <c r="T94" s="85"/>
      <c r="U94" s="82">
        <f t="shared" si="5"/>
        <v>0</v>
      </c>
      <c r="V94" s="66">
        <f t="shared" si="6"/>
        <v>0</v>
      </c>
      <c r="W94" s="81">
        <f t="shared" si="7"/>
        <v>0</v>
      </c>
      <c r="X94" s="82" t="str">
        <f t="shared" si="8"/>
        <v>DarbyJoan</v>
      </c>
      <c r="Y94" s="86" t="str">
        <f t="shared" si="9"/>
        <v>https://www.munzee.com/m/DarbyJoan/3262/</v>
      </c>
    </row>
    <row r="95" hidden="1" outlineLevel="1">
      <c r="A95" s="76" t="s">
        <v>281</v>
      </c>
      <c r="B95" s="77">
        <v>9.0</v>
      </c>
      <c r="C95" s="77">
        <v>4.0</v>
      </c>
      <c r="D95" s="64">
        <v>52.121291</v>
      </c>
      <c r="E95" s="64">
        <v>5.381414</v>
      </c>
      <c r="F95" s="78" t="s">
        <v>186</v>
      </c>
      <c r="G95" s="78" t="s">
        <v>187</v>
      </c>
      <c r="H95" s="66" t="str">
        <f t="shared" ref="H95:H96" si="14">IF(ISTEXT(X95),X95,"")</f>
        <v>Rubin</v>
      </c>
      <c r="I95" s="79" t="s">
        <v>282</v>
      </c>
      <c r="J95" s="80"/>
      <c r="K95" s="78" t="b">
        <v>1</v>
      </c>
      <c r="L95" s="66" t="str">
        <f t="shared" si="2"/>
        <v/>
      </c>
      <c r="M95" s="81" t="str">
        <f>IFERROR(__xludf.DUMMYFUNCTION("IF(W95=1,IFERROR(IMPORTXML(I95, ""//p[@class='status-date']""), ""Not deployed""),"""")"),"")</f>
        <v/>
      </c>
      <c r="N95" s="82"/>
      <c r="O95" s="66"/>
      <c r="P95" s="66"/>
      <c r="Q95" s="66"/>
      <c r="R95" s="83" t="str">
        <f t="shared" si="3"/>
        <v/>
      </c>
      <c r="S95" s="84" t="str">
        <f t="shared" si="4"/>
        <v/>
      </c>
      <c r="T95" s="85"/>
      <c r="U95" s="82">
        <f t="shared" si="5"/>
        <v>0</v>
      </c>
      <c r="V95" s="66">
        <f t="shared" si="6"/>
        <v>0</v>
      </c>
      <c r="W95" s="81">
        <f t="shared" si="7"/>
        <v>0</v>
      </c>
      <c r="X95" s="82" t="str">
        <f t="shared" si="8"/>
        <v>Rubin</v>
      </c>
      <c r="Y95" s="86" t="str">
        <f t="shared" si="9"/>
        <v>https://www.munzee.com/m/Rubin/3466/</v>
      </c>
    </row>
    <row r="96" hidden="1" outlineLevel="1">
      <c r="A96" s="76" t="s">
        <v>283</v>
      </c>
      <c r="B96" s="77">
        <v>9.0</v>
      </c>
      <c r="C96" s="77">
        <v>14.0</v>
      </c>
      <c r="D96" s="64">
        <v>52.121291</v>
      </c>
      <c r="E96" s="64">
        <v>5.383755</v>
      </c>
      <c r="F96" s="78" t="s">
        <v>100</v>
      </c>
      <c r="G96" s="78" t="s">
        <v>101</v>
      </c>
      <c r="H96" s="66" t="str">
        <f t="shared" si="14"/>
        <v>destrandman</v>
      </c>
      <c r="I96" s="79" t="s">
        <v>284</v>
      </c>
      <c r="J96" s="80"/>
      <c r="K96" s="78" t="b">
        <v>1</v>
      </c>
      <c r="L96" s="66" t="str">
        <f t="shared" si="2"/>
        <v/>
      </c>
      <c r="M96" s="81" t="str">
        <f>IFERROR(__xludf.DUMMYFUNCTION("IF(W96=1,IFERROR(IMPORTXML(I96, ""//p[@class='status-date']""), ""Not deployed""),"""")"),"")</f>
        <v/>
      </c>
      <c r="N96" s="82"/>
      <c r="O96" s="66"/>
      <c r="P96" s="66"/>
      <c r="Q96" s="66"/>
      <c r="R96" s="83" t="str">
        <f t="shared" si="3"/>
        <v/>
      </c>
      <c r="S96" s="84" t="str">
        <f t="shared" si="4"/>
        <v/>
      </c>
      <c r="T96" s="85"/>
      <c r="U96" s="82">
        <f t="shared" si="5"/>
        <v>0</v>
      </c>
      <c r="V96" s="66">
        <f t="shared" si="6"/>
        <v>0</v>
      </c>
      <c r="W96" s="81">
        <f t="shared" si="7"/>
        <v>0</v>
      </c>
      <c r="X96" s="82" t="str">
        <f t="shared" si="8"/>
        <v>destrandman</v>
      </c>
      <c r="Y96" s="86" t="str">
        <f t="shared" si="9"/>
        <v>https://www.munzee.com/m/destrandman/5835/</v>
      </c>
    </row>
    <row r="97" hidden="1" outlineLevel="1">
      <c r="A97" s="76" t="s">
        <v>285</v>
      </c>
      <c r="B97" s="77">
        <v>9.0</v>
      </c>
      <c r="C97" s="77">
        <v>15.0</v>
      </c>
      <c r="D97" s="64">
        <v>52.121291</v>
      </c>
      <c r="E97" s="64">
        <v>5.383989</v>
      </c>
      <c r="F97" s="78" t="s">
        <v>78</v>
      </c>
      <c r="G97" s="78" t="s">
        <v>79</v>
      </c>
      <c r="H97" s="78" t="s">
        <v>199</v>
      </c>
      <c r="I97" s="79" t="s">
        <v>286</v>
      </c>
      <c r="J97" s="80"/>
      <c r="K97" s="78" t="b">
        <v>1</v>
      </c>
      <c r="L97" s="66" t="str">
        <f t="shared" si="2"/>
        <v/>
      </c>
      <c r="M97" s="81" t="str">
        <f>IFERROR(__xludf.DUMMYFUNCTION("IF(W97=1,IFERROR(IMPORTXML(I97, ""//p[@class='status-date']""), ""Not deployed""),"""")"),"")</f>
        <v/>
      </c>
      <c r="N97" s="82"/>
      <c r="O97" s="66"/>
      <c r="P97" s="66"/>
      <c r="Q97" s="66"/>
      <c r="R97" s="83" t="str">
        <f t="shared" si="3"/>
        <v/>
      </c>
      <c r="S97" s="84" t="str">
        <f t="shared" si="4"/>
        <v/>
      </c>
      <c r="T97" s="85"/>
      <c r="U97" s="82">
        <f t="shared" si="5"/>
        <v>0</v>
      </c>
      <c r="V97" s="66">
        <f t="shared" si="6"/>
        <v>0</v>
      </c>
      <c r="W97" s="81">
        <f t="shared" si="7"/>
        <v>0</v>
      </c>
      <c r="X97" s="82" t="str">
        <f t="shared" si="8"/>
        <v>Kegelhexe</v>
      </c>
      <c r="Y97" s="86" t="str">
        <f t="shared" si="9"/>
        <v>https://www.munzee.com/m/Kegelhexe/5356/</v>
      </c>
    </row>
    <row r="98" hidden="1" outlineLevel="1">
      <c r="A98" s="76" t="s">
        <v>287</v>
      </c>
      <c r="B98" s="77">
        <v>9.0</v>
      </c>
      <c r="C98" s="77">
        <v>16.0</v>
      </c>
      <c r="D98" s="64">
        <v>52.121291</v>
      </c>
      <c r="E98" s="64">
        <v>5.384223</v>
      </c>
      <c r="F98" s="78" t="s">
        <v>57</v>
      </c>
      <c r="G98" s="78" t="s">
        <v>58</v>
      </c>
      <c r="H98" s="66" t="str">
        <f t="shared" ref="H98:H99" si="15">IF(ISTEXT(X98),X98,"")</f>
        <v>230Volt</v>
      </c>
      <c r="I98" s="79" t="s">
        <v>288</v>
      </c>
      <c r="J98" s="80"/>
      <c r="K98" s="78" t="b">
        <v>1</v>
      </c>
      <c r="L98" s="66" t="str">
        <f t="shared" si="2"/>
        <v/>
      </c>
      <c r="M98" s="81" t="str">
        <f>IFERROR(__xludf.DUMMYFUNCTION("IF(W98=1,IFERROR(IMPORTXML(I98, ""//p[@class='status-date']""), ""Not deployed""),"""")"),"")</f>
        <v/>
      </c>
      <c r="N98" s="82"/>
      <c r="O98" s="66"/>
      <c r="P98" s="66"/>
      <c r="Q98" s="66"/>
      <c r="R98" s="83" t="str">
        <f t="shared" si="3"/>
        <v/>
      </c>
      <c r="S98" s="84" t="str">
        <f t="shared" si="4"/>
        <v/>
      </c>
      <c r="T98" s="85"/>
      <c r="U98" s="82">
        <f t="shared" si="5"/>
        <v>0</v>
      </c>
      <c r="V98" s="66">
        <f t="shared" si="6"/>
        <v>0</v>
      </c>
      <c r="W98" s="81">
        <f t="shared" si="7"/>
        <v>0</v>
      </c>
      <c r="X98" s="82" t="str">
        <f t="shared" si="8"/>
        <v>230Volt</v>
      </c>
      <c r="Y98" s="86" t="str">
        <f t="shared" si="9"/>
        <v>https://www.munzee.com/m/230Volt/1355/</v>
      </c>
    </row>
    <row r="99" hidden="1" outlineLevel="1">
      <c r="A99" s="76" t="s">
        <v>289</v>
      </c>
      <c r="B99" s="77">
        <v>10.0</v>
      </c>
      <c r="C99" s="77">
        <v>1.0</v>
      </c>
      <c r="D99" s="64">
        <v>52.121148</v>
      </c>
      <c r="E99" s="64">
        <v>5.380711</v>
      </c>
      <c r="F99" s="78" t="s">
        <v>132</v>
      </c>
      <c r="G99" s="78" t="s">
        <v>133</v>
      </c>
      <c r="H99" s="66" t="str">
        <f t="shared" si="15"/>
        <v>AmezorC</v>
      </c>
      <c r="I99" s="79" t="s">
        <v>290</v>
      </c>
      <c r="J99" s="80"/>
      <c r="K99" s="78" t="b">
        <v>1</v>
      </c>
      <c r="L99" s="66" t="str">
        <f t="shared" si="2"/>
        <v/>
      </c>
      <c r="M99" s="81" t="str">
        <f>IFERROR(__xludf.DUMMYFUNCTION("IF(W99=1,IFERROR(IMPORTXML(I99, ""//p[@class='status-date']""), ""Not deployed""),"""")"),"")</f>
        <v/>
      </c>
      <c r="N99" s="82"/>
      <c r="O99" s="66"/>
      <c r="P99" s="66"/>
      <c r="Q99" s="66"/>
      <c r="R99" s="83" t="str">
        <f t="shared" si="3"/>
        <v/>
      </c>
      <c r="S99" s="84" t="str">
        <f t="shared" si="4"/>
        <v/>
      </c>
      <c r="T99" s="85"/>
      <c r="U99" s="82">
        <f t="shared" si="5"/>
        <v>0</v>
      </c>
      <c r="V99" s="66">
        <f t="shared" si="6"/>
        <v>0</v>
      </c>
      <c r="W99" s="81">
        <f t="shared" si="7"/>
        <v>0</v>
      </c>
      <c r="X99" s="82" t="str">
        <f t="shared" si="8"/>
        <v>AmezorC</v>
      </c>
      <c r="Y99" s="86" t="str">
        <f t="shared" si="9"/>
        <v>https://www.munzee.com/m/AmezorC/13930/</v>
      </c>
    </row>
    <row r="100" hidden="1" outlineLevel="1">
      <c r="A100" s="76" t="s">
        <v>291</v>
      </c>
      <c r="B100" s="77">
        <v>10.0</v>
      </c>
      <c r="C100" s="77">
        <v>2.0</v>
      </c>
      <c r="D100" s="64">
        <v>52.121148</v>
      </c>
      <c r="E100" s="64">
        <v>5.380946</v>
      </c>
      <c r="F100" s="78" t="s">
        <v>132</v>
      </c>
      <c r="G100" s="78" t="s">
        <v>133</v>
      </c>
      <c r="H100" s="78" t="s">
        <v>86</v>
      </c>
      <c r="I100" s="79" t="s">
        <v>292</v>
      </c>
      <c r="J100" s="80"/>
      <c r="K100" s="78" t="b">
        <v>1</v>
      </c>
      <c r="L100" s="66" t="str">
        <f t="shared" si="2"/>
        <v/>
      </c>
      <c r="M100" s="81" t="str">
        <f>IFERROR(__xludf.DUMMYFUNCTION("IF(W100=1,IFERROR(IMPORTXML(I100, ""//p[@class='status-date']""), ""Not deployed""),"""")"),"")</f>
        <v/>
      </c>
      <c r="N100" s="82"/>
      <c r="O100" s="66"/>
      <c r="P100" s="66"/>
      <c r="Q100" s="66"/>
      <c r="R100" s="83" t="str">
        <f t="shared" si="3"/>
        <v/>
      </c>
      <c r="S100" s="84" t="str">
        <f t="shared" si="4"/>
        <v/>
      </c>
      <c r="T100" s="85"/>
      <c r="U100" s="82">
        <f t="shared" si="5"/>
        <v>0</v>
      </c>
      <c r="V100" s="66">
        <f t="shared" si="6"/>
        <v>0</v>
      </c>
      <c r="W100" s="81">
        <f t="shared" si="7"/>
        <v>0</v>
      </c>
      <c r="X100" s="82" t="str">
        <f t="shared" si="8"/>
        <v>Alroso</v>
      </c>
      <c r="Y100" s="86" t="str">
        <f t="shared" si="9"/>
        <v>https://www.munzee.com/m/Alroso/3134/</v>
      </c>
    </row>
    <row r="101" hidden="1" outlineLevel="1">
      <c r="A101" s="76" t="s">
        <v>293</v>
      </c>
      <c r="B101" s="77">
        <v>10.0</v>
      </c>
      <c r="C101" s="77">
        <v>3.0</v>
      </c>
      <c r="D101" s="64">
        <v>52.121148</v>
      </c>
      <c r="E101" s="64">
        <v>5.38118</v>
      </c>
      <c r="F101" s="78" t="s">
        <v>294</v>
      </c>
      <c r="G101" s="78" t="s">
        <v>295</v>
      </c>
      <c r="H101" s="78" t="s">
        <v>94</v>
      </c>
      <c r="I101" s="79" t="s">
        <v>296</v>
      </c>
      <c r="J101" s="80"/>
      <c r="K101" s="78" t="b">
        <v>1</v>
      </c>
      <c r="L101" s="66" t="str">
        <f t="shared" si="2"/>
        <v/>
      </c>
      <c r="M101" s="81" t="str">
        <f>IFERROR(__xludf.DUMMYFUNCTION("IF(W101=1,IFERROR(IMPORTXML(I101, ""//p[@class='status-date']""), ""Not deployed""),"""")"),"")</f>
        <v/>
      </c>
      <c r="N101" s="82"/>
      <c r="O101" s="66"/>
      <c r="P101" s="66"/>
      <c r="Q101" s="66"/>
      <c r="R101" s="83" t="str">
        <f t="shared" si="3"/>
        <v/>
      </c>
      <c r="S101" s="84" t="str">
        <f t="shared" si="4"/>
        <v/>
      </c>
      <c r="T101" s="85"/>
      <c r="U101" s="82">
        <f t="shared" si="5"/>
        <v>0</v>
      </c>
      <c r="V101" s="66">
        <f t="shared" si="6"/>
        <v>0</v>
      </c>
      <c r="W101" s="81">
        <f t="shared" si="7"/>
        <v>0</v>
      </c>
      <c r="X101" s="82" t="str">
        <f t="shared" si="8"/>
        <v>paulus2012</v>
      </c>
      <c r="Y101" s="86" t="str">
        <f t="shared" si="9"/>
        <v>https://www.munzee.com/m/paulus2012/8968/</v>
      </c>
    </row>
    <row r="102" hidden="1" outlineLevel="1">
      <c r="A102" s="76" t="s">
        <v>297</v>
      </c>
      <c r="B102" s="77">
        <v>10.0</v>
      </c>
      <c r="C102" s="77">
        <v>14.0</v>
      </c>
      <c r="D102" s="64">
        <v>52.121148</v>
      </c>
      <c r="E102" s="64">
        <v>5.383755</v>
      </c>
      <c r="F102" s="78" t="s">
        <v>100</v>
      </c>
      <c r="G102" s="78" t="s">
        <v>101</v>
      </c>
      <c r="H102" s="78" t="s">
        <v>298</v>
      </c>
      <c r="I102" s="79" t="s">
        <v>299</v>
      </c>
      <c r="J102" s="88"/>
      <c r="K102" s="78" t="b">
        <v>1</v>
      </c>
      <c r="L102" s="66" t="str">
        <f t="shared" si="2"/>
        <v/>
      </c>
      <c r="M102" s="81" t="str">
        <f>IFERROR(__xludf.DUMMYFUNCTION("IF(W102=1,IFERROR(IMPORTXML(I102, ""//p[@class='status-date']""), ""Not deployed""),"""")"),"")</f>
        <v/>
      </c>
      <c r="N102" s="82"/>
      <c r="O102" s="66"/>
      <c r="P102" s="66"/>
      <c r="Q102" s="66"/>
      <c r="R102" s="83" t="str">
        <f t="shared" si="3"/>
        <v/>
      </c>
      <c r="S102" s="84" t="str">
        <f t="shared" si="4"/>
        <v/>
      </c>
      <c r="T102" s="85"/>
      <c r="U102" s="82">
        <f t="shared" si="5"/>
        <v>0</v>
      </c>
      <c r="V102" s="66">
        <f t="shared" si="6"/>
        <v>0</v>
      </c>
      <c r="W102" s="81">
        <f t="shared" si="7"/>
        <v>0</v>
      </c>
      <c r="X102" s="82" t="str">
        <f t="shared" si="8"/>
        <v>Hogglespike</v>
      </c>
      <c r="Y102" s="86" t="str">
        <f t="shared" si="9"/>
        <v>https://www.munzee.com/m/Hogglespike/10228/</v>
      </c>
    </row>
    <row r="103" hidden="1" outlineLevel="1">
      <c r="A103" s="76" t="s">
        <v>300</v>
      </c>
      <c r="B103" s="77">
        <v>10.0</v>
      </c>
      <c r="C103" s="77">
        <v>15.0</v>
      </c>
      <c r="D103" s="64">
        <v>52.121148</v>
      </c>
      <c r="E103" s="64">
        <v>5.383989</v>
      </c>
      <c r="F103" s="78" t="s">
        <v>70</v>
      </c>
      <c r="G103" s="78" t="s">
        <v>71</v>
      </c>
      <c r="H103" s="78" t="s">
        <v>301</v>
      </c>
      <c r="I103" s="79" t="s">
        <v>302</v>
      </c>
      <c r="J103" s="88"/>
      <c r="K103" s="78" t="b">
        <v>1</v>
      </c>
      <c r="L103" s="66" t="str">
        <f t="shared" si="2"/>
        <v/>
      </c>
      <c r="M103" s="81" t="str">
        <f>IFERROR(__xludf.DUMMYFUNCTION("IF(W103=1,IFERROR(IMPORTXML(I103, ""//p[@class='status-date']""), ""Not deployed""),"""")"),"")</f>
        <v/>
      </c>
      <c r="N103" s="82"/>
      <c r="O103" s="66"/>
      <c r="P103" s="66"/>
      <c r="Q103" s="66"/>
      <c r="R103" s="83" t="str">
        <f t="shared" si="3"/>
        <v/>
      </c>
      <c r="S103" s="84" t="str">
        <f t="shared" si="4"/>
        <v/>
      </c>
      <c r="T103" s="85"/>
      <c r="U103" s="82">
        <f t="shared" si="5"/>
        <v>0</v>
      </c>
      <c r="V103" s="66">
        <f t="shared" si="6"/>
        <v>0</v>
      </c>
      <c r="W103" s="81">
        <f t="shared" si="7"/>
        <v>0</v>
      </c>
      <c r="X103" s="82" t="str">
        <f t="shared" si="8"/>
        <v>darrenjones</v>
      </c>
      <c r="Y103" s="86" t="str">
        <f t="shared" si="9"/>
        <v>https://www.munzee.com/m/darrenjones/8811/</v>
      </c>
    </row>
    <row r="104" hidden="1" outlineLevel="1">
      <c r="A104" s="76" t="s">
        <v>303</v>
      </c>
      <c r="B104" s="77">
        <v>10.0</v>
      </c>
      <c r="C104" s="77">
        <v>16.0</v>
      </c>
      <c r="D104" s="64">
        <v>52.121148</v>
      </c>
      <c r="E104" s="64">
        <v>5.384223</v>
      </c>
      <c r="F104" s="78" t="s">
        <v>57</v>
      </c>
      <c r="G104" s="78" t="s">
        <v>58</v>
      </c>
      <c r="H104" s="78" t="s">
        <v>304</v>
      </c>
      <c r="I104" s="79" t="s">
        <v>305</v>
      </c>
      <c r="J104" s="88"/>
      <c r="K104" s="78" t="b">
        <v>1</v>
      </c>
      <c r="L104" s="66" t="str">
        <f t="shared" si="2"/>
        <v/>
      </c>
      <c r="M104" s="81" t="str">
        <f>IFERROR(__xludf.DUMMYFUNCTION("IF(W104=1,IFERROR(IMPORTXML(I104, ""//p[@class='status-date']""), ""Not deployed""),"""")"),"")</f>
        <v/>
      </c>
      <c r="N104" s="82"/>
      <c r="O104" s="66"/>
      <c r="P104" s="66"/>
      <c r="Q104" s="66"/>
      <c r="R104" s="83" t="str">
        <f t="shared" si="3"/>
        <v/>
      </c>
      <c r="S104" s="84" t="str">
        <f t="shared" si="4"/>
        <v/>
      </c>
      <c r="T104" s="85"/>
      <c r="U104" s="82">
        <f t="shared" si="5"/>
        <v>0</v>
      </c>
      <c r="V104" s="66">
        <f t="shared" si="6"/>
        <v>0</v>
      </c>
      <c r="W104" s="81">
        <f t="shared" si="7"/>
        <v>0</v>
      </c>
      <c r="X104" s="82" t="str">
        <f t="shared" si="8"/>
        <v>Cadonkey</v>
      </c>
      <c r="Y104" s="86" t="str">
        <f t="shared" si="9"/>
        <v>https://www.munzee.com/m/Cadonkey/2041/</v>
      </c>
    </row>
    <row r="105" hidden="1" outlineLevel="1">
      <c r="A105" s="76" t="s">
        <v>306</v>
      </c>
      <c r="B105" s="77">
        <v>11.0</v>
      </c>
      <c r="C105" s="77">
        <v>2.0</v>
      </c>
      <c r="D105" s="64">
        <v>52.121004</v>
      </c>
      <c r="E105" s="64">
        <v>5.380945</v>
      </c>
      <c r="F105" s="78" t="s">
        <v>132</v>
      </c>
      <c r="G105" s="78" t="s">
        <v>133</v>
      </c>
      <c r="H105" s="66" t="str">
        <f t="shared" ref="H105:H106" si="16">IF(ISTEXT(X105),X105,"")</f>
        <v>Wawie</v>
      </c>
      <c r="I105" s="79" t="s">
        <v>307</v>
      </c>
      <c r="J105" s="80"/>
      <c r="K105" s="78" t="b">
        <v>1</v>
      </c>
      <c r="L105" s="66" t="str">
        <f t="shared" si="2"/>
        <v/>
      </c>
      <c r="M105" s="81" t="str">
        <f>IFERROR(__xludf.DUMMYFUNCTION("IF(W105=1,IFERROR(IMPORTXML(I105, ""//p[@class='status-date']""), ""Not deployed""),"""")"),"")</f>
        <v/>
      </c>
      <c r="N105" s="82"/>
      <c r="O105" s="66"/>
      <c r="P105" s="66"/>
      <c r="Q105" s="66"/>
      <c r="R105" s="83" t="str">
        <f t="shared" si="3"/>
        <v/>
      </c>
      <c r="S105" s="84" t="str">
        <f t="shared" si="4"/>
        <v/>
      </c>
      <c r="T105" s="85"/>
      <c r="U105" s="82">
        <f t="shared" si="5"/>
        <v>0</v>
      </c>
      <c r="V105" s="66">
        <f t="shared" si="6"/>
        <v>0</v>
      </c>
      <c r="W105" s="81">
        <f t="shared" si="7"/>
        <v>0</v>
      </c>
      <c r="X105" s="82" t="str">
        <f t="shared" si="8"/>
        <v>Wawie</v>
      </c>
      <c r="Y105" s="86" t="str">
        <f t="shared" si="9"/>
        <v>https://www.munzee.com/m/Wawie/2376/</v>
      </c>
    </row>
    <row r="106" hidden="1" outlineLevel="1">
      <c r="A106" s="76" t="s">
        <v>308</v>
      </c>
      <c r="B106" s="77">
        <v>11.0</v>
      </c>
      <c r="C106" s="77">
        <v>14.0</v>
      </c>
      <c r="D106" s="64">
        <v>52.121004</v>
      </c>
      <c r="E106" s="64">
        <v>5.383755</v>
      </c>
      <c r="F106" s="78" t="s">
        <v>100</v>
      </c>
      <c r="G106" s="78" t="s">
        <v>101</v>
      </c>
      <c r="H106" s="66" t="str">
        <f t="shared" si="16"/>
        <v>Wawie</v>
      </c>
      <c r="I106" s="79" t="s">
        <v>309</v>
      </c>
      <c r="J106" s="80"/>
      <c r="K106" s="78" t="b">
        <v>1</v>
      </c>
      <c r="L106" s="66" t="str">
        <f t="shared" si="2"/>
        <v/>
      </c>
      <c r="M106" s="81" t="str">
        <f>IFERROR(__xludf.DUMMYFUNCTION("IF(W106=1,IFERROR(IMPORTXML(I106, ""//p[@class='status-date']""), ""Not deployed""),"""")"),"")</f>
        <v/>
      </c>
      <c r="N106" s="82"/>
      <c r="O106" s="66"/>
      <c r="P106" s="66"/>
      <c r="Q106" s="66"/>
      <c r="R106" s="83" t="str">
        <f t="shared" si="3"/>
        <v/>
      </c>
      <c r="S106" s="84" t="str">
        <f t="shared" si="4"/>
        <v/>
      </c>
      <c r="T106" s="85"/>
      <c r="U106" s="82">
        <f t="shared" si="5"/>
        <v>0</v>
      </c>
      <c r="V106" s="66">
        <f t="shared" si="6"/>
        <v>0</v>
      </c>
      <c r="W106" s="81">
        <f t="shared" si="7"/>
        <v>0</v>
      </c>
      <c r="X106" s="82" t="str">
        <f t="shared" si="8"/>
        <v>Wawie</v>
      </c>
      <c r="Y106" s="86" t="str">
        <f t="shared" si="9"/>
        <v>https://www.munzee.com/m/Wawie/958/</v>
      </c>
    </row>
    <row r="107" hidden="1" outlineLevel="1">
      <c r="A107" s="76" t="s">
        <v>310</v>
      </c>
      <c r="B107" s="77">
        <v>11.0</v>
      </c>
      <c r="C107" s="77">
        <v>15.0</v>
      </c>
      <c r="D107" s="64">
        <v>52.121004</v>
      </c>
      <c r="E107" s="64">
        <v>5.383989</v>
      </c>
      <c r="F107" s="78" t="s">
        <v>78</v>
      </c>
      <c r="G107" s="78" t="s">
        <v>79</v>
      </c>
      <c r="H107" s="78" t="s">
        <v>237</v>
      </c>
      <c r="I107" s="79" t="s">
        <v>311</v>
      </c>
      <c r="J107" s="80"/>
      <c r="K107" s="78" t="b">
        <v>1</v>
      </c>
      <c r="L107" s="66" t="str">
        <f t="shared" si="2"/>
        <v/>
      </c>
      <c r="M107" s="81" t="str">
        <f>IFERROR(__xludf.DUMMYFUNCTION("IF(W107=1,IFERROR(IMPORTXML(I107, ""//p[@class='status-date']""), ""Not deployed""),"""")"),"")</f>
        <v/>
      </c>
      <c r="N107" s="82"/>
      <c r="O107" s="66"/>
      <c r="P107" s="66"/>
      <c r="Q107" s="66"/>
      <c r="R107" s="83" t="str">
        <f t="shared" si="3"/>
        <v/>
      </c>
      <c r="S107" s="84" t="str">
        <f t="shared" si="4"/>
        <v/>
      </c>
      <c r="T107" s="85"/>
      <c r="U107" s="82">
        <f t="shared" si="5"/>
        <v>0</v>
      </c>
      <c r="V107" s="66">
        <f t="shared" si="6"/>
        <v>0</v>
      </c>
      <c r="W107" s="81">
        <f t="shared" si="7"/>
        <v>0</v>
      </c>
      <c r="X107" s="82" t="str">
        <f t="shared" si="8"/>
        <v>Helefant</v>
      </c>
      <c r="Y107" s="86" t="str">
        <f t="shared" si="9"/>
        <v>https://www.munzee.com/m/Helefant/5560/</v>
      </c>
    </row>
    <row r="108" hidden="1" outlineLevel="1">
      <c r="A108" s="76" t="s">
        <v>312</v>
      </c>
      <c r="B108" s="77">
        <v>11.0</v>
      </c>
      <c r="C108" s="77">
        <v>16.0</v>
      </c>
      <c r="D108" s="64">
        <v>52.121004</v>
      </c>
      <c r="E108" s="64">
        <v>5.384223</v>
      </c>
      <c r="F108" s="78" t="s">
        <v>57</v>
      </c>
      <c r="G108" s="78" t="s">
        <v>58</v>
      </c>
      <c r="H108" s="78" t="s">
        <v>188</v>
      </c>
      <c r="I108" s="79" t="s">
        <v>313</v>
      </c>
      <c r="J108" s="80"/>
      <c r="K108" s="78" t="b">
        <v>1</v>
      </c>
      <c r="L108" s="66" t="str">
        <f t="shared" si="2"/>
        <v/>
      </c>
      <c r="M108" s="81" t="str">
        <f>IFERROR(__xludf.DUMMYFUNCTION("IF(W108=1,IFERROR(IMPORTXML(I108, ""//p[@class='status-date']""), ""Not deployed""),"""")"),"")</f>
        <v/>
      </c>
      <c r="N108" s="82"/>
      <c r="O108" s="66"/>
      <c r="P108" s="66"/>
      <c r="Q108" s="66"/>
      <c r="R108" s="83" t="str">
        <f t="shared" si="3"/>
        <v/>
      </c>
      <c r="S108" s="84" t="str">
        <f t="shared" si="4"/>
        <v/>
      </c>
      <c r="T108" s="85"/>
      <c r="U108" s="82">
        <f t="shared" si="5"/>
        <v>0</v>
      </c>
      <c r="V108" s="66">
        <f t="shared" si="6"/>
        <v>0</v>
      </c>
      <c r="W108" s="81">
        <f t="shared" si="7"/>
        <v>0</v>
      </c>
      <c r="X108" s="82" t="str">
        <f t="shared" si="8"/>
        <v>DarbyJoan</v>
      </c>
      <c r="Y108" s="86" t="str">
        <f t="shared" si="9"/>
        <v>https://www.munzee.com/m/DarbyJoan/3263/</v>
      </c>
    </row>
    <row r="109" hidden="1" outlineLevel="1">
      <c r="A109" s="76" t="s">
        <v>314</v>
      </c>
      <c r="B109" s="77">
        <v>12.0</v>
      </c>
      <c r="C109" s="77">
        <v>14.0</v>
      </c>
      <c r="D109" s="64">
        <v>52.12086</v>
      </c>
      <c r="E109" s="64">
        <v>5.383755</v>
      </c>
      <c r="F109" s="78" t="s">
        <v>100</v>
      </c>
      <c r="G109" s="78" t="s">
        <v>101</v>
      </c>
      <c r="H109" s="66" t="str">
        <f>IF(ISTEXT(X109),X109,"")</f>
        <v>AmezorC</v>
      </c>
      <c r="I109" s="79" t="s">
        <v>315</v>
      </c>
      <c r="J109" s="80"/>
      <c r="K109" s="78" t="b">
        <v>1</v>
      </c>
      <c r="L109" s="66" t="str">
        <f t="shared" si="2"/>
        <v/>
      </c>
      <c r="M109" s="81" t="str">
        <f>IFERROR(__xludf.DUMMYFUNCTION("IF(W109=1,IFERROR(IMPORTXML(I109, ""//p[@class='status-date']""), ""Not deployed""),"""")"),"")</f>
        <v/>
      </c>
      <c r="N109" s="82"/>
      <c r="O109" s="66"/>
      <c r="P109" s="66"/>
      <c r="Q109" s="66"/>
      <c r="R109" s="83" t="str">
        <f t="shared" si="3"/>
        <v/>
      </c>
      <c r="S109" s="84" t="str">
        <f t="shared" si="4"/>
        <v/>
      </c>
      <c r="T109" s="85"/>
      <c r="U109" s="82">
        <f t="shared" si="5"/>
        <v>0</v>
      </c>
      <c r="V109" s="66">
        <f t="shared" si="6"/>
        <v>0</v>
      </c>
      <c r="W109" s="81">
        <f t="shared" si="7"/>
        <v>0</v>
      </c>
      <c r="X109" s="82" t="str">
        <f t="shared" si="8"/>
        <v>AmezorC</v>
      </c>
      <c r="Y109" s="86" t="str">
        <f t="shared" si="9"/>
        <v>https://www.munzee.com/m/AmezorC/13879/</v>
      </c>
    </row>
    <row r="110" hidden="1" outlineLevel="1">
      <c r="A110" s="76" t="s">
        <v>316</v>
      </c>
      <c r="B110" s="77">
        <v>12.0</v>
      </c>
      <c r="C110" s="77">
        <v>15.0</v>
      </c>
      <c r="D110" s="64">
        <v>52.12086</v>
      </c>
      <c r="E110" s="64">
        <v>5.383989</v>
      </c>
      <c r="F110" s="78" t="s">
        <v>78</v>
      </c>
      <c r="G110" s="78" t="s">
        <v>79</v>
      </c>
      <c r="H110" s="78" t="s">
        <v>317</v>
      </c>
      <c r="I110" s="79" t="s">
        <v>318</v>
      </c>
      <c r="J110" s="80"/>
      <c r="K110" s="78" t="b">
        <v>1</v>
      </c>
      <c r="L110" s="66" t="str">
        <f t="shared" si="2"/>
        <v/>
      </c>
      <c r="M110" s="81" t="str">
        <f>IFERROR(__xludf.DUMMYFUNCTION("IF(W110=1,IFERROR(IMPORTXML(I110, ""//p[@class='status-date']""), ""Not deployed""),"""")"),"")</f>
        <v/>
      </c>
      <c r="N110" s="82"/>
      <c r="O110" s="66"/>
      <c r="P110" s="66"/>
      <c r="Q110" s="66"/>
      <c r="R110" s="83" t="str">
        <f t="shared" si="3"/>
        <v/>
      </c>
      <c r="S110" s="84" t="str">
        <f t="shared" si="4"/>
        <v/>
      </c>
      <c r="T110" s="85"/>
      <c r="U110" s="82">
        <f t="shared" si="5"/>
        <v>0</v>
      </c>
      <c r="V110" s="66">
        <f t="shared" si="6"/>
        <v>0</v>
      </c>
      <c r="W110" s="81">
        <f t="shared" si="7"/>
        <v>0</v>
      </c>
      <c r="X110" s="82" t="str">
        <f t="shared" si="8"/>
        <v>FlamingoFlurrier</v>
      </c>
      <c r="Y110" s="86" t="str">
        <f t="shared" si="9"/>
        <v>https://www.munzee.com/m/FlamingoFlurrier/11217/</v>
      </c>
    </row>
    <row r="111" hidden="1" outlineLevel="1">
      <c r="A111" s="76" t="s">
        <v>319</v>
      </c>
      <c r="B111" s="77">
        <v>12.0</v>
      </c>
      <c r="C111" s="77">
        <v>16.0</v>
      </c>
      <c r="D111" s="64">
        <v>52.12086</v>
      </c>
      <c r="E111" s="64">
        <v>5.384223</v>
      </c>
      <c r="F111" s="78" t="s">
        <v>78</v>
      </c>
      <c r="G111" s="78" t="s">
        <v>79</v>
      </c>
      <c r="H111" s="78" t="s">
        <v>320</v>
      </c>
      <c r="I111" s="79" t="s">
        <v>321</v>
      </c>
      <c r="J111" s="80"/>
      <c r="K111" s="78" t="b">
        <v>1</v>
      </c>
      <c r="L111" s="66" t="str">
        <f t="shared" si="2"/>
        <v/>
      </c>
      <c r="M111" s="81" t="str">
        <f>IFERROR(__xludf.DUMMYFUNCTION("IF(W111=1,IFERROR(IMPORTXML(I111, ""//p[@class='status-date']""), ""Not deployed""),"""")"),"")</f>
        <v/>
      </c>
      <c r="N111" s="82"/>
      <c r="O111" s="66"/>
      <c r="P111" s="66"/>
      <c r="Q111" s="66"/>
      <c r="R111" s="83" t="str">
        <f t="shared" si="3"/>
        <v/>
      </c>
      <c r="S111" s="84" t="str">
        <f t="shared" si="4"/>
        <v/>
      </c>
      <c r="T111" s="85"/>
      <c r="U111" s="82">
        <f t="shared" si="5"/>
        <v>0</v>
      </c>
      <c r="V111" s="66">
        <f t="shared" si="6"/>
        <v>0</v>
      </c>
      <c r="W111" s="81">
        <f t="shared" si="7"/>
        <v>0</v>
      </c>
      <c r="X111" s="82" t="str">
        <f t="shared" si="8"/>
        <v>wemissmo</v>
      </c>
      <c r="Y111" s="86" t="str">
        <f t="shared" si="9"/>
        <v>https://www.munzee.com/m/wemissmo/11766/</v>
      </c>
    </row>
    <row r="112" hidden="1" outlineLevel="1">
      <c r="A112" s="76" t="s">
        <v>322</v>
      </c>
      <c r="B112" s="77">
        <v>13.0</v>
      </c>
      <c r="C112" s="77">
        <v>14.0</v>
      </c>
      <c r="D112" s="64">
        <v>52.120717</v>
      </c>
      <c r="E112" s="64">
        <v>5.383755</v>
      </c>
      <c r="F112" s="78" t="s">
        <v>125</v>
      </c>
      <c r="G112" s="78" t="s">
        <v>126</v>
      </c>
      <c r="H112" s="78" t="s">
        <v>323</v>
      </c>
      <c r="I112" s="79" t="s">
        <v>324</v>
      </c>
      <c r="J112" s="80"/>
      <c r="K112" s="78" t="b">
        <v>1</v>
      </c>
      <c r="L112" s="66" t="str">
        <f t="shared" si="2"/>
        <v/>
      </c>
      <c r="M112" s="81" t="str">
        <f>IFERROR(__xludf.DUMMYFUNCTION("IF(W112=1,IFERROR(IMPORTXML(I112, ""//p[@class='status-date']""), ""Not deployed""),"""")"),"")</f>
        <v/>
      </c>
      <c r="N112" s="82"/>
      <c r="O112" s="66"/>
      <c r="P112" s="66"/>
      <c r="Q112" s="66"/>
      <c r="R112" s="83" t="str">
        <f t="shared" si="3"/>
        <v/>
      </c>
      <c r="S112" s="84" t="str">
        <f t="shared" si="4"/>
        <v/>
      </c>
      <c r="T112" s="85"/>
      <c r="U112" s="82">
        <f t="shared" si="5"/>
        <v>0</v>
      </c>
      <c r="V112" s="66">
        <f t="shared" si="6"/>
        <v>0</v>
      </c>
      <c r="W112" s="81">
        <f t="shared" si="7"/>
        <v>0</v>
      </c>
      <c r="X112" s="82" t="str">
        <f t="shared" si="8"/>
        <v>theLuckyFinders</v>
      </c>
      <c r="Y112" s="86" t="str">
        <f t="shared" si="9"/>
        <v>https://www.munzee.com/m/theLuckyFinders/4692/</v>
      </c>
    </row>
    <row r="113" hidden="1" outlineLevel="1">
      <c r="A113" s="76" t="s">
        <v>325</v>
      </c>
      <c r="B113" s="77">
        <v>13.0</v>
      </c>
      <c r="C113" s="77">
        <v>15.0</v>
      </c>
      <c r="D113" s="64">
        <v>52.120717</v>
      </c>
      <c r="E113" s="64">
        <v>5.383989</v>
      </c>
      <c r="F113" s="78" t="s">
        <v>57</v>
      </c>
      <c r="G113" s="78" t="s">
        <v>58</v>
      </c>
      <c r="H113" s="78" t="s">
        <v>326</v>
      </c>
      <c r="I113" s="79" t="s">
        <v>327</v>
      </c>
      <c r="J113" s="80"/>
      <c r="K113" s="78" t="b">
        <v>1</v>
      </c>
      <c r="L113" s="66" t="str">
        <f t="shared" si="2"/>
        <v/>
      </c>
      <c r="M113" s="81" t="str">
        <f>IFERROR(__xludf.DUMMYFUNCTION("IF(W113=1,IFERROR(IMPORTXML(I113, ""//p[@class='status-date']""), ""Not deployed""),"""")"),"")</f>
        <v/>
      </c>
      <c r="N113" s="82"/>
      <c r="O113" s="66"/>
      <c r="P113" s="66"/>
      <c r="Q113" s="66"/>
      <c r="R113" s="83" t="str">
        <f t="shared" si="3"/>
        <v/>
      </c>
      <c r="S113" s="84" t="str">
        <f t="shared" si="4"/>
        <v/>
      </c>
      <c r="T113" s="85"/>
      <c r="U113" s="82">
        <f t="shared" si="5"/>
        <v>0</v>
      </c>
      <c r="V113" s="66">
        <f t="shared" si="6"/>
        <v>0</v>
      </c>
      <c r="W113" s="81">
        <f t="shared" si="7"/>
        <v>0</v>
      </c>
      <c r="X113" s="82" t="str">
        <f t="shared" si="8"/>
        <v>Finnleo</v>
      </c>
      <c r="Y113" s="86" t="str">
        <f t="shared" si="9"/>
        <v>https://www.munzee.com/m/Finnleo/2987/</v>
      </c>
    </row>
    <row r="114" hidden="1" outlineLevel="1">
      <c r="A114" s="76" t="s">
        <v>328</v>
      </c>
      <c r="B114" s="77">
        <v>13.0</v>
      </c>
      <c r="C114" s="77">
        <v>16.0</v>
      </c>
      <c r="D114" s="64">
        <v>52.120717</v>
      </c>
      <c r="E114" s="64">
        <v>5.384223</v>
      </c>
      <c r="F114" s="78" t="s">
        <v>51</v>
      </c>
      <c r="G114" s="78" t="s">
        <v>52</v>
      </c>
      <c r="H114" s="78" t="s">
        <v>329</v>
      </c>
      <c r="I114" s="79" t="s">
        <v>330</v>
      </c>
      <c r="J114" s="88"/>
      <c r="K114" s="78" t="b">
        <v>1</v>
      </c>
      <c r="L114" s="66" t="str">
        <f t="shared" si="2"/>
        <v/>
      </c>
      <c r="M114" s="81" t="str">
        <f>IFERROR(__xludf.DUMMYFUNCTION("IF(W114=1,IFERROR(IMPORTXML(I114, ""//p[@class='status-date']""), ""Not deployed""),"""")"),"")</f>
        <v/>
      </c>
      <c r="N114" s="82"/>
      <c r="O114" s="66"/>
      <c r="P114" s="66"/>
      <c r="Q114" s="66"/>
      <c r="R114" s="83" t="str">
        <f t="shared" si="3"/>
        <v/>
      </c>
      <c r="S114" s="84" t="str">
        <f t="shared" si="4"/>
        <v/>
      </c>
      <c r="T114" s="85"/>
      <c r="U114" s="82">
        <f t="shared" si="5"/>
        <v>0</v>
      </c>
      <c r="V114" s="66">
        <f t="shared" si="6"/>
        <v>0</v>
      </c>
      <c r="W114" s="81">
        <f t="shared" si="7"/>
        <v>0</v>
      </c>
      <c r="X114" s="82" t="str">
        <f t="shared" si="8"/>
        <v>Trunte2002</v>
      </c>
      <c r="Y114" s="86" t="str">
        <f t="shared" si="9"/>
        <v>https://www.munzee.com/m/Trunte2002/3190/</v>
      </c>
    </row>
    <row r="115" hidden="1" outlineLevel="1">
      <c r="A115" s="76" t="s">
        <v>331</v>
      </c>
      <c r="B115" s="77">
        <v>14.0</v>
      </c>
      <c r="C115" s="77">
        <v>14.0</v>
      </c>
      <c r="D115" s="64">
        <v>52.120573</v>
      </c>
      <c r="E115" s="64">
        <v>5.383755</v>
      </c>
      <c r="F115" s="78" t="s">
        <v>78</v>
      </c>
      <c r="G115" s="78" t="s">
        <v>79</v>
      </c>
      <c r="H115" s="78" t="s">
        <v>332</v>
      </c>
      <c r="I115" s="79" t="s">
        <v>333</v>
      </c>
      <c r="J115" s="80"/>
      <c r="K115" s="78" t="b">
        <v>1</v>
      </c>
      <c r="L115" s="66" t="str">
        <f t="shared" si="2"/>
        <v/>
      </c>
      <c r="M115" s="81" t="str">
        <f>IFERROR(__xludf.DUMMYFUNCTION("IF(W115=1,IFERROR(IMPORTXML(I115, ""//p[@class='status-date']""), ""Not deployed""),"""")"),"")</f>
        <v/>
      </c>
      <c r="N115" s="82"/>
      <c r="O115" s="66"/>
      <c r="P115" s="66"/>
      <c r="Q115" s="66"/>
      <c r="R115" s="83" t="str">
        <f t="shared" si="3"/>
        <v/>
      </c>
      <c r="S115" s="84" t="str">
        <f t="shared" si="4"/>
        <v/>
      </c>
      <c r="T115" s="85"/>
      <c r="U115" s="82">
        <f t="shared" si="5"/>
        <v>0</v>
      </c>
      <c r="V115" s="66">
        <f t="shared" si="6"/>
        <v>0</v>
      </c>
      <c r="W115" s="81">
        <f t="shared" si="7"/>
        <v>0</v>
      </c>
      <c r="X115" s="82" t="str">
        <f t="shared" si="8"/>
        <v>Mariabettina</v>
      </c>
      <c r="Y115" s="86" t="str">
        <f t="shared" si="9"/>
        <v>https://www.munzee.com/m/Mariabettina/3199/</v>
      </c>
    </row>
    <row r="116" hidden="1" outlineLevel="1">
      <c r="A116" s="76" t="s">
        <v>334</v>
      </c>
      <c r="B116" s="77">
        <v>14.0</v>
      </c>
      <c r="C116" s="77">
        <v>15.0</v>
      </c>
      <c r="D116" s="64">
        <v>52.120573</v>
      </c>
      <c r="E116" s="64">
        <v>5.383989</v>
      </c>
      <c r="F116" s="78" t="s">
        <v>57</v>
      </c>
      <c r="G116" s="78" t="s">
        <v>58</v>
      </c>
      <c r="H116" s="66" t="str">
        <f>IF(ISTEXT(X116),X116,"")</f>
        <v>230Volt</v>
      </c>
      <c r="I116" s="79" t="s">
        <v>335</v>
      </c>
      <c r="J116" s="80"/>
      <c r="K116" s="78" t="b">
        <v>1</v>
      </c>
      <c r="L116" s="66" t="str">
        <f t="shared" si="2"/>
        <v/>
      </c>
      <c r="M116" s="81" t="str">
        <f>IFERROR(__xludf.DUMMYFUNCTION("IF(W116=1,IFERROR(IMPORTXML(I116, ""//p[@class='status-date']""), ""Not deployed""),"""")"),"")</f>
        <v/>
      </c>
      <c r="N116" s="82"/>
      <c r="O116" s="66"/>
      <c r="P116" s="66"/>
      <c r="Q116" s="66"/>
      <c r="R116" s="83" t="str">
        <f t="shared" si="3"/>
        <v/>
      </c>
      <c r="S116" s="84" t="str">
        <f t="shared" si="4"/>
        <v/>
      </c>
      <c r="T116" s="85"/>
      <c r="U116" s="82">
        <f t="shared" si="5"/>
        <v>0</v>
      </c>
      <c r="V116" s="66">
        <f t="shared" si="6"/>
        <v>0</v>
      </c>
      <c r="W116" s="81">
        <f t="shared" si="7"/>
        <v>0</v>
      </c>
      <c r="X116" s="82" t="str">
        <f t="shared" si="8"/>
        <v>230Volt</v>
      </c>
      <c r="Y116" s="86" t="str">
        <f t="shared" si="9"/>
        <v>https://www.munzee.com/m/230Volt/1356/</v>
      </c>
    </row>
    <row r="117" hidden="1" outlineLevel="1">
      <c r="A117" s="76" t="s">
        <v>336</v>
      </c>
      <c r="B117" s="77">
        <v>14.0</v>
      </c>
      <c r="C117" s="77">
        <v>16.0</v>
      </c>
      <c r="D117" s="64">
        <v>52.120573</v>
      </c>
      <c r="E117" s="64">
        <v>5.384223</v>
      </c>
      <c r="F117" s="78" t="s">
        <v>100</v>
      </c>
      <c r="G117" s="78" t="s">
        <v>101</v>
      </c>
      <c r="H117" s="78" t="s">
        <v>86</v>
      </c>
      <c r="I117" s="79" t="s">
        <v>337</v>
      </c>
      <c r="J117" s="80"/>
      <c r="K117" s="78" t="b">
        <v>1</v>
      </c>
      <c r="L117" s="66" t="str">
        <f t="shared" si="2"/>
        <v/>
      </c>
      <c r="M117" s="81" t="str">
        <f>IFERROR(__xludf.DUMMYFUNCTION("IF(W117=1,IFERROR(IMPORTXML(I117, ""//p[@class='status-date']""), ""Not deployed""),"""")"),"")</f>
        <v/>
      </c>
      <c r="N117" s="82"/>
      <c r="O117" s="66"/>
      <c r="P117" s="66"/>
      <c r="Q117" s="66"/>
      <c r="R117" s="83" t="str">
        <f t="shared" si="3"/>
        <v/>
      </c>
      <c r="S117" s="84" t="str">
        <f t="shared" si="4"/>
        <v/>
      </c>
      <c r="T117" s="85"/>
      <c r="U117" s="82">
        <f t="shared" si="5"/>
        <v>0</v>
      </c>
      <c r="V117" s="66">
        <f t="shared" si="6"/>
        <v>0</v>
      </c>
      <c r="W117" s="81">
        <f t="shared" si="7"/>
        <v>0</v>
      </c>
      <c r="X117" s="82" t="str">
        <f t="shared" si="8"/>
        <v>Alroso</v>
      </c>
      <c r="Y117" s="86" t="str">
        <f t="shared" si="9"/>
        <v>https://www.munzee.com/m/Alroso/3132/</v>
      </c>
    </row>
    <row r="118" hidden="1" outlineLevel="1">
      <c r="A118" s="76" t="s">
        <v>338</v>
      </c>
      <c r="B118" s="77">
        <v>15.0</v>
      </c>
      <c r="C118" s="77">
        <v>13.0</v>
      </c>
      <c r="D118" s="64">
        <v>52.120429</v>
      </c>
      <c r="E118" s="64">
        <v>5.38352</v>
      </c>
      <c r="F118" s="78" t="s">
        <v>51</v>
      </c>
      <c r="G118" s="78" t="s">
        <v>52</v>
      </c>
      <c r="H118" s="78" t="s">
        <v>94</v>
      </c>
      <c r="I118" s="79" t="s">
        <v>339</v>
      </c>
      <c r="J118" s="80"/>
      <c r="K118" s="78" t="b">
        <v>1</v>
      </c>
      <c r="L118" s="66" t="str">
        <f t="shared" si="2"/>
        <v/>
      </c>
      <c r="M118" s="81" t="str">
        <f>IFERROR(__xludf.DUMMYFUNCTION("IF(W118=1,IFERROR(IMPORTXML(I118, ""//p[@class='status-date']""), ""Not deployed""),"""")"),"")</f>
        <v/>
      </c>
      <c r="N118" s="82"/>
      <c r="O118" s="66"/>
      <c r="P118" s="66"/>
      <c r="Q118" s="66"/>
      <c r="R118" s="83" t="str">
        <f t="shared" si="3"/>
        <v/>
      </c>
      <c r="S118" s="84" t="str">
        <f t="shared" si="4"/>
        <v/>
      </c>
      <c r="T118" s="85"/>
      <c r="U118" s="82">
        <f t="shared" si="5"/>
        <v>0</v>
      </c>
      <c r="V118" s="66">
        <f t="shared" si="6"/>
        <v>0</v>
      </c>
      <c r="W118" s="81">
        <f t="shared" si="7"/>
        <v>0</v>
      </c>
      <c r="X118" s="82" t="str">
        <f t="shared" si="8"/>
        <v>paulus2012</v>
      </c>
      <c r="Y118" s="86" t="str">
        <f t="shared" si="9"/>
        <v>https://www.munzee.com/m/paulus2012/8967/</v>
      </c>
    </row>
    <row r="119" hidden="1" outlineLevel="1">
      <c r="A119" s="76" t="s">
        <v>340</v>
      </c>
      <c r="B119" s="77">
        <v>15.0</v>
      </c>
      <c r="C119" s="77">
        <v>14.0</v>
      </c>
      <c r="D119" s="64">
        <v>52.120429</v>
      </c>
      <c r="E119" s="64">
        <v>5.383755</v>
      </c>
      <c r="F119" s="78" t="s">
        <v>57</v>
      </c>
      <c r="G119" s="78" t="s">
        <v>58</v>
      </c>
      <c r="H119" s="66" t="str">
        <f t="shared" ref="H119:H121" si="17">IF(ISTEXT(X119),X119,"")</f>
        <v>AmezorC</v>
      </c>
      <c r="I119" s="79" t="s">
        <v>341</v>
      </c>
      <c r="J119" s="80"/>
      <c r="K119" s="78" t="b">
        <v>1</v>
      </c>
      <c r="L119" s="66" t="str">
        <f t="shared" si="2"/>
        <v/>
      </c>
      <c r="M119" s="81" t="str">
        <f>IFERROR(__xludf.DUMMYFUNCTION("IF(W119=1,IFERROR(IMPORTXML(I119, ""//p[@class='status-date']""), ""Not deployed""),"""")"),"")</f>
        <v/>
      </c>
      <c r="N119" s="82"/>
      <c r="O119" s="66"/>
      <c r="P119" s="66"/>
      <c r="Q119" s="66"/>
      <c r="R119" s="83" t="str">
        <f t="shared" si="3"/>
        <v/>
      </c>
      <c r="S119" s="84" t="str">
        <f t="shared" si="4"/>
        <v/>
      </c>
      <c r="T119" s="85"/>
      <c r="U119" s="82">
        <f t="shared" si="5"/>
        <v>0</v>
      </c>
      <c r="V119" s="66">
        <f t="shared" si="6"/>
        <v>0</v>
      </c>
      <c r="W119" s="81">
        <f t="shared" si="7"/>
        <v>0</v>
      </c>
      <c r="X119" s="82" t="str">
        <f t="shared" si="8"/>
        <v>AmezorC</v>
      </c>
      <c r="Y119" s="86" t="str">
        <f t="shared" si="9"/>
        <v>https://www.munzee.com/m/AmezorC/13878/</v>
      </c>
    </row>
    <row r="120" hidden="1" outlineLevel="1">
      <c r="A120" s="76" t="s">
        <v>342</v>
      </c>
      <c r="B120" s="77">
        <v>15.0</v>
      </c>
      <c r="C120" s="77">
        <v>15.0</v>
      </c>
      <c r="D120" s="64">
        <v>52.120429</v>
      </c>
      <c r="E120" s="64">
        <v>5.383989</v>
      </c>
      <c r="F120" s="78" t="s">
        <v>125</v>
      </c>
      <c r="G120" s="78" t="s">
        <v>126</v>
      </c>
      <c r="H120" s="66" t="str">
        <f t="shared" si="17"/>
        <v>Wawie</v>
      </c>
      <c r="I120" s="79" t="s">
        <v>343</v>
      </c>
      <c r="J120" s="80"/>
      <c r="K120" s="78" t="b">
        <v>1</v>
      </c>
      <c r="L120" s="66" t="str">
        <f t="shared" si="2"/>
        <v/>
      </c>
      <c r="M120" s="81" t="str">
        <f>IFERROR(__xludf.DUMMYFUNCTION("IF(W120=1,IFERROR(IMPORTXML(I120, ""//p[@class='status-date']""), ""Not deployed""),"""")"),"")</f>
        <v/>
      </c>
      <c r="N120" s="82"/>
      <c r="O120" s="66"/>
      <c r="P120" s="66"/>
      <c r="Q120" s="66"/>
      <c r="R120" s="83" t="str">
        <f t="shared" si="3"/>
        <v/>
      </c>
      <c r="S120" s="84" t="str">
        <f t="shared" si="4"/>
        <v/>
      </c>
      <c r="T120" s="85"/>
      <c r="U120" s="82">
        <f t="shared" si="5"/>
        <v>0</v>
      </c>
      <c r="V120" s="66">
        <f t="shared" si="6"/>
        <v>0</v>
      </c>
      <c r="W120" s="81">
        <f t="shared" si="7"/>
        <v>0</v>
      </c>
      <c r="X120" s="82" t="str">
        <f t="shared" si="8"/>
        <v>Wawie</v>
      </c>
      <c r="Y120" s="86" t="str">
        <f t="shared" si="9"/>
        <v>https://www.munzee.com/m/Wawie/947/</v>
      </c>
    </row>
    <row r="121" hidden="1" outlineLevel="1">
      <c r="A121" s="76" t="s">
        <v>344</v>
      </c>
      <c r="B121" s="77">
        <v>16.0</v>
      </c>
      <c r="C121" s="77">
        <v>12.0</v>
      </c>
      <c r="D121" s="64">
        <v>52.120285</v>
      </c>
      <c r="E121" s="64">
        <v>5.383286</v>
      </c>
      <c r="F121" s="78" t="s">
        <v>51</v>
      </c>
      <c r="G121" s="78" t="s">
        <v>52</v>
      </c>
      <c r="H121" s="66" t="str">
        <f t="shared" si="17"/>
        <v>230Volt</v>
      </c>
      <c r="I121" s="79" t="s">
        <v>345</v>
      </c>
      <c r="J121" s="80"/>
      <c r="K121" s="78" t="b">
        <v>1</v>
      </c>
      <c r="L121" s="66" t="str">
        <f t="shared" si="2"/>
        <v/>
      </c>
      <c r="M121" s="81" t="str">
        <f>IFERROR(__xludf.DUMMYFUNCTION("IF(W121=1,IFERROR(IMPORTXML(I121, ""//p[@class='status-date']""), ""Not deployed""),"""")"),"")</f>
        <v/>
      </c>
      <c r="N121" s="82"/>
      <c r="O121" s="66"/>
      <c r="P121" s="66"/>
      <c r="Q121" s="66"/>
      <c r="R121" s="83" t="str">
        <f t="shared" si="3"/>
        <v/>
      </c>
      <c r="S121" s="84" t="str">
        <f t="shared" si="4"/>
        <v/>
      </c>
      <c r="T121" s="85"/>
      <c r="U121" s="82">
        <f t="shared" si="5"/>
        <v>0</v>
      </c>
      <c r="V121" s="66">
        <f t="shared" si="6"/>
        <v>0</v>
      </c>
      <c r="W121" s="81">
        <f t="shared" si="7"/>
        <v>0</v>
      </c>
      <c r="X121" s="82" t="str">
        <f t="shared" si="8"/>
        <v>230Volt</v>
      </c>
      <c r="Y121" s="86" t="str">
        <f t="shared" si="9"/>
        <v>https://www.munzee.com/m/230Volt/1357/</v>
      </c>
    </row>
    <row r="122" hidden="1" outlineLevel="1">
      <c r="A122" s="76" t="s">
        <v>346</v>
      </c>
      <c r="B122" s="77">
        <v>16.0</v>
      </c>
      <c r="C122" s="77">
        <v>13.0</v>
      </c>
      <c r="D122" s="64">
        <v>52.120285</v>
      </c>
      <c r="E122" s="64">
        <v>5.38352</v>
      </c>
      <c r="F122" s="78" t="s">
        <v>78</v>
      </c>
      <c r="G122" s="78" t="s">
        <v>79</v>
      </c>
      <c r="H122" s="78" t="s">
        <v>347</v>
      </c>
      <c r="I122" s="79" t="s">
        <v>348</v>
      </c>
      <c r="J122" s="80"/>
      <c r="K122" s="78" t="b">
        <v>1</v>
      </c>
      <c r="L122" s="66" t="str">
        <f t="shared" si="2"/>
        <v/>
      </c>
      <c r="M122" s="81" t="str">
        <f>IFERROR(__xludf.DUMMYFUNCTION("IF(W122=1,IFERROR(IMPORTXML(I122, ""//p[@class='status-date']""), ""Not deployed""),"""")"),"")</f>
        <v/>
      </c>
      <c r="N122" s="82"/>
      <c r="O122" s="66"/>
      <c r="P122" s="66"/>
      <c r="Q122" s="66"/>
      <c r="R122" s="83" t="str">
        <f t="shared" si="3"/>
        <v/>
      </c>
      <c r="S122" s="84" t="str">
        <f t="shared" si="4"/>
        <v/>
      </c>
      <c r="T122" s="85"/>
      <c r="U122" s="82">
        <f t="shared" si="5"/>
        <v>0</v>
      </c>
      <c r="V122" s="66">
        <f t="shared" si="6"/>
        <v>0</v>
      </c>
      <c r="W122" s="81">
        <f t="shared" si="7"/>
        <v>0</v>
      </c>
      <c r="X122" s="82" t="str">
        <f t="shared" si="8"/>
        <v>heathcote07</v>
      </c>
      <c r="Y122" s="86" t="str">
        <f t="shared" si="9"/>
        <v>https://www.munzee.com/m/heathcote07/7123/</v>
      </c>
    </row>
    <row r="123" hidden="1" outlineLevel="1">
      <c r="A123" s="76" t="s">
        <v>349</v>
      </c>
      <c r="B123" s="77">
        <v>16.0</v>
      </c>
      <c r="C123" s="77">
        <v>14.0</v>
      </c>
      <c r="D123" s="64">
        <v>52.120285</v>
      </c>
      <c r="E123" s="64">
        <v>5.383754</v>
      </c>
      <c r="F123" s="78" t="s">
        <v>78</v>
      </c>
      <c r="G123" s="78" t="s">
        <v>79</v>
      </c>
      <c r="H123" s="78" t="s">
        <v>350</v>
      </c>
      <c r="I123" s="79" t="s">
        <v>351</v>
      </c>
      <c r="J123" s="80"/>
      <c r="K123" s="78" t="b">
        <v>1</v>
      </c>
      <c r="L123" s="66" t="str">
        <f t="shared" si="2"/>
        <v/>
      </c>
      <c r="M123" s="81" t="str">
        <f>IFERROR(__xludf.DUMMYFUNCTION("IF(W123=1,IFERROR(IMPORTXML(I123, ""//p[@class='status-date']""), ""Not deployed""),"""")"),"")</f>
        <v/>
      </c>
      <c r="N123" s="82"/>
      <c r="O123" s="66"/>
      <c r="P123" s="66"/>
      <c r="Q123" s="66"/>
      <c r="R123" s="83" t="str">
        <f t="shared" si="3"/>
        <v/>
      </c>
      <c r="S123" s="84" t="str">
        <f t="shared" si="4"/>
        <v/>
      </c>
      <c r="T123" s="85"/>
      <c r="U123" s="82">
        <f t="shared" si="5"/>
        <v>0</v>
      </c>
      <c r="V123" s="66">
        <f t="shared" si="6"/>
        <v>0</v>
      </c>
      <c r="W123" s="81">
        <f t="shared" si="7"/>
        <v>0</v>
      </c>
      <c r="X123" s="82" t="str">
        <f t="shared" si="8"/>
        <v>naturelover</v>
      </c>
      <c r="Y123" s="86" t="str">
        <f t="shared" si="9"/>
        <v>https://www.munzee.com/m/naturelover/10595/</v>
      </c>
    </row>
    <row r="124" hidden="1" outlineLevel="1">
      <c r="A124" s="76" t="s">
        <v>352</v>
      </c>
      <c r="B124" s="77">
        <v>16.0</v>
      </c>
      <c r="C124" s="77">
        <v>15.0</v>
      </c>
      <c r="D124" s="64">
        <v>52.120285</v>
      </c>
      <c r="E124" s="64">
        <v>5.383989</v>
      </c>
      <c r="F124" s="78" t="s">
        <v>100</v>
      </c>
      <c r="G124" s="78" t="s">
        <v>101</v>
      </c>
      <c r="H124" s="78" t="s">
        <v>323</v>
      </c>
      <c r="I124" s="79" t="s">
        <v>353</v>
      </c>
      <c r="J124" s="95"/>
      <c r="K124" s="78" t="b">
        <v>1</v>
      </c>
      <c r="L124" s="66" t="str">
        <f t="shared" si="2"/>
        <v/>
      </c>
      <c r="M124" s="81" t="str">
        <f>IFERROR(__xludf.DUMMYFUNCTION("IF(W124=1,IFERROR(IMPORTXML(I124, ""//p[@class='status-date']""), ""Not deployed""),"""")"),"")</f>
        <v/>
      </c>
      <c r="N124" s="82"/>
      <c r="O124" s="66"/>
      <c r="P124" s="66"/>
      <c r="Q124" s="66"/>
      <c r="R124" s="83" t="str">
        <f t="shared" si="3"/>
        <v/>
      </c>
      <c r="S124" s="84" t="str">
        <f t="shared" si="4"/>
        <v/>
      </c>
      <c r="T124" s="85"/>
      <c r="U124" s="82">
        <f t="shared" si="5"/>
        <v>0</v>
      </c>
      <c r="V124" s="66">
        <f t="shared" si="6"/>
        <v>0</v>
      </c>
      <c r="W124" s="81">
        <f t="shared" si="7"/>
        <v>0</v>
      </c>
      <c r="X124" s="82" t="str">
        <f t="shared" si="8"/>
        <v>theLuckyFinders</v>
      </c>
      <c r="Y124" s="86" t="str">
        <f t="shared" si="9"/>
        <v>https://www.munzee.com/m/theLuckyFinders/4688/</v>
      </c>
    </row>
    <row r="125" hidden="1" outlineLevel="1">
      <c r="A125" s="76" t="s">
        <v>354</v>
      </c>
      <c r="B125" s="77">
        <v>17.0</v>
      </c>
      <c r="C125" s="77">
        <v>11.0</v>
      </c>
      <c r="D125" s="64">
        <v>52.120142</v>
      </c>
      <c r="E125" s="64">
        <v>5.383052</v>
      </c>
      <c r="F125" s="78" t="s">
        <v>51</v>
      </c>
      <c r="G125" s="78" t="s">
        <v>52</v>
      </c>
      <c r="H125" s="78" t="s">
        <v>355</v>
      </c>
      <c r="I125" s="96" t="s">
        <v>356</v>
      </c>
      <c r="J125" s="80"/>
      <c r="K125" s="78" t="b">
        <v>1</v>
      </c>
      <c r="L125" s="66" t="str">
        <f t="shared" si="2"/>
        <v/>
      </c>
      <c r="M125" s="81" t="str">
        <f>IFERROR(__xludf.DUMMYFUNCTION("IF(W125=1,IFERROR(IMPORTXML(I125, ""//p[@class='status-date']""), ""Not deployed""),"""")"),"")</f>
        <v/>
      </c>
      <c r="N125" s="82"/>
      <c r="O125" s="66"/>
      <c r="P125" s="66"/>
      <c r="Q125" s="66"/>
      <c r="R125" s="83" t="str">
        <f t="shared" si="3"/>
        <v/>
      </c>
      <c r="S125" s="84" t="str">
        <f t="shared" si="4"/>
        <v/>
      </c>
      <c r="T125" s="85"/>
      <c r="U125" s="82">
        <f t="shared" si="5"/>
        <v>0</v>
      </c>
      <c r="V125" s="66">
        <f t="shared" si="6"/>
        <v>0</v>
      </c>
      <c r="W125" s="81">
        <f t="shared" si="7"/>
        <v>0</v>
      </c>
      <c r="X125" s="82" t="str">
        <f t="shared" si="8"/>
        <v>hems79</v>
      </c>
      <c r="Y125" s="86" t="str">
        <f t="shared" si="9"/>
        <v>https://www.munzee.com/m/hems79/10588/</v>
      </c>
    </row>
    <row r="126" hidden="1" outlineLevel="1">
      <c r="A126" s="76" t="s">
        <v>357</v>
      </c>
      <c r="B126" s="77">
        <v>17.0</v>
      </c>
      <c r="C126" s="77">
        <v>12.0</v>
      </c>
      <c r="D126" s="64">
        <v>52.120142</v>
      </c>
      <c r="E126" s="64">
        <v>5.383286</v>
      </c>
      <c r="F126" s="78" t="s">
        <v>78</v>
      </c>
      <c r="G126" s="78" t="s">
        <v>79</v>
      </c>
      <c r="H126" s="66" t="str">
        <f>IF(X126=" ",X126,'Flamingo @ DenTreek'!H124)</f>
        <v>Marcelkooyman</v>
      </c>
      <c r="I126" s="79" t="str">
        <f>'Flamingo @ DenTreek'!I124</f>
        <v>https://www.munzee.com/m/Marcelkooyman/55/</v>
      </c>
      <c r="J126" s="80"/>
      <c r="K126" s="78" t="b">
        <v>1</v>
      </c>
      <c r="L126" s="66" t="str">
        <f t="shared" si="2"/>
        <v/>
      </c>
      <c r="M126" s="81" t="str">
        <f>IFERROR(__xludf.DUMMYFUNCTION("IF(W126=1,IFERROR(IMPORTXML(I126, ""//p[@class='status-date']""), ""Not deployed""),"""")"),"")</f>
        <v/>
      </c>
      <c r="N126" s="82"/>
      <c r="O126" s="66"/>
      <c r="P126" s="66"/>
      <c r="Q126" s="66"/>
      <c r="R126" s="83" t="str">
        <f t="shared" si="3"/>
        <v/>
      </c>
      <c r="S126" s="84" t="str">
        <f t="shared" si="4"/>
        <v/>
      </c>
      <c r="T126" s="85"/>
      <c r="U126" s="82">
        <f t="shared" si="5"/>
        <v>0</v>
      </c>
      <c r="V126" s="66">
        <f t="shared" si="6"/>
        <v>0</v>
      </c>
      <c r="W126" s="81">
        <f t="shared" si="7"/>
        <v>0</v>
      </c>
      <c r="X126" s="82" t="str">
        <f t="shared" si="8"/>
        <v>Marcelkooyman</v>
      </c>
      <c r="Y126" s="86" t="str">
        <f t="shared" si="9"/>
        <v>https://www.munzee.com/m/Marcelkooyman/55/</v>
      </c>
    </row>
    <row r="127" hidden="1" outlineLevel="1">
      <c r="A127" s="76" t="s">
        <v>358</v>
      </c>
      <c r="B127" s="77">
        <v>17.0</v>
      </c>
      <c r="C127" s="77">
        <v>13.0</v>
      </c>
      <c r="D127" s="64">
        <v>52.120142</v>
      </c>
      <c r="E127" s="64">
        <v>5.38352</v>
      </c>
      <c r="F127" s="78" t="s">
        <v>78</v>
      </c>
      <c r="G127" s="78" t="s">
        <v>79</v>
      </c>
      <c r="H127" s="66" t="str">
        <f t="shared" ref="H127:H131" si="18">IF(ISTEXT(X127),X127,"")</f>
        <v>keromar</v>
      </c>
      <c r="I127" s="79" t="s">
        <v>359</v>
      </c>
      <c r="J127" s="80"/>
      <c r="K127" s="78" t="b">
        <v>1</v>
      </c>
      <c r="L127" s="66" t="str">
        <f t="shared" si="2"/>
        <v/>
      </c>
      <c r="M127" s="81" t="str">
        <f>IFERROR(__xludf.DUMMYFUNCTION("IF(W127=1,IFERROR(IMPORTXML(I127, ""//p[@class='status-date']""), ""Not deployed""),"""")"),"")</f>
        <v/>
      </c>
      <c r="N127" s="82"/>
      <c r="O127" s="66"/>
      <c r="P127" s="66"/>
      <c r="Q127" s="66"/>
      <c r="R127" s="83" t="str">
        <f t="shared" si="3"/>
        <v/>
      </c>
      <c r="S127" s="84" t="str">
        <f t="shared" si="4"/>
        <v/>
      </c>
      <c r="T127" s="85"/>
      <c r="U127" s="82">
        <f t="shared" si="5"/>
        <v>0</v>
      </c>
      <c r="V127" s="66">
        <f t="shared" si="6"/>
        <v>0</v>
      </c>
      <c r="W127" s="81">
        <f t="shared" si="7"/>
        <v>0</v>
      </c>
      <c r="X127" s="82" t="str">
        <f t="shared" si="8"/>
        <v>keromar</v>
      </c>
      <c r="Y127" s="86" t="str">
        <f t="shared" si="9"/>
        <v>https://www.munzee.com/m/keromar/8584/</v>
      </c>
    </row>
    <row r="128" hidden="1" outlineLevel="1">
      <c r="A128" s="76" t="s">
        <v>360</v>
      </c>
      <c r="B128" s="77">
        <v>17.0</v>
      </c>
      <c r="C128" s="77">
        <v>14.0</v>
      </c>
      <c r="D128" s="64">
        <v>52.120142</v>
      </c>
      <c r="E128" s="64">
        <v>5.383754</v>
      </c>
      <c r="F128" s="78" t="s">
        <v>51</v>
      </c>
      <c r="G128" s="78" t="s">
        <v>52</v>
      </c>
      <c r="H128" s="66" t="str">
        <f t="shared" si="18"/>
        <v>jm</v>
      </c>
      <c r="I128" s="79" t="s">
        <v>361</v>
      </c>
      <c r="J128" s="80"/>
      <c r="K128" s="78" t="b">
        <v>1</v>
      </c>
      <c r="L128" s="66" t="str">
        <f t="shared" si="2"/>
        <v/>
      </c>
      <c r="M128" s="81" t="str">
        <f>IFERROR(__xludf.DUMMYFUNCTION("IF(W128=1,IFERROR(IMPORTXML(I128, ""//p[@class='status-date']""), ""Not deployed""),"""")"),"")</f>
        <v/>
      </c>
      <c r="N128" s="82"/>
      <c r="O128" s="66"/>
      <c r="P128" s="66"/>
      <c r="Q128" s="66"/>
      <c r="R128" s="83" t="str">
        <f t="shared" si="3"/>
        <v/>
      </c>
      <c r="S128" s="84" t="str">
        <f t="shared" si="4"/>
        <v/>
      </c>
      <c r="T128" s="85"/>
      <c r="U128" s="82">
        <f t="shared" si="5"/>
        <v>0</v>
      </c>
      <c r="V128" s="66">
        <f t="shared" si="6"/>
        <v>0</v>
      </c>
      <c r="W128" s="81">
        <f t="shared" si="7"/>
        <v>0</v>
      </c>
      <c r="X128" s="82" t="str">
        <f t="shared" si="8"/>
        <v>jm</v>
      </c>
      <c r="Y128" s="86" t="str">
        <f t="shared" si="9"/>
        <v>https://www.munzee.com/m/jm/3070/</v>
      </c>
    </row>
    <row r="129" hidden="1" outlineLevel="1">
      <c r="A129" s="76" t="s">
        <v>362</v>
      </c>
      <c r="B129" s="77">
        <v>18.0</v>
      </c>
      <c r="C129" s="77">
        <v>10.0</v>
      </c>
      <c r="D129" s="64">
        <v>52.119998</v>
      </c>
      <c r="E129" s="64">
        <v>5.382818</v>
      </c>
      <c r="F129" s="78" t="s">
        <v>51</v>
      </c>
      <c r="G129" s="78" t="s">
        <v>52</v>
      </c>
      <c r="H129" s="66" t="str">
        <f t="shared" si="18"/>
        <v>AmezorC</v>
      </c>
      <c r="I129" s="79" t="s">
        <v>363</v>
      </c>
      <c r="J129" s="80"/>
      <c r="K129" s="78" t="b">
        <v>1</v>
      </c>
      <c r="L129" s="66" t="str">
        <f t="shared" si="2"/>
        <v/>
      </c>
      <c r="M129" s="81" t="str">
        <f>IFERROR(__xludf.DUMMYFUNCTION("IF(W129=1,IFERROR(IMPORTXML(I129, ""//p[@class='status-date']""), ""Not deployed""),"""")"),"")</f>
        <v/>
      </c>
      <c r="N129" s="82"/>
      <c r="O129" s="66"/>
      <c r="P129" s="66"/>
      <c r="Q129" s="66"/>
      <c r="R129" s="83" t="str">
        <f t="shared" si="3"/>
        <v/>
      </c>
      <c r="S129" s="84" t="str">
        <f t="shared" si="4"/>
        <v/>
      </c>
      <c r="T129" s="85"/>
      <c r="U129" s="82">
        <f t="shared" si="5"/>
        <v>0</v>
      </c>
      <c r="V129" s="66">
        <f t="shared" si="6"/>
        <v>0</v>
      </c>
      <c r="W129" s="81">
        <f t="shared" si="7"/>
        <v>0</v>
      </c>
      <c r="X129" s="82" t="str">
        <f t="shared" si="8"/>
        <v>AmezorC</v>
      </c>
      <c r="Y129" s="86" t="str">
        <f t="shared" si="9"/>
        <v>https://www.munzee.com/m/AmezorC/13774/</v>
      </c>
    </row>
    <row r="130" hidden="1" outlineLevel="1">
      <c r="A130" s="76" t="s">
        <v>364</v>
      </c>
      <c r="B130" s="77">
        <v>18.0</v>
      </c>
      <c r="C130" s="77">
        <v>11.0</v>
      </c>
      <c r="D130" s="64">
        <v>52.119998</v>
      </c>
      <c r="E130" s="64">
        <v>5.383052</v>
      </c>
      <c r="F130" s="78" t="s">
        <v>78</v>
      </c>
      <c r="G130" s="78" t="s">
        <v>79</v>
      </c>
      <c r="H130" s="66" t="str">
        <f t="shared" si="18"/>
        <v>jm</v>
      </c>
      <c r="I130" s="79" t="s">
        <v>365</v>
      </c>
      <c r="J130" s="80"/>
      <c r="K130" s="78" t="b">
        <v>1</v>
      </c>
      <c r="L130" s="66" t="str">
        <f t="shared" si="2"/>
        <v/>
      </c>
      <c r="M130" s="81" t="str">
        <f>IFERROR(__xludf.DUMMYFUNCTION("IF(W130=1,IFERROR(IMPORTXML(I130, ""//p[@class='status-date']""), ""Not deployed""),"""")"),"")</f>
        <v/>
      </c>
      <c r="N130" s="82"/>
      <c r="O130" s="66"/>
      <c r="P130" s="66"/>
      <c r="Q130" s="66"/>
      <c r="R130" s="83" t="str">
        <f t="shared" si="3"/>
        <v/>
      </c>
      <c r="S130" s="84" t="str">
        <f t="shared" si="4"/>
        <v/>
      </c>
      <c r="T130" s="85"/>
      <c r="U130" s="82">
        <f t="shared" si="5"/>
        <v>0</v>
      </c>
      <c r="V130" s="66">
        <f t="shared" si="6"/>
        <v>0</v>
      </c>
      <c r="W130" s="81">
        <f t="shared" si="7"/>
        <v>0</v>
      </c>
      <c r="X130" s="82" t="str">
        <f t="shared" si="8"/>
        <v>jm</v>
      </c>
      <c r="Y130" s="86" t="str">
        <f t="shared" si="9"/>
        <v>https://www.munzee.com/m/jm/3071/</v>
      </c>
    </row>
    <row r="131" hidden="1" outlineLevel="1">
      <c r="A131" s="76" t="s">
        <v>366</v>
      </c>
      <c r="B131" s="77">
        <v>18.0</v>
      </c>
      <c r="C131" s="77">
        <v>12.0</v>
      </c>
      <c r="D131" s="64">
        <v>52.119998</v>
      </c>
      <c r="E131" s="64">
        <v>5.383286</v>
      </c>
      <c r="F131" s="78" t="s">
        <v>78</v>
      </c>
      <c r="G131" s="78" t="s">
        <v>79</v>
      </c>
      <c r="H131" s="66" t="str">
        <f t="shared" si="18"/>
        <v>Wawie</v>
      </c>
      <c r="I131" s="79" t="s">
        <v>367</v>
      </c>
      <c r="J131" s="80"/>
      <c r="K131" s="78" t="b">
        <v>1</v>
      </c>
      <c r="L131" s="66" t="str">
        <f t="shared" si="2"/>
        <v/>
      </c>
      <c r="M131" s="81" t="str">
        <f>IFERROR(__xludf.DUMMYFUNCTION("IF(W131=1,IFERROR(IMPORTXML(I131, ""//p[@class='status-date']""), ""Not deployed""),"""")"),"")</f>
        <v/>
      </c>
      <c r="N131" s="82"/>
      <c r="O131" s="66"/>
      <c r="P131" s="66"/>
      <c r="Q131" s="66"/>
      <c r="R131" s="83" t="str">
        <f t="shared" si="3"/>
        <v/>
      </c>
      <c r="S131" s="84" t="str">
        <f t="shared" si="4"/>
        <v/>
      </c>
      <c r="T131" s="85"/>
      <c r="U131" s="82">
        <f t="shared" si="5"/>
        <v>0</v>
      </c>
      <c r="V131" s="66">
        <f t="shared" si="6"/>
        <v>0</v>
      </c>
      <c r="W131" s="81">
        <f t="shared" si="7"/>
        <v>0</v>
      </c>
      <c r="X131" s="82" t="str">
        <f t="shared" si="8"/>
        <v>Wawie</v>
      </c>
      <c r="Y131" s="86" t="str">
        <f t="shared" si="9"/>
        <v>https://www.munzee.com/m/Wawie/802/</v>
      </c>
    </row>
    <row r="132" hidden="1" outlineLevel="1">
      <c r="A132" s="76" t="s">
        <v>368</v>
      </c>
      <c r="B132" s="77">
        <v>18.0</v>
      </c>
      <c r="C132" s="77">
        <v>13.0</v>
      </c>
      <c r="D132" s="64">
        <v>52.119998</v>
      </c>
      <c r="E132" s="64">
        <v>5.38352</v>
      </c>
      <c r="F132" s="78" t="s">
        <v>125</v>
      </c>
      <c r="G132" s="78" t="s">
        <v>126</v>
      </c>
      <c r="H132" s="78" t="s">
        <v>86</v>
      </c>
      <c r="I132" s="79" t="s">
        <v>369</v>
      </c>
      <c r="J132" s="80"/>
      <c r="K132" s="78" t="b">
        <v>1</v>
      </c>
      <c r="L132" s="66" t="str">
        <f t="shared" si="2"/>
        <v/>
      </c>
      <c r="M132" s="81" t="str">
        <f>IFERROR(__xludf.DUMMYFUNCTION("IF(W132=1,IFERROR(IMPORTXML(I132, ""//p[@class='status-date']""), ""Not deployed""),"""")"),"")</f>
        <v/>
      </c>
      <c r="N132" s="82"/>
      <c r="O132" s="66"/>
      <c r="P132" s="66"/>
      <c r="Q132" s="66"/>
      <c r="R132" s="83" t="str">
        <f t="shared" si="3"/>
        <v/>
      </c>
      <c r="S132" s="84" t="str">
        <f t="shared" si="4"/>
        <v/>
      </c>
      <c r="T132" s="85"/>
      <c r="U132" s="82">
        <f t="shared" si="5"/>
        <v>0</v>
      </c>
      <c r="V132" s="66">
        <f t="shared" si="6"/>
        <v>0</v>
      </c>
      <c r="W132" s="81">
        <f t="shared" si="7"/>
        <v>0</v>
      </c>
      <c r="X132" s="82" t="str">
        <f t="shared" si="8"/>
        <v>Alroso</v>
      </c>
      <c r="Y132" s="86" t="str">
        <f t="shared" si="9"/>
        <v>https://www.munzee.com/m/Alroso/3058/</v>
      </c>
    </row>
    <row r="133" hidden="1" outlineLevel="1">
      <c r="A133" s="76" t="s">
        <v>370</v>
      </c>
      <c r="B133" s="77">
        <v>19.0</v>
      </c>
      <c r="C133" s="77">
        <v>10.0</v>
      </c>
      <c r="D133" s="64">
        <v>52.119854</v>
      </c>
      <c r="E133" s="64">
        <v>5.382818</v>
      </c>
      <c r="F133" s="78" t="s">
        <v>78</v>
      </c>
      <c r="G133" s="78" t="s">
        <v>79</v>
      </c>
      <c r="H133" s="66" t="str">
        <f>IF(ISTEXT(X133),X133,"")</f>
        <v>230Volt</v>
      </c>
      <c r="I133" s="79" t="s">
        <v>371</v>
      </c>
      <c r="J133" s="80"/>
      <c r="K133" s="78" t="b">
        <v>1</v>
      </c>
      <c r="L133" s="66" t="str">
        <f t="shared" si="2"/>
        <v/>
      </c>
      <c r="M133" s="81" t="str">
        <f>IFERROR(__xludf.DUMMYFUNCTION("IF(W133=1,IFERROR(IMPORTXML(I133, ""//p[@class='status-date']""), ""Not deployed""),"""")"),"")</f>
        <v/>
      </c>
      <c r="N133" s="82"/>
      <c r="O133" s="66"/>
      <c r="P133" s="66"/>
      <c r="Q133" s="66"/>
      <c r="R133" s="83" t="str">
        <f t="shared" si="3"/>
        <v/>
      </c>
      <c r="S133" s="84" t="str">
        <f t="shared" si="4"/>
        <v/>
      </c>
      <c r="T133" s="85"/>
      <c r="U133" s="82">
        <f t="shared" si="5"/>
        <v>0</v>
      </c>
      <c r="V133" s="66">
        <f t="shared" si="6"/>
        <v>0</v>
      </c>
      <c r="W133" s="81">
        <f t="shared" si="7"/>
        <v>0</v>
      </c>
      <c r="X133" s="82" t="str">
        <f t="shared" si="8"/>
        <v>230Volt</v>
      </c>
      <c r="Y133" s="86" t="str">
        <f t="shared" si="9"/>
        <v>https://www.munzee.com/m/230Volt/1358/</v>
      </c>
    </row>
    <row r="134" hidden="1" outlineLevel="1">
      <c r="A134" s="76" t="s">
        <v>372</v>
      </c>
      <c r="B134" s="77">
        <v>19.0</v>
      </c>
      <c r="C134" s="77">
        <v>11.0</v>
      </c>
      <c r="D134" s="64">
        <v>52.119854</v>
      </c>
      <c r="E134" s="64">
        <v>5.383052</v>
      </c>
      <c r="F134" s="78" t="s">
        <v>78</v>
      </c>
      <c r="G134" s="78" t="s">
        <v>79</v>
      </c>
      <c r="H134" s="78" t="s">
        <v>94</v>
      </c>
      <c r="I134" s="79" t="s">
        <v>373</v>
      </c>
      <c r="J134" s="80"/>
      <c r="K134" s="78" t="b">
        <v>1</v>
      </c>
      <c r="L134" s="66" t="str">
        <f t="shared" si="2"/>
        <v/>
      </c>
      <c r="M134" s="81" t="str">
        <f>IFERROR(__xludf.DUMMYFUNCTION("IF(W134=1,IFERROR(IMPORTXML(I134, ""//p[@class='status-date']""), ""Not deployed""),"""")"),"")</f>
        <v/>
      </c>
      <c r="N134" s="82"/>
      <c r="O134" s="66"/>
      <c r="P134" s="66"/>
      <c r="Q134" s="66"/>
      <c r="R134" s="83" t="str">
        <f t="shared" si="3"/>
        <v/>
      </c>
      <c r="S134" s="84" t="str">
        <f t="shared" si="4"/>
        <v/>
      </c>
      <c r="T134" s="85"/>
      <c r="U134" s="82">
        <f t="shared" si="5"/>
        <v>0</v>
      </c>
      <c r="V134" s="66">
        <f t="shared" si="6"/>
        <v>0</v>
      </c>
      <c r="W134" s="81">
        <f t="shared" si="7"/>
        <v>0</v>
      </c>
      <c r="X134" s="82" t="str">
        <f t="shared" si="8"/>
        <v>paulus2012</v>
      </c>
      <c r="Y134" s="86" t="str">
        <f t="shared" si="9"/>
        <v>https://www.munzee.com/m/paulus2012/8966/</v>
      </c>
    </row>
    <row r="135" hidden="1" outlineLevel="1">
      <c r="A135" s="76" t="s">
        <v>374</v>
      </c>
      <c r="B135" s="77">
        <v>19.0</v>
      </c>
      <c r="C135" s="77">
        <v>12.0</v>
      </c>
      <c r="D135" s="64">
        <v>52.119854</v>
      </c>
      <c r="E135" s="64">
        <v>5.383286</v>
      </c>
      <c r="F135" s="78" t="s">
        <v>125</v>
      </c>
      <c r="G135" s="78" t="s">
        <v>126</v>
      </c>
      <c r="H135" s="78" t="s">
        <v>326</v>
      </c>
      <c r="I135" s="79" t="s">
        <v>375</v>
      </c>
      <c r="J135" s="80"/>
      <c r="K135" s="78" t="b">
        <v>1</v>
      </c>
      <c r="L135" s="66" t="str">
        <f t="shared" si="2"/>
        <v/>
      </c>
      <c r="M135" s="81" t="str">
        <f>IFERROR(__xludf.DUMMYFUNCTION("IF(W135=1,IFERROR(IMPORTXML(I135, ""//p[@class='status-date']""), ""Not deployed""),"""")"),"")</f>
        <v/>
      </c>
      <c r="N135" s="82"/>
      <c r="O135" s="66"/>
      <c r="P135" s="66"/>
      <c r="Q135" s="66"/>
      <c r="R135" s="83" t="str">
        <f t="shared" si="3"/>
        <v/>
      </c>
      <c r="S135" s="84" t="str">
        <f t="shared" si="4"/>
        <v/>
      </c>
      <c r="T135" s="85"/>
      <c r="U135" s="82">
        <f t="shared" si="5"/>
        <v>0</v>
      </c>
      <c r="V135" s="66">
        <f t="shared" si="6"/>
        <v>0</v>
      </c>
      <c r="W135" s="81">
        <f t="shared" si="7"/>
        <v>0</v>
      </c>
      <c r="X135" s="82" t="str">
        <f t="shared" si="8"/>
        <v>Finnleo</v>
      </c>
      <c r="Y135" s="86" t="str">
        <f t="shared" si="9"/>
        <v>https://www.munzee.com/m/Finnleo/3003/</v>
      </c>
    </row>
    <row r="136" hidden="1" outlineLevel="1">
      <c r="A136" s="76" t="s">
        <v>376</v>
      </c>
      <c r="B136" s="77">
        <v>20.0</v>
      </c>
      <c r="C136" s="77">
        <v>9.0</v>
      </c>
      <c r="D136" s="64">
        <v>52.11971</v>
      </c>
      <c r="E136" s="64">
        <v>5.382584</v>
      </c>
      <c r="F136" s="78" t="s">
        <v>70</v>
      </c>
      <c r="G136" s="78" t="s">
        <v>71</v>
      </c>
      <c r="H136" s="78" t="s">
        <v>329</v>
      </c>
      <c r="I136" s="79" t="s">
        <v>377</v>
      </c>
      <c r="J136" s="80"/>
      <c r="K136" s="78" t="b">
        <v>1</v>
      </c>
      <c r="L136" s="66" t="str">
        <f t="shared" si="2"/>
        <v/>
      </c>
      <c r="M136" s="81" t="str">
        <f>IFERROR(__xludf.DUMMYFUNCTION("IF(W136=1,IFERROR(IMPORTXML(I136, ""//p[@class='status-date']""), ""Not deployed""),"""")"),"")</f>
        <v/>
      </c>
      <c r="N136" s="82"/>
      <c r="O136" s="66"/>
      <c r="P136" s="66"/>
      <c r="Q136" s="66"/>
      <c r="R136" s="83" t="str">
        <f t="shared" si="3"/>
        <v/>
      </c>
      <c r="S136" s="84" t="str">
        <f t="shared" si="4"/>
        <v/>
      </c>
      <c r="T136" s="85"/>
      <c r="U136" s="82">
        <f t="shared" si="5"/>
        <v>0</v>
      </c>
      <c r="V136" s="66">
        <f t="shared" si="6"/>
        <v>0</v>
      </c>
      <c r="W136" s="81">
        <f t="shared" si="7"/>
        <v>0</v>
      </c>
      <c r="X136" s="82" t="str">
        <f t="shared" si="8"/>
        <v>Trunte2002</v>
      </c>
      <c r="Y136" s="86" t="str">
        <f t="shared" si="9"/>
        <v>https://www.munzee.com/m/Trunte2002/3167/</v>
      </c>
    </row>
    <row r="137" hidden="1" outlineLevel="1">
      <c r="A137" s="76" t="s">
        <v>378</v>
      </c>
      <c r="B137" s="77">
        <v>20.0</v>
      </c>
      <c r="C137" s="77">
        <v>10.0</v>
      </c>
      <c r="D137" s="64">
        <v>52.11971</v>
      </c>
      <c r="E137" s="64">
        <v>5.382818</v>
      </c>
      <c r="F137" s="78" t="s">
        <v>78</v>
      </c>
      <c r="G137" s="78" t="s">
        <v>79</v>
      </c>
      <c r="H137" s="78" t="s">
        <v>332</v>
      </c>
      <c r="I137" s="79" t="s">
        <v>379</v>
      </c>
      <c r="J137" s="80"/>
      <c r="K137" s="78" t="b">
        <v>1</v>
      </c>
      <c r="L137" s="66" t="str">
        <f t="shared" si="2"/>
        <v/>
      </c>
      <c r="M137" s="81" t="str">
        <f>IFERROR(__xludf.DUMMYFUNCTION("IF(W137=1,IFERROR(IMPORTXML(I137, ""//p[@class='status-date']""), ""Not deployed""),"""")"),"")</f>
        <v/>
      </c>
      <c r="N137" s="82"/>
      <c r="O137" s="66"/>
      <c r="P137" s="66"/>
      <c r="Q137" s="66"/>
      <c r="R137" s="83" t="str">
        <f t="shared" si="3"/>
        <v/>
      </c>
      <c r="S137" s="84" t="str">
        <f t="shared" si="4"/>
        <v/>
      </c>
      <c r="T137" s="85"/>
      <c r="U137" s="82">
        <f t="shared" si="5"/>
        <v>0</v>
      </c>
      <c r="V137" s="66">
        <f t="shared" si="6"/>
        <v>0</v>
      </c>
      <c r="W137" s="81">
        <f t="shared" si="7"/>
        <v>0</v>
      </c>
      <c r="X137" s="82" t="str">
        <f t="shared" si="8"/>
        <v>Mariabettina</v>
      </c>
      <c r="Y137" s="86" t="str">
        <f t="shared" si="9"/>
        <v>https://www.munzee.com/m/Mariabettina/3286/</v>
      </c>
    </row>
    <row r="138" hidden="1" outlineLevel="1">
      <c r="A138" s="76" t="s">
        <v>380</v>
      </c>
      <c r="B138" s="77">
        <v>20.0</v>
      </c>
      <c r="C138" s="77">
        <v>11.0</v>
      </c>
      <c r="D138" s="64">
        <v>52.11971</v>
      </c>
      <c r="E138" s="64">
        <v>5.383052</v>
      </c>
      <c r="F138" s="78" t="s">
        <v>125</v>
      </c>
      <c r="G138" s="78" t="s">
        <v>126</v>
      </c>
      <c r="H138" s="66" t="str">
        <f t="shared" ref="H138:H141" si="19">IF(ISTEXT(X138),X138,"")</f>
        <v>Rubin</v>
      </c>
      <c r="I138" s="79" t="s">
        <v>381</v>
      </c>
      <c r="J138" s="88"/>
      <c r="K138" s="78" t="b">
        <v>1</v>
      </c>
      <c r="L138" s="66" t="str">
        <f t="shared" si="2"/>
        <v/>
      </c>
      <c r="M138" s="81" t="str">
        <f>IFERROR(__xludf.DUMMYFUNCTION("IF(W138=1,IFERROR(IMPORTXML(I138, ""//p[@class='status-date']""), ""Not deployed""),"""")"),"")</f>
        <v/>
      </c>
      <c r="N138" s="82"/>
      <c r="O138" s="66"/>
      <c r="P138" s="66"/>
      <c r="Q138" s="66"/>
      <c r="R138" s="83" t="str">
        <f t="shared" si="3"/>
        <v/>
      </c>
      <c r="S138" s="84" t="str">
        <f t="shared" si="4"/>
        <v/>
      </c>
      <c r="T138" s="85"/>
      <c r="U138" s="82">
        <f t="shared" si="5"/>
        <v>0</v>
      </c>
      <c r="V138" s="66">
        <f t="shared" si="6"/>
        <v>0</v>
      </c>
      <c r="W138" s="81">
        <f t="shared" si="7"/>
        <v>0</v>
      </c>
      <c r="X138" s="82" t="str">
        <f t="shared" si="8"/>
        <v>Rubin</v>
      </c>
      <c r="Y138" s="86" t="str">
        <f t="shared" si="9"/>
        <v>https://www.munzee.com/m/Rubin/3508/</v>
      </c>
    </row>
    <row r="139" hidden="1" outlineLevel="1">
      <c r="A139" s="76" t="s">
        <v>382</v>
      </c>
      <c r="B139" s="77">
        <v>20.0</v>
      </c>
      <c r="C139" s="77">
        <v>12.0</v>
      </c>
      <c r="D139" s="64">
        <v>52.11971</v>
      </c>
      <c r="E139" s="64">
        <v>5.383286</v>
      </c>
      <c r="F139" s="78" t="s">
        <v>100</v>
      </c>
      <c r="G139" s="78" t="s">
        <v>101</v>
      </c>
      <c r="H139" s="66" t="str">
        <f t="shared" si="19"/>
        <v>Sikko</v>
      </c>
      <c r="I139" s="79" t="s">
        <v>383</v>
      </c>
      <c r="J139" s="80"/>
      <c r="K139" s="78" t="b">
        <v>1</v>
      </c>
      <c r="L139" s="66" t="str">
        <f t="shared" si="2"/>
        <v/>
      </c>
      <c r="M139" s="81" t="str">
        <f>IFERROR(__xludf.DUMMYFUNCTION("IF(W139=1,IFERROR(IMPORTXML(I139, ""//p[@class='status-date']""), ""Not deployed""),"""")"),"")</f>
        <v/>
      </c>
      <c r="N139" s="82"/>
      <c r="O139" s="66"/>
      <c r="P139" s="66"/>
      <c r="Q139" s="66"/>
      <c r="R139" s="83" t="str">
        <f t="shared" si="3"/>
        <v/>
      </c>
      <c r="S139" s="84" t="str">
        <f t="shared" si="4"/>
        <v/>
      </c>
      <c r="T139" s="85"/>
      <c r="U139" s="82">
        <f t="shared" si="5"/>
        <v>0</v>
      </c>
      <c r="V139" s="66">
        <f t="shared" si="6"/>
        <v>0</v>
      </c>
      <c r="W139" s="81">
        <f t="shared" si="7"/>
        <v>0</v>
      </c>
      <c r="X139" s="82" t="str">
        <f t="shared" si="8"/>
        <v>Sikko</v>
      </c>
      <c r="Y139" s="86" t="str">
        <f t="shared" si="9"/>
        <v>https://www.munzee.com/m/Sikko/5435/</v>
      </c>
    </row>
    <row r="140" hidden="1" outlineLevel="1">
      <c r="A140" s="76" t="s">
        <v>384</v>
      </c>
      <c r="B140" s="77">
        <v>21.0</v>
      </c>
      <c r="C140" s="77">
        <v>8.0</v>
      </c>
      <c r="D140" s="64">
        <v>52.119567</v>
      </c>
      <c r="E140" s="64">
        <v>5.38235</v>
      </c>
      <c r="F140" s="78" t="s">
        <v>70</v>
      </c>
      <c r="G140" s="78" t="s">
        <v>71</v>
      </c>
      <c r="H140" s="66" t="str">
        <f t="shared" si="19"/>
        <v>AmezorC</v>
      </c>
      <c r="I140" s="79" t="s">
        <v>385</v>
      </c>
      <c r="J140" s="80"/>
      <c r="K140" s="78" t="b">
        <v>1</v>
      </c>
      <c r="L140" s="66" t="str">
        <f t="shared" si="2"/>
        <v/>
      </c>
      <c r="M140" s="81" t="str">
        <f>IFERROR(__xludf.DUMMYFUNCTION("IF(W140=1,IFERROR(IMPORTXML(I140, ""//p[@class='status-date']""), ""Not deployed""),"""")"),"")</f>
        <v/>
      </c>
      <c r="N140" s="82"/>
      <c r="O140" s="66"/>
      <c r="P140" s="66"/>
      <c r="Q140" s="66"/>
      <c r="R140" s="83" t="str">
        <f t="shared" si="3"/>
        <v/>
      </c>
      <c r="S140" s="84" t="str">
        <f t="shared" si="4"/>
        <v/>
      </c>
      <c r="T140" s="85"/>
      <c r="U140" s="82">
        <f t="shared" si="5"/>
        <v>0</v>
      </c>
      <c r="V140" s="66">
        <f t="shared" si="6"/>
        <v>0</v>
      </c>
      <c r="W140" s="81">
        <f t="shared" si="7"/>
        <v>0</v>
      </c>
      <c r="X140" s="82" t="str">
        <f t="shared" si="8"/>
        <v>AmezorC</v>
      </c>
      <c r="Y140" s="86" t="str">
        <f t="shared" si="9"/>
        <v>https://www.munzee.com/m/AmezorC/13671/</v>
      </c>
    </row>
    <row r="141" hidden="1" outlineLevel="1">
      <c r="A141" s="76" t="s">
        <v>386</v>
      </c>
      <c r="B141" s="77">
        <v>21.0</v>
      </c>
      <c r="C141" s="77">
        <v>9.0</v>
      </c>
      <c r="D141" s="64">
        <v>52.119567</v>
      </c>
      <c r="E141" s="64">
        <v>5.382584</v>
      </c>
      <c r="F141" s="78" t="s">
        <v>78</v>
      </c>
      <c r="G141" s="78" t="s">
        <v>79</v>
      </c>
      <c r="H141" s="66" t="str">
        <f t="shared" si="19"/>
        <v>Sikko</v>
      </c>
      <c r="I141" s="79" t="s">
        <v>387</v>
      </c>
      <c r="J141" s="80"/>
      <c r="K141" s="78" t="b">
        <v>1</v>
      </c>
      <c r="L141" s="66" t="str">
        <f t="shared" si="2"/>
        <v/>
      </c>
      <c r="M141" s="81" t="str">
        <f>IFERROR(__xludf.DUMMYFUNCTION("IF(W141=1,IFERROR(IMPORTXML(I141, ""//p[@class='status-date']""), ""Not deployed""),"""")"),"")</f>
        <v/>
      </c>
      <c r="N141" s="82"/>
      <c r="O141" s="66"/>
      <c r="P141" s="66"/>
      <c r="Q141" s="66"/>
      <c r="R141" s="83" t="str">
        <f t="shared" si="3"/>
        <v/>
      </c>
      <c r="S141" s="84" t="str">
        <f t="shared" si="4"/>
        <v/>
      </c>
      <c r="T141" s="85"/>
      <c r="U141" s="82">
        <f t="shared" si="5"/>
        <v>0</v>
      </c>
      <c r="V141" s="66">
        <f t="shared" si="6"/>
        <v>0</v>
      </c>
      <c r="W141" s="81">
        <f t="shared" si="7"/>
        <v>0</v>
      </c>
      <c r="X141" s="82" t="str">
        <f t="shared" si="8"/>
        <v>Sikko</v>
      </c>
      <c r="Y141" s="86" t="str">
        <f t="shared" si="9"/>
        <v>https://www.munzee.com/m/Sikko/5453/</v>
      </c>
    </row>
    <row r="142" hidden="1" outlineLevel="1">
      <c r="A142" s="76" t="s">
        <v>388</v>
      </c>
      <c r="B142" s="77">
        <v>21.0</v>
      </c>
      <c r="C142" s="77">
        <v>10.0</v>
      </c>
      <c r="D142" s="64">
        <v>52.119567</v>
      </c>
      <c r="E142" s="64">
        <v>5.382818</v>
      </c>
      <c r="F142" s="78" t="s">
        <v>125</v>
      </c>
      <c r="G142" s="78" t="s">
        <v>126</v>
      </c>
      <c r="H142" s="78" t="s">
        <v>237</v>
      </c>
      <c r="I142" s="79" t="s">
        <v>389</v>
      </c>
      <c r="J142" s="80"/>
      <c r="K142" s="78" t="b">
        <v>1</v>
      </c>
      <c r="L142" s="66" t="str">
        <f t="shared" si="2"/>
        <v/>
      </c>
      <c r="M142" s="81" t="str">
        <f>IFERROR(__xludf.DUMMYFUNCTION("IF(W142=1,IFERROR(IMPORTXML(I142, ""//p[@class='status-date']""), ""Not deployed""),"""")"),"")</f>
        <v/>
      </c>
      <c r="N142" s="82"/>
      <c r="O142" s="66"/>
      <c r="P142" s="66"/>
      <c r="Q142" s="66"/>
      <c r="R142" s="83" t="str">
        <f t="shared" si="3"/>
        <v/>
      </c>
      <c r="S142" s="84" t="str">
        <f t="shared" si="4"/>
        <v/>
      </c>
      <c r="T142" s="85"/>
      <c r="U142" s="82">
        <f t="shared" si="5"/>
        <v>0</v>
      </c>
      <c r="V142" s="66">
        <f t="shared" si="6"/>
        <v>0</v>
      </c>
      <c r="W142" s="81">
        <f t="shared" si="7"/>
        <v>0</v>
      </c>
      <c r="X142" s="82" t="str">
        <f t="shared" si="8"/>
        <v>Helefant</v>
      </c>
      <c r="Y142" s="86" t="str">
        <f t="shared" si="9"/>
        <v>https://www.munzee.com/m/Helefant/5559/</v>
      </c>
    </row>
    <row r="143" hidden="1" outlineLevel="1">
      <c r="A143" s="76" t="s">
        <v>390</v>
      </c>
      <c r="B143" s="77">
        <v>21.0</v>
      </c>
      <c r="C143" s="77">
        <v>11.0</v>
      </c>
      <c r="D143" s="64">
        <v>52.119567</v>
      </c>
      <c r="E143" s="64">
        <v>5.383052</v>
      </c>
      <c r="F143" s="78" t="s">
        <v>100</v>
      </c>
      <c r="G143" s="78" t="s">
        <v>101</v>
      </c>
      <c r="H143" s="78" t="s">
        <v>391</v>
      </c>
      <c r="I143" s="79" t="s">
        <v>392</v>
      </c>
      <c r="J143" s="80"/>
      <c r="K143" s="78" t="b">
        <v>1</v>
      </c>
      <c r="L143" s="66" t="str">
        <f t="shared" si="2"/>
        <v/>
      </c>
      <c r="M143" s="81" t="str">
        <f>IFERROR(__xludf.DUMMYFUNCTION("IF(W143=1,IFERROR(IMPORTXML(I143, ""//p[@class='status-date']""), ""Not deployed""),"""")"),"")</f>
        <v/>
      </c>
      <c r="N143" s="82"/>
      <c r="O143" s="66"/>
      <c r="P143" s="66"/>
      <c r="Q143" s="66"/>
      <c r="R143" s="83" t="str">
        <f t="shared" si="3"/>
        <v/>
      </c>
      <c r="S143" s="84" t="str">
        <f t="shared" si="4"/>
        <v/>
      </c>
      <c r="T143" s="85"/>
      <c r="U143" s="82">
        <f t="shared" si="5"/>
        <v>0</v>
      </c>
      <c r="V143" s="66">
        <f t="shared" si="6"/>
        <v>0</v>
      </c>
      <c r="W143" s="81">
        <f t="shared" si="7"/>
        <v>0</v>
      </c>
      <c r="X143" s="82" t="str">
        <f t="shared" si="8"/>
        <v>bazfum</v>
      </c>
      <c r="Y143" s="86" t="str">
        <f t="shared" si="9"/>
        <v>https://www.munzee.com/m/bazfum/18363/</v>
      </c>
    </row>
    <row r="144" hidden="1" outlineLevel="1">
      <c r="A144" s="76" t="s">
        <v>393</v>
      </c>
      <c r="B144" s="77">
        <v>21.0</v>
      </c>
      <c r="C144" s="77">
        <v>19.0</v>
      </c>
      <c r="D144" s="64">
        <v>52.119567</v>
      </c>
      <c r="E144" s="64">
        <v>5.384925</v>
      </c>
      <c r="F144" s="78" t="s">
        <v>394</v>
      </c>
      <c r="G144" s="78" t="s">
        <v>395</v>
      </c>
      <c r="H144" s="78" t="s">
        <v>86</v>
      </c>
      <c r="I144" s="79" t="s">
        <v>396</v>
      </c>
      <c r="J144" s="80"/>
      <c r="K144" s="78" t="b">
        <v>1</v>
      </c>
      <c r="L144" s="66" t="str">
        <f t="shared" si="2"/>
        <v/>
      </c>
      <c r="M144" s="81" t="str">
        <f>IFERROR(__xludf.DUMMYFUNCTION("IF(W144=1,IFERROR(IMPORTXML(I144, ""//p[@class='status-date']""), ""Not deployed""),"""")"),"")</f>
        <v/>
      </c>
      <c r="N144" s="82"/>
      <c r="O144" s="66"/>
      <c r="P144" s="66"/>
      <c r="Q144" s="66"/>
      <c r="R144" s="83" t="str">
        <f t="shared" si="3"/>
        <v/>
      </c>
      <c r="S144" s="84" t="str">
        <f t="shared" si="4"/>
        <v/>
      </c>
      <c r="T144" s="85"/>
      <c r="U144" s="82">
        <f t="shared" si="5"/>
        <v>0</v>
      </c>
      <c r="V144" s="66">
        <f t="shared" si="6"/>
        <v>0</v>
      </c>
      <c r="W144" s="81">
        <f t="shared" si="7"/>
        <v>0</v>
      </c>
      <c r="X144" s="82" t="str">
        <f t="shared" si="8"/>
        <v>Alroso</v>
      </c>
      <c r="Y144" s="86" t="str">
        <f t="shared" si="9"/>
        <v>https://www.munzee.com/m/Alroso/3057/</v>
      </c>
    </row>
    <row r="145" hidden="1" outlineLevel="1">
      <c r="A145" s="76" t="s">
        <v>397</v>
      </c>
      <c r="B145" s="77">
        <v>21.0</v>
      </c>
      <c r="C145" s="77">
        <v>20.0</v>
      </c>
      <c r="D145" s="64">
        <v>52.119567</v>
      </c>
      <c r="E145" s="64">
        <v>5.385159</v>
      </c>
      <c r="F145" s="78" t="s">
        <v>57</v>
      </c>
      <c r="G145" s="78" t="s">
        <v>58</v>
      </c>
      <c r="H145" s="78" t="s">
        <v>398</v>
      </c>
      <c r="I145" s="79" t="s">
        <v>399</v>
      </c>
      <c r="J145" s="80"/>
      <c r="K145" s="78" t="b">
        <v>1</v>
      </c>
      <c r="L145" s="66" t="str">
        <f t="shared" si="2"/>
        <v/>
      </c>
      <c r="M145" s="81" t="str">
        <f>IFERROR(__xludf.DUMMYFUNCTION("IF(W145=1,IFERROR(IMPORTXML(I145, ""//p[@class='status-date']""), ""Not deployed""),"""")"),"")</f>
        <v/>
      </c>
      <c r="N145" s="82"/>
      <c r="O145" s="66"/>
      <c r="P145" s="66"/>
      <c r="Q145" s="66"/>
      <c r="R145" s="83" t="str">
        <f t="shared" si="3"/>
        <v/>
      </c>
      <c r="S145" s="84" t="str">
        <f t="shared" si="4"/>
        <v/>
      </c>
      <c r="T145" s="85"/>
      <c r="U145" s="82">
        <f t="shared" si="5"/>
        <v>0</v>
      </c>
      <c r="V145" s="66">
        <f t="shared" si="6"/>
        <v>0</v>
      </c>
      <c r="W145" s="81">
        <f t="shared" si="7"/>
        <v>0</v>
      </c>
      <c r="X145" s="82" t="str">
        <f t="shared" si="8"/>
        <v>ksullivan</v>
      </c>
      <c r="Y145" s="86" t="str">
        <f t="shared" si="9"/>
        <v>https://www.munzee.com/m/ksullivan/3164/</v>
      </c>
    </row>
    <row r="146" hidden="1" outlineLevel="1">
      <c r="A146" s="76" t="s">
        <v>400</v>
      </c>
      <c r="B146" s="77">
        <v>21.0</v>
      </c>
      <c r="C146" s="77">
        <v>21.0</v>
      </c>
      <c r="D146" s="64">
        <v>52.119567</v>
      </c>
      <c r="E146" s="64">
        <v>5.385393</v>
      </c>
      <c r="F146" s="78" t="s">
        <v>57</v>
      </c>
      <c r="G146" s="78" t="s">
        <v>58</v>
      </c>
      <c r="H146" s="78" t="s">
        <v>401</v>
      </c>
      <c r="I146" s="79" t="s">
        <v>402</v>
      </c>
      <c r="J146" s="80"/>
      <c r="K146" s="78" t="b">
        <v>1</v>
      </c>
      <c r="L146" s="66" t="str">
        <f t="shared" si="2"/>
        <v/>
      </c>
      <c r="M146" s="81" t="str">
        <f>IFERROR(__xludf.DUMMYFUNCTION("IF(W146=1,IFERROR(IMPORTXML(I146, ""//p[@class='status-date']""), ""Not deployed""),"""")"),"")</f>
        <v/>
      </c>
      <c r="N146" s="82"/>
      <c r="O146" s="66"/>
      <c r="P146" s="66"/>
      <c r="Q146" s="66"/>
      <c r="R146" s="83" t="str">
        <f t="shared" si="3"/>
        <v/>
      </c>
      <c r="S146" s="84" t="str">
        <f t="shared" si="4"/>
        <v/>
      </c>
      <c r="T146" s="85"/>
      <c r="U146" s="82">
        <f t="shared" si="5"/>
        <v>0</v>
      </c>
      <c r="V146" s="66">
        <f t="shared" si="6"/>
        <v>0</v>
      </c>
      <c r="W146" s="81">
        <f t="shared" si="7"/>
        <v>0</v>
      </c>
      <c r="X146" s="82" t="str">
        <f t="shared" si="8"/>
        <v>MsYB</v>
      </c>
      <c r="Y146" s="86" t="str">
        <f t="shared" si="9"/>
        <v>https://www.munzee.com/m/MsYB/22575/</v>
      </c>
    </row>
    <row r="147" hidden="1" outlineLevel="1">
      <c r="A147" s="76" t="s">
        <v>403</v>
      </c>
      <c r="B147" s="77">
        <v>21.0</v>
      </c>
      <c r="C147" s="77">
        <v>22.0</v>
      </c>
      <c r="D147" s="64">
        <v>52.119567</v>
      </c>
      <c r="E147" s="64">
        <v>5.385627</v>
      </c>
      <c r="F147" s="78" t="s">
        <v>394</v>
      </c>
      <c r="G147" s="78" t="s">
        <v>395</v>
      </c>
      <c r="H147" s="78" t="s">
        <v>94</v>
      </c>
      <c r="I147" s="79" t="s">
        <v>404</v>
      </c>
      <c r="J147" s="80"/>
      <c r="K147" s="78" t="b">
        <v>1</v>
      </c>
      <c r="L147" s="66" t="str">
        <f t="shared" si="2"/>
        <v/>
      </c>
      <c r="M147" s="81" t="str">
        <f>IFERROR(__xludf.DUMMYFUNCTION("IF(W147=1,IFERROR(IMPORTXML(I147, ""//p[@class='status-date']""), ""Not deployed""),"""")"),"")</f>
        <v/>
      </c>
      <c r="N147" s="82"/>
      <c r="O147" s="66"/>
      <c r="P147" s="66"/>
      <c r="Q147" s="66"/>
      <c r="R147" s="83" t="str">
        <f t="shared" si="3"/>
        <v/>
      </c>
      <c r="S147" s="84" t="str">
        <f t="shared" si="4"/>
        <v/>
      </c>
      <c r="T147" s="85"/>
      <c r="U147" s="82">
        <f t="shared" si="5"/>
        <v>0</v>
      </c>
      <c r="V147" s="66">
        <f t="shared" si="6"/>
        <v>0</v>
      </c>
      <c r="W147" s="81">
        <f t="shared" si="7"/>
        <v>0</v>
      </c>
      <c r="X147" s="82" t="str">
        <f t="shared" si="8"/>
        <v>paulus2012</v>
      </c>
      <c r="Y147" s="86" t="str">
        <f t="shared" si="9"/>
        <v>https://www.munzee.com/m/paulus2012/8964/</v>
      </c>
    </row>
    <row r="148" hidden="1" outlineLevel="1">
      <c r="A148" s="76" t="s">
        <v>405</v>
      </c>
      <c r="B148" s="77">
        <v>22.0</v>
      </c>
      <c r="C148" s="77">
        <v>7.0</v>
      </c>
      <c r="D148" s="64">
        <v>52.119423</v>
      </c>
      <c r="E148" s="64">
        <v>5.382116</v>
      </c>
      <c r="F148" s="78" t="s">
        <v>136</v>
      </c>
      <c r="G148" s="78" t="s">
        <v>137</v>
      </c>
      <c r="H148" s="78" t="str">
        <f>IF(X148=" ",X148,'Flamingo @ DenTreek'!H146)</f>
        <v>Trappertje</v>
      </c>
      <c r="I148" s="79" t="str">
        <f>'Flamingo @ DenTreek'!I146</f>
        <v>https://www.munzee.com/m/Trappertje/7049/</v>
      </c>
      <c r="J148" s="80"/>
      <c r="K148" s="78" t="b">
        <v>1</v>
      </c>
      <c r="L148" s="66" t="str">
        <f t="shared" si="2"/>
        <v/>
      </c>
      <c r="M148" s="81" t="str">
        <f>IFERROR(__xludf.DUMMYFUNCTION("IF(W148=1,IFERROR(IMPORTXML(I148, ""//p[@class='status-date']""), ""Not deployed""),"""")"),"")</f>
        <v/>
      </c>
      <c r="N148" s="82"/>
      <c r="O148" s="66"/>
      <c r="P148" s="66"/>
      <c r="Q148" s="66"/>
      <c r="R148" s="83" t="str">
        <f t="shared" si="3"/>
        <v/>
      </c>
      <c r="S148" s="84" t="str">
        <f t="shared" si="4"/>
        <v/>
      </c>
      <c r="T148" s="85"/>
      <c r="U148" s="82">
        <f t="shared" si="5"/>
        <v>0</v>
      </c>
      <c r="V148" s="66">
        <f t="shared" si="6"/>
        <v>0</v>
      </c>
      <c r="W148" s="81">
        <f t="shared" si="7"/>
        <v>0</v>
      </c>
      <c r="X148" s="82" t="str">
        <f t="shared" si="8"/>
        <v>Trappertje</v>
      </c>
      <c r="Y148" s="86" t="str">
        <f t="shared" si="9"/>
        <v>https://www.munzee.com/m/Trappertje/7049/</v>
      </c>
    </row>
    <row r="149" hidden="1" outlineLevel="1">
      <c r="A149" s="76" t="s">
        <v>406</v>
      </c>
      <c r="B149" s="77">
        <v>22.0</v>
      </c>
      <c r="C149" s="77">
        <v>8.0</v>
      </c>
      <c r="D149" s="64">
        <v>52.119423</v>
      </c>
      <c r="E149" s="64">
        <v>5.38235</v>
      </c>
      <c r="F149" s="78" t="s">
        <v>57</v>
      </c>
      <c r="G149" s="78" t="s">
        <v>58</v>
      </c>
      <c r="H149" s="66" t="str">
        <f t="shared" ref="H149:H150" si="20">IF(ISTEXT(X149),X149,"")</f>
        <v>keromar</v>
      </c>
      <c r="I149" s="79" t="s">
        <v>407</v>
      </c>
      <c r="J149" s="80"/>
      <c r="K149" s="78" t="b">
        <v>1</v>
      </c>
      <c r="L149" s="66" t="str">
        <f t="shared" si="2"/>
        <v/>
      </c>
      <c r="M149" s="81" t="str">
        <f>IFERROR(__xludf.DUMMYFUNCTION("IF(W149=1,IFERROR(IMPORTXML(I149, ""//p[@class='status-date']""), ""Not deployed""),"""")"),"")</f>
        <v/>
      </c>
      <c r="N149" s="82"/>
      <c r="O149" s="66"/>
      <c r="P149" s="66"/>
      <c r="Q149" s="66"/>
      <c r="R149" s="83" t="str">
        <f t="shared" si="3"/>
        <v/>
      </c>
      <c r="S149" s="84" t="str">
        <f t="shared" si="4"/>
        <v/>
      </c>
      <c r="T149" s="85"/>
      <c r="U149" s="82">
        <f t="shared" si="5"/>
        <v>0</v>
      </c>
      <c r="V149" s="66">
        <f t="shared" si="6"/>
        <v>0</v>
      </c>
      <c r="W149" s="81">
        <f t="shared" si="7"/>
        <v>0</v>
      </c>
      <c r="X149" s="82" t="str">
        <f t="shared" si="8"/>
        <v>keromar</v>
      </c>
      <c r="Y149" s="86" t="str">
        <f t="shared" si="9"/>
        <v>https://www.munzee.com/m/keromar/8589/</v>
      </c>
    </row>
    <row r="150" hidden="1" outlineLevel="1">
      <c r="A150" s="76" t="s">
        <v>408</v>
      </c>
      <c r="B150" s="77">
        <v>22.0</v>
      </c>
      <c r="C150" s="77">
        <v>9.0</v>
      </c>
      <c r="D150" s="64">
        <v>52.119423</v>
      </c>
      <c r="E150" s="64">
        <v>5.382584</v>
      </c>
      <c r="F150" s="78" t="s">
        <v>78</v>
      </c>
      <c r="G150" s="78" t="s">
        <v>79</v>
      </c>
      <c r="H150" s="66" t="str">
        <f t="shared" si="20"/>
        <v>230Volt</v>
      </c>
      <c r="I150" s="79" t="s">
        <v>409</v>
      </c>
      <c r="J150" s="80"/>
      <c r="K150" s="78" t="b">
        <v>1</v>
      </c>
      <c r="L150" s="66" t="str">
        <f t="shared" si="2"/>
        <v/>
      </c>
      <c r="M150" s="81" t="str">
        <f>IFERROR(__xludf.DUMMYFUNCTION("IF(W150=1,IFERROR(IMPORTXML(I150, ""//p[@class='status-date']""), ""Not deployed""),"""")"),"")</f>
        <v/>
      </c>
      <c r="N150" s="82"/>
      <c r="O150" s="66"/>
      <c r="P150" s="66"/>
      <c r="Q150" s="66"/>
      <c r="R150" s="83" t="str">
        <f t="shared" si="3"/>
        <v/>
      </c>
      <c r="S150" s="84" t="str">
        <f t="shared" si="4"/>
        <v/>
      </c>
      <c r="T150" s="85"/>
      <c r="U150" s="82">
        <f t="shared" si="5"/>
        <v>0</v>
      </c>
      <c r="V150" s="66">
        <f t="shared" si="6"/>
        <v>0</v>
      </c>
      <c r="W150" s="81">
        <f t="shared" si="7"/>
        <v>0</v>
      </c>
      <c r="X150" s="82" t="str">
        <f t="shared" si="8"/>
        <v>230Volt</v>
      </c>
      <c r="Y150" s="86" t="str">
        <f t="shared" si="9"/>
        <v>https://www.munzee.com/m/230Volt/1360/</v>
      </c>
    </row>
    <row r="151" hidden="1" outlineLevel="1">
      <c r="A151" s="76" t="s">
        <v>410</v>
      </c>
      <c r="B151" s="77">
        <v>22.0</v>
      </c>
      <c r="C151" s="77">
        <v>10.0</v>
      </c>
      <c r="D151" s="64">
        <v>52.119423</v>
      </c>
      <c r="E151" s="64">
        <v>5.382818</v>
      </c>
      <c r="F151" s="78" t="s">
        <v>51</v>
      </c>
      <c r="G151" s="78" t="s">
        <v>52</v>
      </c>
      <c r="H151" s="78" t="str">
        <f>IF(X151=" ",X151,'Flamingo @ DenTreek'!H149)</f>
        <v>Trappertje</v>
      </c>
      <c r="I151" s="79" t="str">
        <f>'Flamingo @ DenTreek'!I149</f>
        <v>https://www.munzee.com/m/Trappertje/7050/</v>
      </c>
      <c r="J151" s="80"/>
      <c r="K151" s="78" t="b">
        <v>1</v>
      </c>
      <c r="L151" s="66" t="str">
        <f t="shared" si="2"/>
        <v/>
      </c>
      <c r="M151" s="81" t="str">
        <f>IFERROR(__xludf.DUMMYFUNCTION("IF(W151=1,IFERROR(IMPORTXML(I151, ""//p[@class='status-date']""), ""Not deployed""),"""")"),"")</f>
        <v/>
      </c>
      <c r="N151" s="82"/>
      <c r="O151" s="66"/>
      <c r="P151" s="66"/>
      <c r="Q151" s="66"/>
      <c r="R151" s="83" t="str">
        <f t="shared" si="3"/>
        <v/>
      </c>
      <c r="S151" s="84" t="str">
        <f t="shared" si="4"/>
        <v/>
      </c>
      <c r="T151" s="85"/>
      <c r="U151" s="82">
        <f t="shared" si="5"/>
        <v>0</v>
      </c>
      <c r="V151" s="66">
        <f t="shared" si="6"/>
        <v>0</v>
      </c>
      <c r="W151" s="81">
        <f t="shared" si="7"/>
        <v>0</v>
      </c>
      <c r="X151" s="82" t="str">
        <f t="shared" si="8"/>
        <v>Trappertje</v>
      </c>
      <c r="Y151" s="86" t="str">
        <f t="shared" si="9"/>
        <v>https://www.munzee.com/m/Trappertje/7050/</v>
      </c>
    </row>
    <row r="152" hidden="1" outlineLevel="1">
      <c r="A152" s="76" t="s">
        <v>411</v>
      </c>
      <c r="B152" s="77">
        <v>22.0</v>
      </c>
      <c r="C152" s="77">
        <v>16.0</v>
      </c>
      <c r="D152" s="64">
        <v>52.119423</v>
      </c>
      <c r="E152" s="64">
        <v>5.384223</v>
      </c>
      <c r="F152" s="78" t="s">
        <v>51</v>
      </c>
      <c r="G152" s="78" t="s">
        <v>52</v>
      </c>
      <c r="H152" s="78" t="str">
        <f>IF(X152=" ",X152,'Flamingo @ DenTreek'!H150)</f>
        <v>Trappertje</v>
      </c>
      <c r="I152" s="79" t="str">
        <f>'Flamingo @ DenTreek'!I150</f>
        <v>https://www.munzee.com/m/Trappertje/7068/</v>
      </c>
      <c r="J152" s="80"/>
      <c r="K152" s="78" t="b">
        <v>1</v>
      </c>
      <c r="L152" s="66" t="str">
        <f t="shared" si="2"/>
        <v/>
      </c>
      <c r="M152" s="81" t="str">
        <f>IFERROR(__xludf.DUMMYFUNCTION("IF(W152=1,IFERROR(IMPORTXML(I152, ""//p[@class='status-date']""), ""Not deployed""),"""")"),"")</f>
        <v/>
      </c>
      <c r="N152" s="82"/>
      <c r="O152" s="66"/>
      <c r="P152" s="66"/>
      <c r="Q152" s="66"/>
      <c r="R152" s="83" t="str">
        <f t="shared" si="3"/>
        <v/>
      </c>
      <c r="S152" s="84" t="str">
        <f t="shared" si="4"/>
        <v/>
      </c>
      <c r="T152" s="85"/>
      <c r="U152" s="82">
        <f t="shared" si="5"/>
        <v>0</v>
      </c>
      <c r="V152" s="66">
        <f t="shared" si="6"/>
        <v>0</v>
      </c>
      <c r="W152" s="81">
        <f t="shared" si="7"/>
        <v>0</v>
      </c>
      <c r="X152" s="82" t="str">
        <f t="shared" si="8"/>
        <v>Trappertje</v>
      </c>
      <c r="Y152" s="86" t="str">
        <f t="shared" si="9"/>
        <v>https://www.munzee.com/m/Trappertje/7068/</v>
      </c>
    </row>
    <row r="153" hidden="1" outlineLevel="1">
      <c r="A153" s="76" t="s">
        <v>412</v>
      </c>
      <c r="B153" s="77">
        <v>22.0</v>
      </c>
      <c r="C153" s="77">
        <v>17.0</v>
      </c>
      <c r="D153" s="64">
        <v>52.119423</v>
      </c>
      <c r="E153" s="64">
        <v>5.384457</v>
      </c>
      <c r="F153" s="78" t="s">
        <v>57</v>
      </c>
      <c r="G153" s="78" t="s">
        <v>58</v>
      </c>
      <c r="H153" s="66" t="str">
        <f t="shared" ref="H153:H154" si="21">IF(ISTEXT(X153),X153,"")</f>
        <v>keromar</v>
      </c>
      <c r="I153" s="79" t="s">
        <v>413</v>
      </c>
      <c r="J153" s="80"/>
      <c r="K153" s="78" t="b">
        <v>1</v>
      </c>
      <c r="L153" s="66" t="str">
        <f t="shared" si="2"/>
        <v/>
      </c>
      <c r="M153" s="81" t="str">
        <f>IFERROR(__xludf.DUMMYFUNCTION("IF(W153=1,IFERROR(IMPORTXML(I153, ""//p[@class='status-date']""), ""Not deployed""),"""")"),"")</f>
        <v/>
      </c>
      <c r="N153" s="82"/>
      <c r="O153" s="66"/>
      <c r="P153" s="66"/>
      <c r="Q153" s="66"/>
      <c r="R153" s="83" t="str">
        <f t="shared" si="3"/>
        <v/>
      </c>
      <c r="S153" s="84" t="str">
        <f t="shared" si="4"/>
        <v/>
      </c>
      <c r="T153" s="85"/>
      <c r="U153" s="82">
        <f t="shared" si="5"/>
        <v>0</v>
      </c>
      <c r="V153" s="66">
        <f t="shared" si="6"/>
        <v>0</v>
      </c>
      <c r="W153" s="81">
        <f t="shared" si="7"/>
        <v>0</v>
      </c>
      <c r="X153" s="82" t="str">
        <f t="shared" si="8"/>
        <v>keromar</v>
      </c>
      <c r="Y153" s="86" t="str">
        <f t="shared" si="9"/>
        <v>https://www.munzee.com/m/keromar/8591/</v>
      </c>
    </row>
    <row r="154" hidden="1" outlineLevel="1">
      <c r="A154" s="76" t="s">
        <v>414</v>
      </c>
      <c r="B154" s="77">
        <v>22.0</v>
      </c>
      <c r="C154" s="77">
        <v>18.0</v>
      </c>
      <c r="D154" s="64">
        <v>52.119423</v>
      </c>
      <c r="E154" s="64">
        <v>5.384691</v>
      </c>
      <c r="F154" s="78" t="s">
        <v>415</v>
      </c>
      <c r="G154" s="78" t="s">
        <v>416</v>
      </c>
      <c r="H154" s="66" t="str">
        <f t="shared" si="21"/>
        <v>AmezorC</v>
      </c>
      <c r="I154" s="79" t="s">
        <v>417</v>
      </c>
      <c r="J154" s="80"/>
      <c r="K154" s="78" t="b">
        <v>1</v>
      </c>
      <c r="L154" s="66" t="str">
        <f t="shared" si="2"/>
        <v/>
      </c>
      <c r="M154" s="81" t="str">
        <f>IFERROR(__xludf.DUMMYFUNCTION("IF(W154=1,IFERROR(IMPORTXML(I154, ""//p[@class='status-date']""), ""Not deployed""),"""")"),"")</f>
        <v/>
      </c>
      <c r="N154" s="82"/>
      <c r="O154" s="66"/>
      <c r="P154" s="66"/>
      <c r="Q154" s="66"/>
      <c r="R154" s="83" t="str">
        <f t="shared" si="3"/>
        <v/>
      </c>
      <c r="S154" s="84" t="str">
        <f t="shared" si="4"/>
        <v/>
      </c>
      <c r="T154" s="85"/>
      <c r="U154" s="82">
        <f t="shared" si="5"/>
        <v>0</v>
      </c>
      <c r="V154" s="66">
        <f t="shared" si="6"/>
        <v>0</v>
      </c>
      <c r="W154" s="81">
        <f t="shared" si="7"/>
        <v>0</v>
      </c>
      <c r="X154" s="82" t="str">
        <f t="shared" si="8"/>
        <v>AmezorC</v>
      </c>
      <c r="Y154" s="86" t="str">
        <f t="shared" si="9"/>
        <v>https://www.munzee.com/m/AmezorC/13649/</v>
      </c>
    </row>
    <row r="155" hidden="1" outlineLevel="1">
      <c r="A155" s="76" t="s">
        <v>418</v>
      </c>
      <c r="B155" s="77">
        <v>22.0</v>
      </c>
      <c r="C155" s="77">
        <v>19.0</v>
      </c>
      <c r="D155" s="64">
        <v>52.119423</v>
      </c>
      <c r="E155" s="64">
        <v>5.384925</v>
      </c>
      <c r="F155" s="78" t="s">
        <v>419</v>
      </c>
      <c r="G155" s="78" t="s">
        <v>420</v>
      </c>
      <c r="H155" s="78" t="str">
        <f>IF(X155=" ",X155,'Flamingo @ DenTreek'!H153)</f>
        <v>Trappertje</v>
      </c>
      <c r="I155" s="79" t="str">
        <f>'Flamingo @ DenTreek'!I153</f>
        <v>https://www.munzee.com/m/Trappertje/7235/</v>
      </c>
      <c r="J155" s="80"/>
      <c r="K155" s="78" t="b">
        <v>1</v>
      </c>
      <c r="L155" s="66" t="str">
        <f t="shared" si="2"/>
        <v/>
      </c>
      <c r="M155" s="81" t="str">
        <f>IFERROR(__xludf.DUMMYFUNCTION("IF(W155=1,IFERROR(IMPORTXML(I155, ""//p[@class='status-date']""), ""Not deployed""),"""")"),"")</f>
        <v/>
      </c>
      <c r="N155" s="82"/>
      <c r="O155" s="66"/>
      <c r="P155" s="66"/>
      <c r="Q155" s="66"/>
      <c r="R155" s="83" t="str">
        <f t="shared" si="3"/>
        <v/>
      </c>
      <c r="S155" s="84" t="str">
        <f t="shared" si="4"/>
        <v/>
      </c>
      <c r="T155" s="85"/>
      <c r="U155" s="82">
        <f t="shared" si="5"/>
        <v>0</v>
      </c>
      <c r="V155" s="66">
        <f t="shared" si="6"/>
        <v>0</v>
      </c>
      <c r="W155" s="81">
        <f t="shared" si="7"/>
        <v>0</v>
      </c>
      <c r="X155" s="82" t="str">
        <f t="shared" si="8"/>
        <v>Trappertje</v>
      </c>
      <c r="Y155" s="86" t="str">
        <f t="shared" si="9"/>
        <v>https://www.munzee.com/m/Trappertje/7235/</v>
      </c>
    </row>
    <row r="156" hidden="1" outlineLevel="1">
      <c r="A156" s="76" t="s">
        <v>421</v>
      </c>
      <c r="B156" s="77">
        <v>22.0</v>
      </c>
      <c r="C156" s="77">
        <v>20.0</v>
      </c>
      <c r="D156" s="64">
        <v>52.119423</v>
      </c>
      <c r="E156" s="64">
        <v>5.385159</v>
      </c>
      <c r="F156" s="78" t="s">
        <v>419</v>
      </c>
      <c r="G156" s="78" t="s">
        <v>420</v>
      </c>
      <c r="H156" s="66" t="str">
        <f>IF(X156=" ",X156,'Flamingo @ DenTreek'!H154)</f>
        <v>Anetzet</v>
      </c>
      <c r="I156" s="79" t="str">
        <f>'Flamingo @ DenTreek'!I154</f>
        <v>https://www.munzee.com/m/Anetzet/7659/</v>
      </c>
      <c r="J156" s="80"/>
      <c r="K156" s="78" t="b">
        <v>1</v>
      </c>
      <c r="L156" s="66" t="str">
        <f t="shared" si="2"/>
        <v/>
      </c>
      <c r="M156" s="81" t="str">
        <f>IFERROR(__xludf.DUMMYFUNCTION("IF(W156=1,IFERROR(IMPORTXML(I156, ""//p[@class='status-date']""), ""Not deployed""),"""")"),"")</f>
        <v/>
      </c>
      <c r="N156" s="82"/>
      <c r="O156" s="66"/>
      <c r="P156" s="66"/>
      <c r="Q156" s="66"/>
      <c r="R156" s="83" t="str">
        <f t="shared" si="3"/>
        <v/>
      </c>
      <c r="S156" s="84" t="str">
        <f t="shared" si="4"/>
        <v/>
      </c>
      <c r="T156" s="85"/>
      <c r="U156" s="82">
        <f t="shared" si="5"/>
        <v>0</v>
      </c>
      <c r="V156" s="66">
        <f t="shared" si="6"/>
        <v>0</v>
      </c>
      <c r="W156" s="81">
        <f t="shared" si="7"/>
        <v>0</v>
      </c>
      <c r="X156" s="82" t="str">
        <f t="shared" si="8"/>
        <v>Anetzet</v>
      </c>
      <c r="Y156" s="86" t="str">
        <f t="shared" si="9"/>
        <v>https://www.munzee.com/m/Anetzet/7659/</v>
      </c>
    </row>
    <row r="157" hidden="1" outlineLevel="1">
      <c r="A157" s="76" t="s">
        <v>422</v>
      </c>
      <c r="B157" s="77">
        <v>22.0</v>
      </c>
      <c r="C157" s="77">
        <v>21.0</v>
      </c>
      <c r="D157" s="64">
        <v>52.119423</v>
      </c>
      <c r="E157" s="64">
        <v>5.385393</v>
      </c>
      <c r="F157" s="78" t="s">
        <v>419</v>
      </c>
      <c r="G157" s="78" t="s">
        <v>420</v>
      </c>
      <c r="H157" s="66" t="str">
        <f>IF(ISTEXT(X157),X157,"")</f>
        <v>230Volt</v>
      </c>
      <c r="I157" s="79" t="s">
        <v>423</v>
      </c>
      <c r="J157" s="80"/>
      <c r="K157" s="78" t="b">
        <v>1</v>
      </c>
      <c r="L157" s="66" t="str">
        <f t="shared" si="2"/>
        <v/>
      </c>
      <c r="M157" s="81" t="str">
        <f>IFERROR(__xludf.DUMMYFUNCTION("IF(W157=1,IFERROR(IMPORTXML(I157, ""//p[@class='status-date']""), ""Not deployed""),"""")"),"")</f>
        <v/>
      </c>
      <c r="N157" s="82"/>
      <c r="O157" s="66"/>
      <c r="P157" s="66"/>
      <c r="Q157" s="66"/>
      <c r="R157" s="83" t="str">
        <f t="shared" si="3"/>
        <v/>
      </c>
      <c r="S157" s="84" t="str">
        <f t="shared" si="4"/>
        <v/>
      </c>
      <c r="T157" s="85"/>
      <c r="U157" s="82">
        <f t="shared" si="5"/>
        <v>0</v>
      </c>
      <c r="V157" s="66">
        <f t="shared" si="6"/>
        <v>0</v>
      </c>
      <c r="W157" s="81">
        <f t="shared" si="7"/>
        <v>0</v>
      </c>
      <c r="X157" s="82" t="str">
        <f t="shared" si="8"/>
        <v>230Volt</v>
      </c>
      <c r="Y157" s="86" t="str">
        <f t="shared" si="9"/>
        <v>https://www.munzee.com/m/230Volt/1369/</v>
      </c>
    </row>
    <row r="158" hidden="1" outlineLevel="1">
      <c r="A158" s="76" t="s">
        <v>424</v>
      </c>
      <c r="B158" s="77">
        <v>22.0</v>
      </c>
      <c r="C158" s="77">
        <v>22.0</v>
      </c>
      <c r="D158" s="64">
        <v>52.119423</v>
      </c>
      <c r="E158" s="64">
        <v>5.385627</v>
      </c>
      <c r="F158" s="78" t="s">
        <v>419</v>
      </c>
      <c r="G158" s="78" t="s">
        <v>420</v>
      </c>
      <c r="H158" s="78" t="str">
        <f>IF(X158=" ",X158,'Flamingo @ DenTreek'!H156)</f>
        <v>Trappertje</v>
      </c>
      <c r="I158" s="79" t="str">
        <f>'Flamingo @ DenTreek'!I156</f>
        <v>https://www.munzee.com/m/Trappertje/7237/</v>
      </c>
      <c r="J158" s="80"/>
      <c r="K158" s="78" t="b">
        <v>1</v>
      </c>
      <c r="L158" s="66" t="str">
        <f t="shared" si="2"/>
        <v/>
      </c>
      <c r="M158" s="81" t="str">
        <f>IFERROR(__xludf.DUMMYFUNCTION("IF(W158=1,IFERROR(IMPORTXML(I158, ""//p[@class='status-date']""), ""Not deployed""),"""")"),"")</f>
        <v/>
      </c>
      <c r="N158" s="82"/>
      <c r="O158" s="66"/>
      <c r="P158" s="66"/>
      <c r="Q158" s="66"/>
      <c r="R158" s="83" t="str">
        <f t="shared" si="3"/>
        <v/>
      </c>
      <c r="S158" s="84" t="str">
        <f t="shared" si="4"/>
        <v/>
      </c>
      <c r="T158" s="85"/>
      <c r="U158" s="82">
        <f t="shared" si="5"/>
        <v>0</v>
      </c>
      <c r="V158" s="66">
        <f t="shared" si="6"/>
        <v>0</v>
      </c>
      <c r="W158" s="81">
        <f t="shared" si="7"/>
        <v>0</v>
      </c>
      <c r="X158" s="82" t="str">
        <f t="shared" si="8"/>
        <v>Trappertje</v>
      </c>
      <c r="Y158" s="86" t="str">
        <f t="shared" si="9"/>
        <v>https://www.munzee.com/m/Trappertje/7237/</v>
      </c>
    </row>
    <row r="159" hidden="1" outlineLevel="1">
      <c r="A159" s="76" t="s">
        <v>425</v>
      </c>
      <c r="B159" s="77">
        <v>22.0</v>
      </c>
      <c r="C159" s="77">
        <v>23.0</v>
      </c>
      <c r="D159" s="64">
        <v>52.119423</v>
      </c>
      <c r="E159" s="64">
        <v>5.385861</v>
      </c>
      <c r="F159" s="78" t="s">
        <v>415</v>
      </c>
      <c r="G159" s="78" t="s">
        <v>416</v>
      </c>
      <c r="H159" s="66" t="str">
        <f>IF(ISTEXT(X159),X159,"")</f>
        <v>VLoopSouth</v>
      </c>
      <c r="I159" s="79" t="s">
        <v>426</v>
      </c>
      <c r="J159" s="80"/>
      <c r="K159" s="78" t="b">
        <v>1</v>
      </c>
      <c r="L159" s="66" t="str">
        <f t="shared" si="2"/>
        <v/>
      </c>
      <c r="M159" s="81" t="str">
        <f>IFERROR(__xludf.DUMMYFUNCTION("IF(W159=1,IFERROR(IMPORTXML(I159, ""//p[@class='status-date']""), ""Not deployed""),"""")"),"")</f>
        <v/>
      </c>
      <c r="N159" s="82"/>
      <c r="O159" s="66"/>
      <c r="P159" s="66"/>
      <c r="Q159" s="66"/>
      <c r="R159" s="83" t="str">
        <f t="shared" si="3"/>
        <v/>
      </c>
      <c r="S159" s="84" t="str">
        <f t="shared" si="4"/>
        <v/>
      </c>
      <c r="T159" s="85"/>
      <c r="U159" s="82">
        <f t="shared" si="5"/>
        <v>0</v>
      </c>
      <c r="V159" s="66">
        <f t="shared" si="6"/>
        <v>0</v>
      </c>
      <c r="W159" s="81">
        <f t="shared" si="7"/>
        <v>0</v>
      </c>
      <c r="X159" s="82" t="str">
        <f t="shared" si="8"/>
        <v>VLoopSouth</v>
      </c>
      <c r="Y159" s="86" t="str">
        <f t="shared" si="9"/>
        <v>https://www.munzee.com/m/VLoopSouth/2908/</v>
      </c>
    </row>
    <row r="160" hidden="1" outlineLevel="1">
      <c r="A160" s="76" t="s">
        <v>427</v>
      </c>
      <c r="B160" s="77">
        <v>22.0</v>
      </c>
      <c r="C160" s="77">
        <v>24.0</v>
      </c>
      <c r="D160" s="64">
        <v>52.119423</v>
      </c>
      <c r="E160" s="64">
        <v>5.386095</v>
      </c>
      <c r="F160" s="78" t="s">
        <v>57</v>
      </c>
      <c r="G160" s="78" t="s">
        <v>58</v>
      </c>
      <c r="H160" s="78" t="s">
        <v>428</v>
      </c>
      <c r="I160" s="79" t="s">
        <v>429</v>
      </c>
      <c r="J160" s="80"/>
      <c r="K160" s="78" t="b">
        <v>1</v>
      </c>
      <c r="L160" s="66" t="str">
        <f t="shared" si="2"/>
        <v/>
      </c>
      <c r="M160" s="81" t="str">
        <f>IFERROR(__xludf.DUMMYFUNCTION("IF(W160=1,IFERROR(IMPORTXML(I160, ""//p[@class='status-date']""), ""Not deployed""),"""")"),"")</f>
        <v/>
      </c>
      <c r="N160" s="82"/>
      <c r="O160" s="66"/>
      <c r="P160" s="66"/>
      <c r="Q160" s="66"/>
      <c r="R160" s="83" t="str">
        <f t="shared" si="3"/>
        <v/>
      </c>
      <c r="S160" s="84" t="str">
        <f t="shared" si="4"/>
        <v/>
      </c>
      <c r="T160" s="85"/>
      <c r="U160" s="82">
        <f t="shared" si="5"/>
        <v>0</v>
      </c>
      <c r="V160" s="66">
        <f t="shared" si="6"/>
        <v>0</v>
      </c>
      <c r="W160" s="81">
        <f t="shared" si="7"/>
        <v>0</v>
      </c>
      <c r="X160" s="82" t="str">
        <f t="shared" si="8"/>
        <v>wvkiwi</v>
      </c>
      <c r="Y160" s="86" t="str">
        <f t="shared" si="9"/>
        <v>https://www.munzee.com/m/wvkiwi/9456/</v>
      </c>
    </row>
    <row r="161" hidden="1" outlineLevel="1">
      <c r="A161" s="76" t="s">
        <v>430</v>
      </c>
      <c r="B161" s="77">
        <v>22.0</v>
      </c>
      <c r="C161" s="77">
        <v>25.0</v>
      </c>
      <c r="D161" s="64">
        <v>52.119423</v>
      </c>
      <c r="E161" s="64">
        <v>5.386329</v>
      </c>
      <c r="F161" s="78" t="s">
        <v>57</v>
      </c>
      <c r="G161" s="78" t="s">
        <v>58</v>
      </c>
      <c r="H161" s="78" t="str">
        <f>IF(X161=" ",X161,'Flamingo @ DenTreek'!H159)</f>
        <v>Trappertje</v>
      </c>
      <c r="I161" s="79" t="str">
        <f>'Flamingo @ DenTreek'!I159</f>
        <v>https://www.munzee.com/m/Trappertje/7312/</v>
      </c>
      <c r="J161" s="80"/>
      <c r="K161" s="78" t="b">
        <v>1</v>
      </c>
      <c r="L161" s="66" t="str">
        <f t="shared" si="2"/>
        <v/>
      </c>
      <c r="M161" s="81" t="str">
        <f>IFERROR(__xludf.DUMMYFUNCTION("IF(W161=1,IFERROR(IMPORTXML(I161, ""//p[@class='status-date']""), ""Not deployed""),"""")"),"")</f>
        <v/>
      </c>
      <c r="N161" s="82"/>
      <c r="O161" s="66"/>
      <c r="P161" s="66"/>
      <c r="Q161" s="66"/>
      <c r="R161" s="83" t="str">
        <f t="shared" si="3"/>
        <v/>
      </c>
      <c r="S161" s="84" t="str">
        <f t="shared" si="4"/>
        <v/>
      </c>
      <c r="T161" s="85"/>
      <c r="U161" s="82">
        <f t="shared" si="5"/>
        <v>0</v>
      </c>
      <c r="V161" s="66">
        <f t="shared" si="6"/>
        <v>0</v>
      </c>
      <c r="W161" s="81">
        <f t="shared" si="7"/>
        <v>0</v>
      </c>
      <c r="X161" s="82" t="str">
        <f t="shared" si="8"/>
        <v>Trappertje</v>
      </c>
      <c r="Y161" s="86" t="str">
        <f t="shared" si="9"/>
        <v>https://www.munzee.com/m/Trappertje/7312/</v>
      </c>
    </row>
    <row r="162" hidden="1" outlineLevel="1">
      <c r="A162" s="76" t="s">
        <v>431</v>
      </c>
      <c r="B162" s="77">
        <v>23.0</v>
      </c>
      <c r="C162" s="77">
        <v>7.0</v>
      </c>
      <c r="D162" s="64">
        <v>52.119279</v>
      </c>
      <c r="E162" s="64">
        <v>5.382116</v>
      </c>
      <c r="F162" s="78" t="s">
        <v>57</v>
      </c>
      <c r="G162" s="78" t="s">
        <v>58</v>
      </c>
      <c r="H162" s="78" t="s">
        <v>432</v>
      </c>
      <c r="I162" s="79" t="s">
        <v>433</v>
      </c>
      <c r="J162" s="80"/>
      <c r="K162" s="78" t="b">
        <v>1</v>
      </c>
      <c r="L162" s="66" t="str">
        <f t="shared" si="2"/>
        <v/>
      </c>
      <c r="M162" s="81" t="str">
        <f>IFERROR(__xludf.DUMMYFUNCTION("IF(W162=1,IFERROR(IMPORTXML(I162, ""//p[@class='status-date']""), ""Not deployed""),"""")"),"")</f>
        <v/>
      </c>
      <c r="N162" s="82"/>
      <c r="O162" s="66"/>
      <c r="P162" s="66"/>
      <c r="Q162" s="66"/>
      <c r="R162" s="83" t="str">
        <f t="shared" si="3"/>
        <v/>
      </c>
      <c r="S162" s="84" t="str">
        <f t="shared" si="4"/>
        <v/>
      </c>
      <c r="T162" s="85"/>
      <c r="U162" s="82">
        <f t="shared" si="5"/>
        <v>0</v>
      </c>
      <c r="V162" s="66">
        <f t="shared" si="6"/>
        <v>0</v>
      </c>
      <c r="W162" s="81">
        <f t="shared" si="7"/>
        <v>0</v>
      </c>
      <c r="X162" s="82" t="str">
        <f t="shared" si="8"/>
        <v>sverlaan</v>
      </c>
      <c r="Y162" s="86" t="str">
        <f t="shared" si="9"/>
        <v>https://www.munzee.com/m/sverlaan/6603/</v>
      </c>
    </row>
    <row r="163" hidden="1" outlineLevel="1">
      <c r="A163" s="76" t="s">
        <v>434</v>
      </c>
      <c r="B163" s="77">
        <v>23.0</v>
      </c>
      <c r="C163" s="77">
        <v>8.0</v>
      </c>
      <c r="D163" s="64">
        <v>52.119279</v>
      </c>
      <c r="E163" s="64">
        <v>5.38235</v>
      </c>
      <c r="F163" s="78" t="s">
        <v>57</v>
      </c>
      <c r="G163" s="78" t="s">
        <v>58</v>
      </c>
      <c r="H163" s="78" t="s">
        <v>435</v>
      </c>
      <c r="I163" s="79" t="s">
        <v>436</v>
      </c>
      <c r="J163" s="80"/>
      <c r="K163" s="78" t="b">
        <v>1</v>
      </c>
      <c r="L163" s="66" t="str">
        <f t="shared" si="2"/>
        <v/>
      </c>
      <c r="M163" s="81" t="str">
        <f>IFERROR(__xludf.DUMMYFUNCTION("IF(W163=1,IFERROR(IMPORTXML(I163, ""//p[@class='status-date']""), ""Not deployed""),"""")"),"")</f>
        <v/>
      </c>
      <c r="N163" s="82"/>
      <c r="O163" s="66"/>
      <c r="P163" s="66"/>
      <c r="Q163" s="66"/>
      <c r="R163" s="83" t="str">
        <f t="shared" si="3"/>
        <v/>
      </c>
      <c r="S163" s="84" t="str">
        <f t="shared" si="4"/>
        <v/>
      </c>
      <c r="T163" s="85"/>
      <c r="U163" s="82">
        <f t="shared" si="5"/>
        <v>0</v>
      </c>
      <c r="V163" s="66">
        <f t="shared" si="6"/>
        <v>0</v>
      </c>
      <c r="W163" s="81">
        <f t="shared" si="7"/>
        <v>0</v>
      </c>
      <c r="X163" s="82" t="str">
        <f t="shared" si="8"/>
        <v>EmileP68</v>
      </c>
      <c r="Y163" s="86" t="str">
        <f t="shared" si="9"/>
        <v>https://www.munzee.com/m/EmileP68/5444/</v>
      </c>
    </row>
    <row r="164" hidden="1" outlineLevel="1">
      <c r="A164" s="76" t="s">
        <v>437</v>
      </c>
      <c r="B164" s="77">
        <v>23.0</v>
      </c>
      <c r="C164" s="77">
        <v>9.0</v>
      </c>
      <c r="D164" s="64">
        <v>52.119279</v>
      </c>
      <c r="E164" s="64">
        <v>5.382584</v>
      </c>
      <c r="F164" s="78" t="s">
        <v>70</v>
      </c>
      <c r="G164" s="78" t="s">
        <v>71</v>
      </c>
      <c r="H164" s="78" t="s">
        <v>438</v>
      </c>
      <c r="I164" s="79" t="s">
        <v>439</v>
      </c>
      <c r="J164" s="80"/>
      <c r="K164" s="78" t="b">
        <v>1</v>
      </c>
      <c r="L164" s="66" t="str">
        <f t="shared" si="2"/>
        <v/>
      </c>
      <c r="M164" s="81" t="str">
        <f>IFERROR(__xludf.DUMMYFUNCTION("IF(W164=1,IFERROR(IMPORTXML(I164, ""//p[@class='status-date']""), ""Not deployed""),"""")"),"")</f>
        <v/>
      </c>
      <c r="N164" s="82"/>
      <c r="O164" s="66"/>
      <c r="P164" s="66"/>
      <c r="Q164" s="66"/>
      <c r="R164" s="83" t="str">
        <f t="shared" si="3"/>
        <v/>
      </c>
      <c r="S164" s="84" t="str">
        <f t="shared" si="4"/>
        <v/>
      </c>
      <c r="T164" s="85"/>
      <c r="U164" s="82">
        <f t="shared" si="5"/>
        <v>0</v>
      </c>
      <c r="V164" s="66">
        <f t="shared" si="6"/>
        <v>0</v>
      </c>
      <c r="W164" s="81">
        <f t="shared" si="7"/>
        <v>0</v>
      </c>
      <c r="X164" s="82" t="str">
        <f t="shared" si="8"/>
        <v>PawPatrolThomas</v>
      </c>
      <c r="Y164" s="86" t="str">
        <f t="shared" si="9"/>
        <v>https://www.munzee.com/m/PawPatrolThomas/4606/</v>
      </c>
    </row>
    <row r="165" hidden="1" outlineLevel="1">
      <c r="A165" s="76" t="s">
        <v>440</v>
      </c>
      <c r="B165" s="77">
        <v>23.0</v>
      </c>
      <c r="C165" s="77">
        <v>10.0</v>
      </c>
      <c r="D165" s="64">
        <v>52.119279</v>
      </c>
      <c r="E165" s="64">
        <v>5.382818</v>
      </c>
      <c r="F165" s="78" t="s">
        <v>100</v>
      </c>
      <c r="G165" s="78" t="s">
        <v>101</v>
      </c>
      <c r="H165" s="78" t="s">
        <v>432</v>
      </c>
      <c r="I165" s="79" t="s">
        <v>441</v>
      </c>
      <c r="J165" s="80"/>
      <c r="K165" s="78" t="b">
        <v>1</v>
      </c>
      <c r="L165" s="66" t="str">
        <f t="shared" si="2"/>
        <v/>
      </c>
      <c r="M165" s="81" t="str">
        <f>IFERROR(__xludf.DUMMYFUNCTION("IF(W165=1,IFERROR(IMPORTXML(I165, ""//p[@class='status-date']""), ""Not deployed""),"""")"),"")</f>
        <v/>
      </c>
      <c r="N165" s="82"/>
      <c r="O165" s="66"/>
      <c r="P165" s="66"/>
      <c r="Q165" s="66"/>
      <c r="R165" s="83" t="str">
        <f t="shared" si="3"/>
        <v/>
      </c>
      <c r="S165" s="84" t="str">
        <f t="shared" si="4"/>
        <v/>
      </c>
      <c r="T165" s="85"/>
      <c r="U165" s="82">
        <f t="shared" si="5"/>
        <v>0</v>
      </c>
      <c r="V165" s="66">
        <f t="shared" si="6"/>
        <v>0</v>
      </c>
      <c r="W165" s="81">
        <f t="shared" si="7"/>
        <v>0</v>
      </c>
      <c r="X165" s="82" t="str">
        <f t="shared" si="8"/>
        <v>sverlaan</v>
      </c>
      <c r="Y165" s="86" t="str">
        <f t="shared" si="9"/>
        <v>https://www.munzee.com/m/sverlaan/6562/</v>
      </c>
    </row>
    <row r="166" hidden="1" outlineLevel="1">
      <c r="A166" s="76" t="s">
        <v>442</v>
      </c>
      <c r="B166" s="77">
        <v>23.0</v>
      </c>
      <c r="C166" s="77">
        <v>15.0</v>
      </c>
      <c r="D166" s="64">
        <v>52.119279</v>
      </c>
      <c r="E166" s="64">
        <v>5.383988</v>
      </c>
      <c r="F166" s="78" t="s">
        <v>51</v>
      </c>
      <c r="G166" s="78" t="s">
        <v>52</v>
      </c>
      <c r="H166" s="78" t="s">
        <v>443</v>
      </c>
      <c r="I166" s="79" t="s">
        <v>444</v>
      </c>
      <c r="J166" s="88"/>
      <c r="K166" s="78" t="b">
        <v>1</v>
      </c>
      <c r="L166" s="66" t="str">
        <f t="shared" si="2"/>
        <v/>
      </c>
      <c r="M166" s="81" t="str">
        <f>IFERROR(__xludf.DUMMYFUNCTION("IF(W166=1,IFERROR(IMPORTXML(I166, ""//p[@class='status-date']""), ""Not deployed""),"""")"),"")</f>
        <v/>
      </c>
      <c r="N166" s="82"/>
      <c r="O166" s="66"/>
      <c r="P166" s="66"/>
      <c r="Q166" s="66"/>
      <c r="R166" s="83" t="str">
        <f t="shared" si="3"/>
        <v/>
      </c>
      <c r="S166" s="84" t="str">
        <f t="shared" si="4"/>
        <v/>
      </c>
      <c r="T166" s="85"/>
      <c r="U166" s="82">
        <f t="shared" si="5"/>
        <v>0</v>
      </c>
      <c r="V166" s="66">
        <f t="shared" si="6"/>
        <v>0</v>
      </c>
      <c r="W166" s="81">
        <f t="shared" si="7"/>
        <v>0</v>
      </c>
      <c r="X166" s="82" t="str">
        <f t="shared" si="8"/>
        <v>RoversEnd</v>
      </c>
      <c r="Y166" s="86" t="str">
        <f t="shared" si="9"/>
        <v>https://www.munzee.com/m/RoversEnd/4381/</v>
      </c>
    </row>
    <row r="167" hidden="1" outlineLevel="1">
      <c r="A167" s="76" t="s">
        <v>445</v>
      </c>
      <c r="B167" s="77">
        <v>23.0</v>
      </c>
      <c r="C167" s="77">
        <v>16.0</v>
      </c>
      <c r="D167" s="64">
        <v>52.119279</v>
      </c>
      <c r="E167" s="64">
        <v>5.384223</v>
      </c>
      <c r="F167" s="78" t="s">
        <v>419</v>
      </c>
      <c r="G167" s="78" t="s">
        <v>420</v>
      </c>
      <c r="H167" s="78" t="s">
        <v>438</v>
      </c>
      <c r="I167" s="79" t="s">
        <v>446</v>
      </c>
      <c r="J167" s="80"/>
      <c r="K167" s="78" t="b">
        <v>1</v>
      </c>
      <c r="L167" s="66" t="str">
        <f t="shared" si="2"/>
        <v/>
      </c>
      <c r="M167" s="81" t="str">
        <f>IFERROR(__xludf.DUMMYFUNCTION("IF(W167=1,IFERROR(IMPORTXML(I167, ""//p[@class='status-date']""), ""Not deployed""),"""")"),"")</f>
        <v/>
      </c>
      <c r="N167" s="82"/>
      <c r="O167" s="66"/>
      <c r="P167" s="66"/>
      <c r="Q167" s="66"/>
      <c r="R167" s="83" t="str">
        <f t="shared" si="3"/>
        <v/>
      </c>
      <c r="S167" s="84" t="str">
        <f t="shared" si="4"/>
        <v/>
      </c>
      <c r="T167" s="85"/>
      <c r="U167" s="82">
        <f t="shared" si="5"/>
        <v>0</v>
      </c>
      <c r="V167" s="66">
        <f t="shared" si="6"/>
        <v>0</v>
      </c>
      <c r="W167" s="81">
        <f t="shared" si="7"/>
        <v>0</v>
      </c>
      <c r="X167" s="82" t="str">
        <f t="shared" si="8"/>
        <v>PawPatrolThomas</v>
      </c>
      <c r="Y167" s="86" t="str">
        <f t="shared" si="9"/>
        <v>https://www.munzee.com/m/PawPatrolThomas/4570/</v>
      </c>
    </row>
    <row r="168" hidden="1" outlineLevel="1">
      <c r="A168" s="76" t="s">
        <v>447</v>
      </c>
      <c r="B168" s="77">
        <v>23.0</v>
      </c>
      <c r="C168" s="77">
        <v>17.0</v>
      </c>
      <c r="D168" s="64">
        <v>52.119279</v>
      </c>
      <c r="E168" s="64">
        <v>5.384457</v>
      </c>
      <c r="F168" s="78" t="s">
        <v>419</v>
      </c>
      <c r="G168" s="78" t="s">
        <v>420</v>
      </c>
      <c r="H168" s="78" t="s">
        <v>432</v>
      </c>
      <c r="I168" s="79" t="s">
        <v>448</v>
      </c>
      <c r="J168" s="80"/>
      <c r="K168" s="78" t="b">
        <v>1</v>
      </c>
      <c r="L168" s="66" t="str">
        <f t="shared" si="2"/>
        <v/>
      </c>
      <c r="M168" s="81" t="str">
        <f>IFERROR(__xludf.DUMMYFUNCTION("IF(W168=1,IFERROR(IMPORTXML(I168, ""//p[@class='status-date']""), ""Not deployed""),"""")"),"")</f>
        <v/>
      </c>
      <c r="N168" s="82"/>
      <c r="O168" s="66"/>
      <c r="P168" s="66"/>
      <c r="Q168" s="66"/>
      <c r="R168" s="83" t="str">
        <f t="shared" si="3"/>
        <v/>
      </c>
      <c r="S168" s="84" t="str">
        <f t="shared" si="4"/>
        <v/>
      </c>
      <c r="T168" s="85"/>
      <c r="U168" s="82">
        <f t="shared" si="5"/>
        <v>0</v>
      </c>
      <c r="V168" s="66">
        <f t="shared" si="6"/>
        <v>0</v>
      </c>
      <c r="W168" s="81">
        <f t="shared" si="7"/>
        <v>0</v>
      </c>
      <c r="X168" s="82" t="str">
        <f t="shared" si="8"/>
        <v>sverlaan</v>
      </c>
      <c r="Y168" s="86" t="str">
        <f t="shared" si="9"/>
        <v>https://www.munzee.com/m/sverlaan/6561/</v>
      </c>
    </row>
    <row r="169" hidden="1" outlineLevel="1">
      <c r="A169" s="76" t="s">
        <v>449</v>
      </c>
      <c r="B169" s="77">
        <v>23.0</v>
      </c>
      <c r="C169" s="77">
        <v>18.0</v>
      </c>
      <c r="D169" s="64">
        <v>52.119279</v>
      </c>
      <c r="E169" s="64">
        <v>5.384691</v>
      </c>
      <c r="F169" s="78" t="s">
        <v>419</v>
      </c>
      <c r="G169" s="78" t="s">
        <v>420</v>
      </c>
      <c r="H169" s="78" t="s">
        <v>435</v>
      </c>
      <c r="I169" s="79" t="s">
        <v>450</v>
      </c>
      <c r="J169" s="80"/>
      <c r="K169" s="78" t="b">
        <v>1</v>
      </c>
      <c r="L169" s="66" t="str">
        <f t="shared" si="2"/>
        <v/>
      </c>
      <c r="M169" s="81" t="str">
        <f>IFERROR(__xludf.DUMMYFUNCTION("IF(W169=1,IFERROR(IMPORTXML(I169, ""//p[@class='status-date']""), ""Not deployed""),"""")"),"")</f>
        <v/>
      </c>
      <c r="N169" s="82"/>
      <c r="O169" s="66"/>
      <c r="P169" s="66"/>
      <c r="Q169" s="66"/>
      <c r="R169" s="83" t="str">
        <f t="shared" si="3"/>
        <v/>
      </c>
      <c r="S169" s="84" t="str">
        <f t="shared" si="4"/>
        <v/>
      </c>
      <c r="T169" s="85"/>
      <c r="U169" s="82">
        <f t="shared" si="5"/>
        <v>0</v>
      </c>
      <c r="V169" s="66">
        <f t="shared" si="6"/>
        <v>0</v>
      </c>
      <c r="W169" s="81">
        <f t="shared" si="7"/>
        <v>0</v>
      </c>
      <c r="X169" s="82" t="str">
        <f t="shared" si="8"/>
        <v>EmileP68</v>
      </c>
      <c r="Y169" s="86" t="str">
        <f t="shared" si="9"/>
        <v>https://www.munzee.com/m/EmileP68/5399/</v>
      </c>
    </row>
    <row r="170" hidden="1" outlineLevel="1">
      <c r="A170" s="76" t="s">
        <v>451</v>
      </c>
      <c r="B170" s="77">
        <v>23.0</v>
      </c>
      <c r="C170" s="77">
        <v>19.0</v>
      </c>
      <c r="D170" s="64">
        <v>52.119279</v>
      </c>
      <c r="E170" s="64">
        <v>5.384925</v>
      </c>
      <c r="F170" s="78" t="s">
        <v>419</v>
      </c>
      <c r="G170" s="78" t="s">
        <v>420</v>
      </c>
      <c r="H170" s="78" t="s">
        <v>438</v>
      </c>
      <c r="I170" s="79" t="s">
        <v>452</v>
      </c>
      <c r="J170" s="80"/>
      <c r="K170" s="78" t="b">
        <v>1</v>
      </c>
      <c r="L170" s="66" t="str">
        <f t="shared" si="2"/>
        <v/>
      </c>
      <c r="M170" s="81" t="str">
        <f>IFERROR(__xludf.DUMMYFUNCTION("IF(W170=1,IFERROR(IMPORTXML(I170, ""//p[@class='status-date']""), ""Not deployed""),"""")"),"")</f>
        <v/>
      </c>
      <c r="N170" s="82"/>
      <c r="O170" s="66"/>
      <c r="P170" s="66"/>
      <c r="Q170" s="66"/>
      <c r="R170" s="83" t="str">
        <f t="shared" si="3"/>
        <v/>
      </c>
      <c r="S170" s="84" t="str">
        <f t="shared" si="4"/>
        <v/>
      </c>
      <c r="T170" s="85"/>
      <c r="U170" s="82">
        <f t="shared" si="5"/>
        <v>0</v>
      </c>
      <c r="V170" s="66">
        <f t="shared" si="6"/>
        <v>0</v>
      </c>
      <c r="W170" s="81">
        <f t="shared" si="7"/>
        <v>0</v>
      </c>
      <c r="X170" s="82" t="str">
        <f t="shared" si="8"/>
        <v>PawPatrolThomas</v>
      </c>
      <c r="Y170" s="86" t="str">
        <f t="shared" si="9"/>
        <v>https://www.munzee.com/m/PawPatrolThomas/4569/</v>
      </c>
    </row>
    <row r="171" hidden="1" outlineLevel="1">
      <c r="A171" s="76" t="s">
        <v>453</v>
      </c>
      <c r="B171" s="77">
        <v>23.0</v>
      </c>
      <c r="C171" s="77">
        <v>20.0</v>
      </c>
      <c r="D171" s="64">
        <v>52.119279</v>
      </c>
      <c r="E171" s="64">
        <v>5.385159</v>
      </c>
      <c r="F171" s="78" t="s">
        <v>419</v>
      </c>
      <c r="G171" s="78" t="s">
        <v>420</v>
      </c>
      <c r="H171" s="78" t="s">
        <v>432</v>
      </c>
      <c r="I171" s="79" t="s">
        <v>454</v>
      </c>
      <c r="J171" s="80"/>
      <c r="K171" s="78" t="b">
        <v>1</v>
      </c>
      <c r="L171" s="66" t="str">
        <f t="shared" si="2"/>
        <v/>
      </c>
      <c r="M171" s="81" t="str">
        <f>IFERROR(__xludf.DUMMYFUNCTION("IF(W171=1,IFERROR(IMPORTXML(I171, ""//p[@class='status-date']""), ""Not deployed""),"""")"),"")</f>
        <v/>
      </c>
      <c r="N171" s="82"/>
      <c r="O171" s="66"/>
      <c r="P171" s="66"/>
      <c r="Q171" s="66"/>
      <c r="R171" s="83" t="str">
        <f t="shared" si="3"/>
        <v/>
      </c>
      <c r="S171" s="84" t="str">
        <f t="shared" si="4"/>
        <v/>
      </c>
      <c r="T171" s="85"/>
      <c r="U171" s="82">
        <f t="shared" si="5"/>
        <v>0</v>
      </c>
      <c r="V171" s="66">
        <f t="shared" si="6"/>
        <v>0</v>
      </c>
      <c r="W171" s="81">
        <f t="shared" si="7"/>
        <v>0</v>
      </c>
      <c r="X171" s="82" t="str">
        <f t="shared" si="8"/>
        <v>sverlaan</v>
      </c>
      <c r="Y171" s="86" t="str">
        <f t="shared" si="9"/>
        <v>https://www.munzee.com/m/sverlaan/6555/</v>
      </c>
    </row>
    <row r="172" hidden="1" outlineLevel="1">
      <c r="A172" s="76" t="s">
        <v>455</v>
      </c>
      <c r="B172" s="77">
        <v>23.0</v>
      </c>
      <c r="C172" s="77">
        <v>21.0</v>
      </c>
      <c r="D172" s="64">
        <v>52.119279</v>
      </c>
      <c r="E172" s="64">
        <v>5.385393</v>
      </c>
      <c r="F172" s="78" t="s">
        <v>419</v>
      </c>
      <c r="G172" s="78" t="s">
        <v>420</v>
      </c>
      <c r="H172" s="78" t="s">
        <v>435</v>
      </c>
      <c r="I172" s="79" t="s">
        <v>456</v>
      </c>
      <c r="J172" s="80"/>
      <c r="K172" s="78" t="b">
        <v>1</v>
      </c>
      <c r="L172" s="66" t="str">
        <f t="shared" si="2"/>
        <v/>
      </c>
      <c r="M172" s="81" t="str">
        <f>IFERROR(__xludf.DUMMYFUNCTION("IF(W172=1,IFERROR(IMPORTXML(I172, ""//p[@class='status-date']""), ""Not deployed""),"""")"),"")</f>
        <v/>
      </c>
      <c r="N172" s="82"/>
      <c r="O172" s="66"/>
      <c r="P172" s="66"/>
      <c r="Q172" s="66"/>
      <c r="R172" s="83" t="str">
        <f t="shared" si="3"/>
        <v/>
      </c>
      <c r="S172" s="84" t="str">
        <f t="shared" si="4"/>
        <v/>
      </c>
      <c r="T172" s="85"/>
      <c r="U172" s="82">
        <f t="shared" si="5"/>
        <v>0</v>
      </c>
      <c r="V172" s="66">
        <f t="shared" si="6"/>
        <v>0</v>
      </c>
      <c r="W172" s="81">
        <f t="shared" si="7"/>
        <v>0</v>
      </c>
      <c r="X172" s="82" t="str">
        <f t="shared" si="8"/>
        <v>EmileP68</v>
      </c>
      <c r="Y172" s="86" t="str">
        <f t="shared" si="9"/>
        <v>https://www.munzee.com/m/EmileP68/5398/</v>
      </c>
    </row>
    <row r="173" hidden="1" outlineLevel="1">
      <c r="A173" s="76" t="s">
        <v>457</v>
      </c>
      <c r="B173" s="77">
        <v>23.0</v>
      </c>
      <c r="C173" s="77">
        <v>22.0</v>
      </c>
      <c r="D173" s="64">
        <v>52.119279</v>
      </c>
      <c r="E173" s="64">
        <v>5.385627</v>
      </c>
      <c r="F173" s="78" t="s">
        <v>419</v>
      </c>
      <c r="G173" s="78" t="s">
        <v>420</v>
      </c>
      <c r="H173" s="78" t="s">
        <v>438</v>
      </c>
      <c r="I173" s="79" t="s">
        <v>458</v>
      </c>
      <c r="J173" s="80"/>
      <c r="K173" s="78" t="b">
        <v>1</v>
      </c>
      <c r="L173" s="66" t="str">
        <f t="shared" si="2"/>
        <v/>
      </c>
      <c r="M173" s="81" t="str">
        <f>IFERROR(__xludf.DUMMYFUNCTION("IF(W173=1,IFERROR(IMPORTXML(I173, ""//p[@class='status-date']""), ""Not deployed""),"""")"),"")</f>
        <v/>
      </c>
      <c r="N173" s="82"/>
      <c r="O173" s="66"/>
      <c r="P173" s="66"/>
      <c r="Q173" s="66"/>
      <c r="R173" s="83" t="str">
        <f t="shared" si="3"/>
        <v/>
      </c>
      <c r="S173" s="84" t="str">
        <f t="shared" si="4"/>
        <v/>
      </c>
      <c r="T173" s="85"/>
      <c r="U173" s="82">
        <f t="shared" si="5"/>
        <v>0</v>
      </c>
      <c r="V173" s="66">
        <f t="shared" si="6"/>
        <v>0</v>
      </c>
      <c r="W173" s="81">
        <f t="shared" si="7"/>
        <v>0</v>
      </c>
      <c r="X173" s="82" t="str">
        <f t="shared" si="8"/>
        <v>PawPatrolThomas</v>
      </c>
      <c r="Y173" s="86" t="str">
        <f t="shared" si="9"/>
        <v>https://www.munzee.com/m/PawPatrolThomas/4556/</v>
      </c>
    </row>
    <row r="174" hidden="1" outlineLevel="1">
      <c r="A174" s="76" t="s">
        <v>459</v>
      </c>
      <c r="B174" s="77">
        <v>23.0</v>
      </c>
      <c r="C174" s="77">
        <v>23.0</v>
      </c>
      <c r="D174" s="64">
        <v>52.119279</v>
      </c>
      <c r="E174" s="64">
        <v>5.385861</v>
      </c>
      <c r="F174" s="78" t="s">
        <v>419</v>
      </c>
      <c r="G174" s="78" t="s">
        <v>420</v>
      </c>
      <c r="H174" s="78" t="s">
        <v>432</v>
      </c>
      <c r="I174" s="79" t="s">
        <v>460</v>
      </c>
      <c r="J174" s="80"/>
      <c r="K174" s="78" t="b">
        <v>1</v>
      </c>
      <c r="L174" s="66" t="str">
        <f t="shared" si="2"/>
        <v/>
      </c>
      <c r="M174" s="81" t="str">
        <f>IFERROR(__xludf.DUMMYFUNCTION("IF(W174=1,IFERROR(IMPORTXML(I174, ""//p[@class='status-date']""), ""Not deployed""),"""")"),"")</f>
        <v/>
      </c>
      <c r="N174" s="82"/>
      <c r="O174" s="66"/>
      <c r="P174" s="66"/>
      <c r="Q174" s="66"/>
      <c r="R174" s="83" t="str">
        <f t="shared" si="3"/>
        <v/>
      </c>
      <c r="S174" s="84" t="str">
        <f t="shared" si="4"/>
        <v/>
      </c>
      <c r="T174" s="85"/>
      <c r="U174" s="82">
        <f t="shared" si="5"/>
        <v>0</v>
      </c>
      <c r="V174" s="66">
        <f t="shared" si="6"/>
        <v>0</v>
      </c>
      <c r="W174" s="81">
        <f t="shared" si="7"/>
        <v>0</v>
      </c>
      <c r="X174" s="82" t="str">
        <f t="shared" si="8"/>
        <v>sverlaan</v>
      </c>
      <c r="Y174" s="86" t="str">
        <f t="shared" si="9"/>
        <v>https://www.munzee.com/m/sverlaan/6547/</v>
      </c>
    </row>
    <row r="175" hidden="1" outlineLevel="1">
      <c r="A175" s="76" t="s">
        <v>461</v>
      </c>
      <c r="B175" s="77">
        <v>23.0</v>
      </c>
      <c r="C175" s="77">
        <v>24.0</v>
      </c>
      <c r="D175" s="64">
        <v>52.119279</v>
      </c>
      <c r="E175" s="64">
        <v>5.386095</v>
      </c>
      <c r="F175" s="78" t="s">
        <v>57</v>
      </c>
      <c r="G175" s="78" t="s">
        <v>58</v>
      </c>
      <c r="H175" s="78" t="s">
        <v>435</v>
      </c>
      <c r="I175" s="79" t="s">
        <v>462</v>
      </c>
      <c r="J175" s="80"/>
      <c r="K175" s="78" t="b">
        <v>1</v>
      </c>
      <c r="L175" s="66" t="str">
        <f t="shared" si="2"/>
        <v/>
      </c>
      <c r="M175" s="81" t="str">
        <f>IFERROR(__xludf.DUMMYFUNCTION("IF(W175=1,IFERROR(IMPORTXML(I175, ""//p[@class='status-date']""), ""Not deployed""),"""")"),"")</f>
        <v/>
      </c>
      <c r="N175" s="82"/>
      <c r="O175" s="66"/>
      <c r="P175" s="66"/>
      <c r="Q175" s="66"/>
      <c r="R175" s="83" t="str">
        <f t="shared" si="3"/>
        <v/>
      </c>
      <c r="S175" s="84" t="str">
        <f t="shared" si="4"/>
        <v/>
      </c>
      <c r="T175" s="85"/>
      <c r="U175" s="82">
        <f t="shared" si="5"/>
        <v>0</v>
      </c>
      <c r="V175" s="66">
        <f t="shared" si="6"/>
        <v>0</v>
      </c>
      <c r="W175" s="81">
        <f t="shared" si="7"/>
        <v>0</v>
      </c>
      <c r="X175" s="82" t="str">
        <f t="shared" si="8"/>
        <v>EmileP68</v>
      </c>
      <c r="Y175" s="86" t="str">
        <f t="shared" si="9"/>
        <v>https://www.munzee.com/m/EmileP68/5382/</v>
      </c>
    </row>
    <row r="176" hidden="1" outlineLevel="1">
      <c r="A176" s="76" t="s">
        <v>463</v>
      </c>
      <c r="B176" s="77">
        <v>23.0</v>
      </c>
      <c r="C176" s="77">
        <v>25.0</v>
      </c>
      <c r="D176" s="64">
        <v>52.119279</v>
      </c>
      <c r="E176" s="64">
        <v>5.386329</v>
      </c>
      <c r="F176" s="78" t="s">
        <v>57</v>
      </c>
      <c r="G176" s="78" t="s">
        <v>58</v>
      </c>
      <c r="H176" s="78" t="s">
        <v>438</v>
      </c>
      <c r="I176" s="79" t="s">
        <v>464</v>
      </c>
      <c r="J176" s="80"/>
      <c r="K176" s="78" t="b">
        <v>1</v>
      </c>
      <c r="L176" s="66" t="str">
        <f t="shared" si="2"/>
        <v/>
      </c>
      <c r="M176" s="81" t="str">
        <f>IFERROR(__xludf.DUMMYFUNCTION("IF(W176=1,IFERROR(IMPORTXML(I176, ""//p[@class='status-date']""), ""Not deployed""),"""")"),"")</f>
        <v/>
      </c>
      <c r="N176" s="82"/>
      <c r="O176" s="66"/>
      <c r="P176" s="66"/>
      <c r="Q176" s="66"/>
      <c r="R176" s="83" t="str">
        <f t="shared" si="3"/>
        <v/>
      </c>
      <c r="S176" s="84" t="str">
        <f t="shared" si="4"/>
        <v/>
      </c>
      <c r="T176" s="85"/>
      <c r="U176" s="82">
        <f t="shared" si="5"/>
        <v>0</v>
      </c>
      <c r="V176" s="66">
        <f t="shared" si="6"/>
        <v>0</v>
      </c>
      <c r="W176" s="81">
        <f t="shared" si="7"/>
        <v>0</v>
      </c>
      <c r="X176" s="82" t="str">
        <f t="shared" si="8"/>
        <v>PawPatrolThomas</v>
      </c>
      <c r="Y176" s="86" t="str">
        <f t="shared" si="9"/>
        <v>https://www.munzee.com/m/PawPatrolThomas/4554/</v>
      </c>
    </row>
    <row r="177" hidden="1" outlineLevel="1">
      <c r="A177" s="76" t="s">
        <v>465</v>
      </c>
      <c r="B177" s="77">
        <v>23.0</v>
      </c>
      <c r="C177" s="77">
        <v>26.0</v>
      </c>
      <c r="D177" s="64">
        <v>52.119279</v>
      </c>
      <c r="E177" s="64">
        <v>5.386563</v>
      </c>
      <c r="F177" s="78" t="s">
        <v>415</v>
      </c>
      <c r="G177" s="78" t="s">
        <v>416</v>
      </c>
      <c r="H177" s="66" t="str">
        <f>IF(ISTEXT(X177),X177,"")</f>
        <v>AmezorC</v>
      </c>
      <c r="I177" s="79" t="s">
        <v>466</v>
      </c>
      <c r="J177" s="80"/>
      <c r="K177" s="78" t="b">
        <v>1</v>
      </c>
      <c r="L177" s="66" t="str">
        <f t="shared" si="2"/>
        <v/>
      </c>
      <c r="M177" s="81" t="str">
        <f>IFERROR(__xludf.DUMMYFUNCTION("IF(W177=1,IFERROR(IMPORTXML(I177, ""//p[@class='status-date']""), ""Not deployed""),"""")"),"")</f>
        <v/>
      </c>
      <c r="N177" s="82"/>
      <c r="O177" s="66"/>
      <c r="P177" s="66"/>
      <c r="Q177" s="66"/>
      <c r="R177" s="83" t="str">
        <f t="shared" si="3"/>
        <v/>
      </c>
      <c r="S177" s="84" t="str">
        <f t="shared" si="4"/>
        <v/>
      </c>
      <c r="T177" s="85"/>
      <c r="U177" s="82">
        <f t="shared" si="5"/>
        <v>0</v>
      </c>
      <c r="V177" s="66">
        <f t="shared" si="6"/>
        <v>0</v>
      </c>
      <c r="W177" s="81">
        <f t="shared" si="7"/>
        <v>0</v>
      </c>
      <c r="X177" s="82" t="str">
        <f t="shared" si="8"/>
        <v>AmezorC</v>
      </c>
      <c r="Y177" s="86" t="str">
        <f t="shared" si="9"/>
        <v>https://www.munzee.com/m/AmezorC/13404/</v>
      </c>
    </row>
    <row r="178" hidden="1" outlineLevel="1">
      <c r="A178" s="76" t="s">
        <v>467</v>
      </c>
      <c r="B178" s="77">
        <v>23.0</v>
      </c>
      <c r="C178" s="77">
        <v>27.0</v>
      </c>
      <c r="D178" s="64">
        <v>52.119279</v>
      </c>
      <c r="E178" s="64">
        <v>5.386797</v>
      </c>
      <c r="F178" s="78" t="s">
        <v>394</v>
      </c>
      <c r="G178" s="78" t="s">
        <v>395</v>
      </c>
      <c r="H178" s="78" t="s">
        <v>199</v>
      </c>
      <c r="I178" s="79" t="s">
        <v>468</v>
      </c>
      <c r="J178" s="80"/>
      <c r="K178" s="78" t="b">
        <v>1</v>
      </c>
      <c r="L178" s="66" t="str">
        <f t="shared" si="2"/>
        <v/>
      </c>
      <c r="M178" s="81" t="str">
        <f>IFERROR(__xludf.DUMMYFUNCTION("IF(W178=1,IFERROR(IMPORTXML(I178, ""//p[@class='status-date']""), ""Not deployed""),"""")"),"")</f>
        <v/>
      </c>
      <c r="N178" s="82"/>
      <c r="O178" s="66"/>
      <c r="P178" s="66"/>
      <c r="Q178" s="66"/>
      <c r="R178" s="83" t="str">
        <f t="shared" si="3"/>
        <v/>
      </c>
      <c r="S178" s="84" t="str">
        <f t="shared" si="4"/>
        <v/>
      </c>
      <c r="T178" s="85"/>
      <c r="U178" s="82">
        <f t="shared" si="5"/>
        <v>0</v>
      </c>
      <c r="V178" s="66">
        <f t="shared" si="6"/>
        <v>0</v>
      </c>
      <c r="W178" s="81">
        <f t="shared" si="7"/>
        <v>0</v>
      </c>
      <c r="X178" s="82" t="str">
        <f t="shared" si="8"/>
        <v>Kegelhexe</v>
      </c>
      <c r="Y178" s="86" t="str">
        <f t="shared" si="9"/>
        <v>https://www.munzee.com/m/Kegelhexe/5348/</v>
      </c>
    </row>
    <row r="179" hidden="1" outlineLevel="1">
      <c r="A179" s="76" t="s">
        <v>469</v>
      </c>
      <c r="B179" s="77">
        <v>24.0</v>
      </c>
      <c r="C179" s="77">
        <v>6.0</v>
      </c>
      <c r="D179" s="64">
        <v>52.119136</v>
      </c>
      <c r="E179" s="64">
        <v>5.381882</v>
      </c>
      <c r="F179" s="78" t="s">
        <v>57</v>
      </c>
      <c r="G179" s="78" t="s">
        <v>58</v>
      </c>
      <c r="H179" s="78" t="s">
        <v>94</v>
      </c>
      <c r="I179" s="79" t="s">
        <v>470</v>
      </c>
      <c r="J179" s="80"/>
      <c r="K179" s="78" t="b">
        <v>1</v>
      </c>
      <c r="L179" s="66" t="str">
        <f t="shared" si="2"/>
        <v/>
      </c>
      <c r="M179" s="81" t="str">
        <f>IFERROR(__xludf.DUMMYFUNCTION("IF(W179=1,IFERROR(IMPORTXML(I179, ""//p[@class='status-date']""), ""Not deployed""),"""")"),"")</f>
        <v/>
      </c>
      <c r="N179" s="82"/>
      <c r="O179" s="66"/>
      <c r="P179" s="66"/>
      <c r="Q179" s="66"/>
      <c r="R179" s="83" t="str">
        <f t="shared" si="3"/>
        <v/>
      </c>
      <c r="S179" s="84" t="str">
        <f t="shared" si="4"/>
        <v/>
      </c>
      <c r="T179" s="85"/>
      <c r="U179" s="82">
        <f t="shared" si="5"/>
        <v>0</v>
      </c>
      <c r="V179" s="66">
        <f t="shared" si="6"/>
        <v>0</v>
      </c>
      <c r="W179" s="81">
        <f t="shared" si="7"/>
        <v>0</v>
      </c>
      <c r="X179" s="82" t="str">
        <f t="shared" si="8"/>
        <v>paulus2012</v>
      </c>
      <c r="Y179" s="86" t="str">
        <f t="shared" si="9"/>
        <v>https://www.munzee.com/m/paulus2012/8963/</v>
      </c>
    </row>
    <row r="180" hidden="1" outlineLevel="1">
      <c r="A180" s="76" t="s">
        <v>471</v>
      </c>
      <c r="B180" s="77">
        <v>24.0</v>
      </c>
      <c r="C180" s="77">
        <v>7.0</v>
      </c>
      <c r="D180" s="64">
        <v>52.119136</v>
      </c>
      <c r="E180" s="64">
        <v>5.382116</v>
      </c>
      <c r="F180" s="78" t="s">
        <v>57</v>
      </c>
      <c r="G180" s="78" t="s">
        <v>58</v>
      </c>
      <c r="H180" s="78" t="s">
        <v>472</v>
      </c>
      <c r="I180" s="79" t="s">
        <v>473</v>
      </c>
      <c r="J180" s="80"/>
      <c r="K180" s="78" t="b">
        <v>1</v>
      </c>
      <c r="L180" s="66" t="str">
        <f t="shared" si="2"/>
        <v/>
      </c>
      <c r="M180" s="81" t="str">
        <f>IFERROR(__xludf.DUMMYFUNCTION("IF(W180=1,IFERROR(IMPORTXML(I180, ""//p[@class='status-date']""), ""Not deployed""),"""")"),"")</f>
        <v/>
      </c>
      <c r="N180" s="82"/>
      <c r="O180" s="66"/>
      <c r="P180" s="66"/>
      <c r="Q180" s="66"/>
      <c r="R180" s="83" t="str">
        <f t="shared" si="3"/>
        <v/>
      </c>
      <c r="S180" s="84" t="str">
        <f t="shared" si="4"/>
        <v/>
      </c>
      <c r="T180" s="85"/>
      <c r="U180" s="82">
        <f t="shared" si="5"/>
        <v>0</v>
      </c>
      <c r="V180" s="66">
        <f t="shared" si="6"/>
        <v>0</v>
      </c>
      <c r="W180" s="81">
        <f t="shared" si="7"/>
        <v>0</v>
      </c>
      <c r="X180" s="82" t="str">
        <f t="shared" si="8"/>
        <v>Kiitokurre</v>
      </c>
      <c r="Y180" s="86" t="str">
        <f t="shared" si="9"/>
        <v>https://www.munzee.com/m/Kiitokurre/16934/</v>
      </c>
    </row>
    <row r="181" hidden="1" outlineLevel="1">
      <c r="A181" s="76" t="s">
        <v>474</v>
      </c>
      <c r="B181" s="77">
        <v>24.0</v>
      </c>
      <c r="C181" s="77">
        <v>8.0</v>
      </c>
      <c r="D181" s="64">
        <v>52.119136</v>
      </c>
      <c r="E181" s="64">
        <v>5.38235</v>
      </c>
      <c r="F181" s="78" t="s">
        <v>57</v>
      </c>
      <c r="G181" s="78" t="s">
        <v>58</v>
      </c>
      <c r="H181" s="78" t="s">
        <v>475</v>
      </c>
      <c r="I181" s="79" t="s">
        <v>476</v>
      </c>
      <c r="J181" s="80"/>
      <c r="K181" s="78" t="b">
        <v>1</v>
      </c>
      <c r="L181" s="66" t="str">
        <f t="shared" si="2"/>
        <v/>
      </c>
      <c r="M181" s="81" t="str">
        <f>IFERROR(__xludf.DUMMYFUNCTION("IF(W181=1,IFERROR(IMPORTXML(I181, ""//p[@class='status-date']""), ""Not deployed""),"""")"),"")</f>
        <v/>
      </c>
      <c r="N181" s="82"/>
      <c r="O181" s="66"/>
      <c r="P181" s="66"/>
      <c r="Q181" s="66"/>
      <c r="R181" s="83" t="str">
        <f t="shared" si="3"/>
        <v/>
      </c>
      <c r="S181" s="84" t="str">
        <f t="shared" si="4"/>
        <v/>
      </c>
      <c r="T181" s="85"/>
      <c r="U181" s="82">
        <f t="shared" si="5"/>
        <v>0</v>
      </c>
      <c r="V181" s="66">
        <f t="shared" si="6"/>
        <v>0</v>
      </c>
      <c r="W181" s="81">
        <f t="shared" si="7"/>
        <v>0</v>
      </c>
      <c r="X181" s="82" t="str">
        <f t="shared" si="8"/>
        <v>CopperWings</v>
      </c>
      <c r="Y181" s="86" t="str">
        <f t="shared" si="9"/>
        <v>https://www.munzee.com/m/CopperWings/2503/</v>
      </c>
    </row>
    <row r="182" hidden="1" outlineLevel="1">
      <c r="A182" s="76" t="s">
        <v>477</v>
      </c>
      <c r="B182" s="77">
        <v>24.0</v>
      </c>
      <c r="C182" s="77">
        <v>9.0</v>
      </c>
      <c r="D182" s="64">
        <v>52.119136</v>
      </c>
      <c r="E182" s="64">
        <v>5.382584</v>
      </c>
      <c r="F182" s="78" t="s">
        <v>70</v>
      </c>
      <c r="G182" s="78" t="s">
        <v>71</v>
      </c>
      <c r="H182" s="66" t="str">
        <f t="shared" ref="H182:H183" si="22">IF(ISTEXT(X182),X182,"")</f>
        <v>amundadus</v>
      </c>
      <c r="I182" s="79" t="s">
        <v>478</v>
      </c>
      <c r="J182" s="80"/>
      <c r="K182" s="78" t="b">
        <v>1</v>
      </c>
      <c r="L182" s="66" t="str">
        <f t="shared" si="2"/>
        <v/>
      </c>
      <c r="M182" s="81" t="str">
        <f>IFERROR(__xludf.DUMMYFUNCTION("IF(W182=1,IFERROR(IMPORTXML(I182, ""//p[@class='status-date']""), ""Not deployed""),"""")"),"")</f>
        <v/>
      </c>
      <c r="N182" s="82"/>
      <c r="O182" s="66"/>
      <c r="P182" s="66"/>
      <c r="Q182" s="66"/>
      <c r="R182" s="83" t="str">
        <f t="shared" si="3"/>
        <v/>
      </c>
      <c r="S182" s="84" t="str">
        <f t="shared" si="4"/>
        <v/>
      </c>
      <c r="T182" s="85"/>
      <c r="U182" s="82">
        <f t="shared" si="5"/>
        <v>0</v>
      </c>
      <c r="V182" s="66">
        <f t="shared" si="6"/>
        <v>0</v>
      </c>
      <c r="W182" s="81">
        <f t="shared" si="7"/>
        <v>0</v>
      </c>
      <c r="X182" s="82" t="str">
        <f t="shared" si="8"/>
        <v>amundadus</v>
      </c>
      <c r="Y182" s="86" t="str">
        <f t="shared" si="9"/>
        <v>https://www.munzee.com/m/amundadus/1651/</v>
      </c>
    </row>
    <row r="183" hidden="1" outlineLevel="1">
      <c r="A183" s="76" t="s">
        <v>479</v>
      </c>
      <c r="B183" s="77">
        <v>24.0</v>
      </c>
      <c r="C183" s="77">
        <v>10.0</v>
      </c>
      <c r="D183" s="64">
        <v>52.119136</v>
      </c>
      <c r="E183" s="64">
        <v>5.382818</v>
      </c>
      <c r="F183" s="78" t="s">
        <v>100</v>
      </c>
      <c r="G183" s="78" t="s">
        <v>101</v>
      </c>
      <c r="H183" s="66" t="str">
        <f t="shared" si="22"/>
        <v>5Star</v>
      </c>
      <c r="I183" s="79" t="s">
        <v>480</v>
      </c>
      <c r="J183" s="80"/>
      <c r="K183" s="78" t="b">
        <v>1</v>
      </c>
      <c r="L183" s="66" t="str">
        <f t="shared" si="2"/>
        <v/>
      </c>
      <c r="M183" s="81" t="str">
        <f>IFERROR(__xludf.DUMMYFUNCTION("IF(W183=1,IFERROR(IMPORTXML(I183, ""//p[@class='status-date']""), ""Not deployed""),"""")"),"")</f>
        <v/>
      </c>
      <c r="N183" s="82"/>
      <c r="O183" s="66"/>
      <c r="P183" s="66"/>
      <c r="Q183" s="66"/>
      <c r="R183" s="83" t="str">
        <f t="shared" si="3"/>
        <v/>
      </c>
      <c r="S183" s="84" t="str">
        <f t="shared" si="4"/>
        <v/>
      </c>
      <c r="T183" s="85"/>
      <c r="U183" s="82">
        <f t="shared" si="5"/>
        <v>0</v>
      </c>
      <c r="V183" s="66">
        <f t="shared" si="6"/>
        <v>0</v>
      </c>
      <c r="W183" s="81">
        <f t="shared" si="7"/>
        <v>0</v>
      </c>
      <c r="X183" s="82" t="str">
        <f t="shared" si="8"/>
        <v>5Star</v>
      </c>
      <c r="Y183" s="86" t="str">
        <f t="shared" si="9"/>
        <v>https://www.munzee.com/m/5Star/9304/</v>
      </c>
    </row>
    <row r="184" hidden="1" outlineLevel="1">
      <c r="A184" s="76" t="s">
        <v>481</v>
      </c>
      <c r="B184" s="77">
        <v>24.0</v>
      </c>
      <c r="C184" s="77">
        <v>14.0</v>
      </c>
      <c r="D184" s="64">
        <v>52.119136</v>
      </c>
      <c r="E184" s="64">
        <v>5.383754</v>
      </c>
      <c r="F184" s="78" t="s">
        <v>51</v>
      </c>
      <c r="G184" s="78" t="s">
        <v>52</v>
      </c>
      <c r="H184" s="78" t="s">
        <v>482</v>
      </c>
      <c r="I184" s="79" t="s">
        <v>483</v>
      </c>
      <c r="J184" s="80"/>
      <c r="K184" s="78" t="b">
        <v>1</v>
      </c>
      <c r="L184" s="66" t="str">
        <f t="shared" si="2"/>
        <v/>
      </c>
      <c r="M184" s="81" t="str">
        <f>IFERROR(__xludf.DUMMYFUNCTION("IF(W184=1,IFERROR(IMPORTXML(I184, ""//p[@class='status-date']""), ""Not deployed""),"""")"),"")</f>
        <v/>
      </c>
      <c r="N184" s="82"/>
      <c r="O184" s="66"/>
      <c r="P184" s="66"/>
      <c r="Q184" s="66"/>
      <c r="R184" s="83" t="str">
        <f t="shared" si="3"/>
        <v/>
      </c>
      <c r="S184" s="84" t="str">
        <f t="shared" si="4"/>
        <v/>
      </c>
      <c r="T184" s="85"/>
      <c r="U184" s="82">
        <f t="shared" si="5"/>
        <v>0</v>
      </c>
      <c r="V184" s="66">
        <f t="shared" si="6"/>
        <v>0</v>
      </c>
      <c r="W184" s="81">
        <f t="shared" si="7"/>
        <v>0</v>
      </c>
      <c r="X184" s="82" t="str">
        <f t="shared" si="8"/>
        <v>Chivasloyal</v>
      </c>
      <c r="Y184" s="86" t="str">
        <f t="shared" si="9"/>
        <v>https://www.munzee.com/m/Chivasloyal/4550/</v>
      </c>
    </row>
    <row r="185" hidden="1" outlineLevel="1">
      <c r="A185" s="76" t="s">
        <v>484</v>
      </c>
      <c r="B185" s="77">
        <v>24.0</v>
      </c>
      <c r="C185" s="77">
        <v>15.0</v>
      </c>
      <c r="D185" s="64">
        <v>52.119136</v>
      </c>
      <c r="E185" s="64">
        <v>5.383988</v>
      </c>
      <c r="F185" s="78" t="s">
        <v>415</v>
      </c>
      <c r="G185" s="78" t="s">
        <v>416</v>
      </c>
      <c r="H185" s="78" t="s">
        <v>86</v>
      </c>
      <c r="I185" s="79" t="s">
        <v>485</v>
      </c>
      <c r="J185" s="80"/>
      <c r="K185" s="78" t="b">
        <v>1</v>
      </c>
      <c r="L185" s="66" t="str">
        <f t="shared" si="2"/>
        <v/>
      </c>
      <c r="M185" s="81" t="str">
        <f>IFERROR(__xludf.DUMMYFUNCTION("IF(W185=1,IFERROR(IMPORTXML(I185, ""//p[@class='status-date']""), ""Not deployed""),"""")"),"")</f>
        <v/>
      </c>
      <c r="N185" s="82"/>
      <c r="O185" s="66"/>
      <c r="P185" s="66"/>
      <c r="Q185" s="66"/>
      <c r="R185" s="83" t="str">
        <f t="shared" si="3"/>
        <v/>
      </c>
      <c r="S185" s="84" t="str">
        <f t="shared" si="4"/>
        <v/>
      </c>
      <c r="T185" s="85"/>
      <c r="U185" s="82">
        <f t="shared" si="5"/>
        <v>0</v>
      </c>
      <c r="V185" s="66">
        <f t="shared" si="6"/>
        <v>0</v>
      </c>
      <c r="W185" s="81">
        <f t="shared" si="7"/>
        <v>0</v>
      </c>
      <c r="X185" s="82" t="str">
        <f t="shared" si="8"/>
        <v>Alroso</v>
      </c>
      <c r="Y185" s="86" t="str">
        <f t="shared" si="9"/>
        <v>https://www.munzee.com/m/Alroso/2585/</v>
      </c>
    </row>
    <row r="186" hidden="1" outlineLevel="1">
      <c r="A186" s="76" t="s">
        <v>486</v>
      </c>
      <c r="B186" s="77">
        <v>24.0</v>
      </c>
      <c r="C186" s="77">
        <v>16.0</v>
      </c>
      <c r="D186" s="64">
        <v>52.119136</v>
      </c>
      <c r="E186" s="64">
        <v>5.384222</v>
      </c>
      <c r="F186" s="78" t="s">
        <v>487</v>
      </c>
      <c r="G186" s="78" t="s">
        <v>488</v>
      </c>
      <c r="H186" s="78" t="s">
        <v>489</v>
      </c>
      <c r="I186" s="79" t="s">
        <v>490</v>
      </c>
      <c r="J186" s="80"/>
      <c r="K186" s="78" t="b">
        <v>1</v>
      </c>
      <c r="L186" s="66" t="str">
        <f t="shared" si="2"/>
        <v/>
      </c>
      <c r="M186" s="81" t="str">
        <f>IFERROR(__xludf.DUMMYFUNCTION("IF(W186=1,IFERROR(IMPORTXML(I186, ""//p[@class='status-date']""), ""Not deployed""),"""")"),"")</f>
        <v/>
      </c>
      <c r="N186" s="82"/>
      <c r="O186" s="66"/>
      <c r="P186" s="66"/>
      <c r="Q186" s="66"/>
      <c r="R186" s="83" t="str">
        <f t="shared" si="3"/>
        <v/>
      </c>
      <c r="S186" s="84" t="str">
        <f t="shared" si="4"/>
        <v/>
      </c>
      <c r="T186" s="85"/>
      <c r="U186" s="82">
        <f t="shared" si="5"/>
        <v>0</v>
      </c>
      <c r="V186" s="66">
        <f t="shared" si="6"/>
        <v>0</v>
      </c>
      <c r="W186" s="81">
        <f t="shared" si="7"/>
        <v>0</v>
      </c>
      <c r="X186" s="82" t="str">
        <f t="shared" si="8"/>
        <v>BituX</v>
      </c>
      <c r="Y186" s="86" t="str">
        <f t="shared" si="9"/>
        <v>https://www.munzee.com/m/BituX/15351/</v>
      </c>
    </row>
    <row r="187" hidden="1" outlineLevel="1">
      <c r="A187" s="76" t="s">
        <v>491</v>
      </c>
      <c r="B187" s="77">
        <v>24.0</v>
      </c>
      <c r="C187" s="77">
        <v>17.0</v>
      </c>
      <c r="D187" s="64">
        <v>52.119136</v>
      </c>
      <c r="E187" s="64">
        <v>5.384457</v>
      </c>
      <c r="F187" s="78" t="s">
        <v>419</v>
      </c>
      <c r="G187" s="78" t="s">
        <v>420</v>
      </c>
      <c r="H187" s="78" t="s">
        <v>492</v>
      </c>
      <c r="I187" s="79" t="s">
        <v>493</v>
      </c>
      <c r="J187" s="80"/>
      <c r="K187" s="78" t="b">
        <v>1</v>
      </c>
      <c r="L187" s="66" t="str">
        <f t="shared" si="2"/>
        <v/>
      </c>
      <c r="M187" s="81" t="str">
        <f>IFERROR(__xludf.DUMMYFUNCTION("IF(W187=1,IFERROR(IMPORTXML(I187, ""//p[@class='status-date']""), ""Not deployed""),"""")"),"")</f>
        <v/>
      </c>
      <c r="N187" s="82"/>
      <c r="O187" s="66"/>
      <c r="P187" s="66"/>
      <c r="Q187" s="66"/>
      <c r="R187" s="83" t="str">
        <f t="shared" si="3"/>
        <v/>
      </c>
      <c r="S187" s="84" t="str">
        <f t="shared" si="4"/>
        <v/>
      </c>
      <c r="T187" s="85"/>
      <c r="U187" s="82">
        <f t="shared" si="5"/>
        <v>0</v>
      </c>
      <c r="V187" s="66">
        <f t="shared" si="6"/>
        <v>0</v>
      </c>
      <c r="W187" s="81">
        <f t="shared" si="7"/>
        <v>0</v>
      </c>
      <c r="X187" s="82" t="str">
        <f t="shared" si="8"/>
        <v>struwel</v>
      </c>
      <c r="Y187" s="86" t="str">
        <f t="shared" si="9"/>
        <v>https://www.munzee.com/m/struwel/22368/</v>
      </c>
    </row>
    <row r="188" hidden="1" outlineLevel="1">
      <c r="A188" s="76" t="s">
        <v>494</v>
      </c>
      <c r="B188" s="77">
        <v>24.0</v>
      </c>
      <c r="C188" s="77">
        <v>18.0</v>
      </c>
      <c r="D188" s="64">
        <v>52.119136</v>
      </c>
      <c r="E188" s="64">
        <v>5.384691</v>
      </c>
      <c r="F188" s="78" t="s">
        <v>419</v>
      </c>
      <c r="G188" s="78" t="s">
        <v>420</v>
      </c>
      <c r="H188" s="78" t="s">
        <v>495</v>
      </c>
      <c r="I188" s="79" t="s">
        <v>496</v>
      </c>
      <c r="J188" s="80"/>
      <c r="K188" s="78" t="b">
        <v>1</v>
      </c>
      <c r="L188" s="66" t="str">
        <f t="shared" si="2"/>
        <v/>
      </c>
      <c r="M188" s="81" t="str">
        <f>IFERROR(__xludf.DUMMYFUNCTION("IF(W188=1,IFERROR(IMPORTXML(I188, ""//p[@class='status-date']""), ""Not deployed""),"""")"),"")</f>
        <v/>
      </c>
      <c r="N188" s="82"/>
      <c r="O188" s="66"/>
      <c r="P188" s="66"/>
      <c r="Q188" s="66"/>
      <c r="R188" s="83" t="str">
        <f t="shared" si="3"/>
        <v/>
      </c>
      <c r="S188" s="84" t="str">
        <f t="shared" si="4"/>
        <v/>
      </c>
      <c r="T188" s="85"/>
      <c r="U188" s="82">
        <f t="shared" si="5"/>
        <v>0</v>
      </c>
      <c r="V188" s="66">
        <f t="shared" si="6"/>
        <v>0</v>
      </c>
      <c r="W188" s="81">
        <f t="shared" si="7"/>
        <v>0</v>
      </c>
      <c r="X188" s="82" t="str">
        <f t="shared" si="8"/>
        <v>piesciuk</v>
      </c>
      <c r="Y188" s="86" t="str">
        <f t="shared" si="9"/>
        <v>https://www.munzee.com/m/piesciuk/2056/</v>
      </c>
    </row>
    <row r="189" hidden="1" outlineLevel="1">
      <c r="A189" s="76" t="s">
        <v>497</v>
      </c>
      <c r="B189" s="77">
        <v>24.0</v>
      </c>
      <c r="C189" s="77">
        <v>19.0</v>
      </c>
      <c r="D189" s="64">
        <v>52.119136</v>
      </c>
      <c r="E189" s="64">
        <v>5.384925</v>
      </c>
      <c r="F189" s="78" t="s">
        <v>419</v>
      </c>
      <c r="G189" s="78" t="s">
        <v>420</v>
      </c>
      <c r="H189" s="66" t="str">
        <f t="shared" ref="H189:H190" si="23">IF(ISTEXT(X189),X189,"")</f>
        <v>Jeffeth</v>
      </c>
      <c r="I189" s="79" t="s">
        <v>498</v>
      </c>
      <c r="J189" s="80"/>
      <c r="K189" s="78" t="b">
        <v>1</v>
      </c>
      <c r="L189" s="66" t="str">
        <f t="shared" si="2"/>
        <v/>
      </c>
      <c r="M189" s="81" t="str">
        <f>IFERROR(__xludf.DUMMYFUNCTION("IF(W189=1,IFERROR(IMPORTXML(I189, ""//p[@class='status-date']""), ""Not deployed""),"""")"),"")</f>
        <v/>
      </c>
      <c r="N189" s="82"/>
      <c r="O189" s="66"/>
      <c r="P189" s="66"/>
      <c r="Q189" s="66"/>
      <c r="R189" s="83" t="str">
        <f t="shared" si="3"/>
        <v/>
      </c>
      <c r="S189" s="84" t="str">
        <f t="shared" si="4"/>
        <v/>
      </c>
      <c r="T189" s="85"/>
      <c r="U189" s="82">
        <f t="shared" si="5"/>
        <v>0</v>
      </c>
      <c r="V189" s="66">
        <f t="shared" si="6"/>
        <v>0</v>
      </c>
      <c r="W189" s="81">
        <f t="shared" si="7"/>
        <v>0</v>
      </c>
      <c r="X189" s="82" t="str">
        <f t="shared" si="8"/>
        <v>Jeffeth</v>
      </c>
      <c r="Y189" s="86" t="str">
        <f t="shared" si="9"/>
        <v>https://www.munzee.com/m/Jeffeth/10387/</v>
      </c>
    </row>
    <row r="190" hidden="1" outlineLevel="1">
      <c r="A190" s="76" t="s">
        <v>499</v>
      </c>
      <c r="B190" s="77">
        <v>24.0</v>
      </c>
      <c r="C190" s="77">
        <v>20.0</v>
      </c>
      <c r="D190" s="64">
        <v>52.119136</v>
      </c>
      <c r="E190" s="64">
        <v>5.385159</v>
      </c>
      <c r="F190" s="78" t="s">
        <v>419</v>
      </c>
      <c r="G190" s="78" t="s">
        <v>420</v>
      </c>
      <c r="H190" s="66" t="str">
        <f t="shared" si="23"/>
        <v>claireth</v>
      </c>
      <c r="I190" s="79" t="s">
        <v>500</v>
      </c>
      <c r="J190" s="80"/>
      <c r="K190" s="78" t="b">
        <v>1</v>
      </c>
      <c r="L190" s="66" t="str">
        <f t="shared" si="2"/>
        <v/>
      </c>
      <c r="M190" s="81" t="str">
        <f>IFERROR(__xludf.DUMMYFUNCTION("IF(W190=1,IFERROR(IMPORTXML(I190, ""//p[@class='status-date']""), ""Not deployed""),"""")"),"")</f>
        <v/>
      </c>
      <c r="N190" s="82"/>
      <c r="O190" s="66"/>
      <c r="P190" s="66"/>
      <c r="Q190" s="66"/>
      <c r="R190" s="83" t="str">
        <f t="shared" si="3"/>
        <v/>
      </c>
      <c r="S190" s="84" t="str">
        <f t="shared" si="4"/>
        <v/>
      </c>
      <c r="T190" s="85"/>
      <c r="U190" s="82">
        <f t="shared" si="5"/>
        <v>0</v>
      </c>
      <c r="V190" s="66">
        <f t="shared" si="6"/>
        <v>0</v>
      </c>
      <c r="W190" s="81">
        <f t="shared" si="7"/>
        <v>0</v>
      </c>
      <c r="X190" s="82" t="str">
        <f t="shared" si="8"/>
        <v>claireth</v>
      </c>
      <c r="Y190" s="86" t="str">
        <f t="shared" si="9"/>
        <v>https://www.munzee.com/m/claireth/1908/</v>
      </c>
    </row>
    <row r="191" hidden="1" outlineLevel="1">
      <c r="A191" s="76" t="s">
        <v>501</v>
      </c>
      <c r="B191" s="77">
        <v>24.0</v>
      </c>
      <c r="C191" s="77">
        <v>21.0</v>
      </c>
      <c r="D191" s="64">
        <v>52.119136</v>
      </c>
      <c r="E191" s="64">
        <v>5.385393</v>
      </c>
      <c r="F191" s="78" t="s">
        <v>487</v>
      </c>
      <c r="G191" s="78" t="s">
        <v>488</v>
      </c>
      <c r="H191" s="78" t="s">
        <v>502</v>
      </c>
      <c r="I191" s="79" t="s">
        <v>503</v>
      </c>
      <c r="J191" s="80"/>
      <c r="K191" s="78" t="b">
        <v>1</v>
      </c>
      <c r="L191" s="66" t="str">
        <f t="shared" si="2"/>
        <v/>
      </c>
      <c r="M191" s="81" t="str">
        <f>IFERROR(__xludf.DUMMYFUNCTION("IF(W191=1,IFERROR(IMPORTXML(I191, ""//p[@class='status-date']""), ""Not deployed""),"""")"),"")</f>
        <v/>
      </c>
      <c r="N191" s="82"/>
      <c r="O191" s="66"/>
      <c r="P191" s="66"/>
      <c r="Q191" s="66"/>
      <c r="R191" s="83" t="str">
        <f t="shared" si="3"/>
        <v/>
      </c>
      <c r="S191" s="84" t="str">
        <f t="shared" si="4"/>
        <v/>
      </c>
      <c r="T191" s="85"/>
      <c r="U191" s="82">
        <f t="shared" si="5"/>
        <v>0</v>
      </c>
      <c r="V191" s="66">
        <f t="shared" si="6"/>
        <v>0</v>
      </c>
      <c r="W191" s="81">
        <f t="shared" si="7"/>
        <v>0</v>
      </c>
      <c r="X191" s="82" t="str">
        <f t="shared" si="8"/>
        <v>Cinnamons</v>
      </c>
      <c r="Y191" s="86" t="str">
        <f t="shared" si="9"/>
        <v>https://www.munzee.com/m/Cinnamons/4200/</v>
      </c>
    </row>
    <row r="192" hidden="1" outlineLevel="1">
      <c r="A192" s="76" t="s">
        <v>504</v>
      </c>
      <c r="B192" s="77">
        <v>24.0</v>
      </c>
      <c r="C192" s="77">
        <v>22.0</v>
      </c>
      <c r="D192" s="64">
        <v>52.119136</v>
      </c>
      <c r="E192" s="64">
        <v>5.385627</v>
      </c>
      <c r="F192" s="78" t="s">
        <v>57</v>
      </c>
      <c r="G192" s="78" t="s">
        <v>58</v>
      </c>
      <c r="H192" s="78" t="s">
        <v>505</v>
      </c>
      <c r="I192" s="79" t="s">
        <v>506</v>
      </c>
      <c r="J192" s="80"/>
      <c r="K192" s="78" t="b">
        <v>1</v>
      </c>
      <c r="L192" s="66" t="str">
        <f t="shared" si="2"/>
        <v/>
      </c>
      <c r="M192" s="81" t="str">
        <f>IFERROR(__xludf.DUMMYFUNCTION("IF(W192=1,IFERROR(IMPORTXML(I192, ""//p[@class='status-date']""), ""Not deployed""),"""")"),"")</f>
        <v/>
      </c>
      <c r="N192" s="82"/>
      <c r="O192" s="66"/>
      <c r="P192" s="66"/>
      <c r="Q192" s="66"/>
      <c r="R192" s="83" t="str">
        <f t="shared" si="3"/>
        <v/>
      </c>
      <c r="S192" s="84" t="str">
        <f t="shared" si="4"/>
        <v/>
      </c>
      <c r="T192" s="85"/>
      <c r="U192" s="82">
        <f t="shared" si="5"/>
        <v>0</v>
      </c>
      <c r="V192" s="66">
        <f t="shared" si="6"/>
        <v>0</v>
      </c>
      <c r="W192" s="81">
        <f t="shared" si="7"/>
        <v>0</v>
      </c>
      <c r="X192" s="82" t="str">
        <f t="shared" si="8"/>
        <v>Leatherbottom</v>
      </c>
      <c r="Y192" s="86" t="str">
        <f t="shared" si="9"/>
        <v>https://www.munzee.com/m/Leatherbottom/3771/</v>
      </c>
    </row>
    <row r="193" hidden="1" outlineLevel="1">
      <c r="A193" s="76" t="s">
        <v>507</v>
      </c>
      <c r="B193" s="77">
        <v>24.0</v>
      </c>
      <c r="C193" s="77">
        <v>23.0</v>
      </c>
      <c r="D193" s="64">
        <v>52.119136</v>
      </c>
      <c r="E193" s="64">
        <v>5.385861</v>
      </c>
      <c r="F193" s="78" t="s">
        <v>57</v>
      </c>
      <c r="G193" s="78" t="s">
        <v>58</v>
      </c>
      <c r="H193" s="66" t="str">
        <f>IF(ISTEXT(X193),X193,"")</f>
        <v>AmezorC</v>
      </c>
      <c r="I193" s="79" t="s">
        <v>508</v>
      </c>
      <c r="J193" s="80"/>
      <c r="K193" s="78" t="b">
        <v>1</v>
      </c>
      <c r="L193" s="66" t="str">
        <f t="shared" si="2"/>
        <v/>
      </c>
      <c r="M193" s="81" t="str">
        <f>IFERROR(__xludf.DUMMYFUNCTION("IF(W193=1,IFERROR(IMPORTXML(I193, ""//p[@class='status-date']""), ""Not deployed""),"""")"),"")</f>
        <v/>
      </c>
      <c r="N193" s="82"/>
      <c r="O193" s="66"/>
      <c r="P193" s="66"/>
      <c r="Q193" s="66"/>
      <c r="R193" s="83" t="str">
        <f t="shared" si="3"/>
        <v/>
      </c>
      <c r="S193" s="84" t="str">
        <f t="shared" si="4"/>
        <v/>
      </c>
      <c r="T193" s="85"/>
      <c r="U193" s="82">
        <f t="shared" si="5"/>
        <v>0</v>
      </c>
      <c r="V193" s="66">
        <f t="shared" si="6"/>
        <v>0</v>
      </c>
      <c r="W193" s="81">
        <f t="shared" si="7"/>
        <v>0</v>
      </c>
      <c r="X193" s="82" t="str">
        <f t="shared" si="8"/>
        <v>AmezorC</v>
      </c>
      <c r="Y193" s="86" t="str">
        <f t="shared" si="9"/>
        <v>https://www.munzee.com/m/AmezorC/13403/</v>
      </c>
    </row>
    <row r="194" hidden="1" outlineLevel="1">
      <c r="A194" s="76" t="s">
        <v>509</v>
      </c>
      <c r="B194" s="77">
        <v>24.0</v>
      </c>
      <c r="C194" s="77">
        <v>24.0</v>
      </c>
      <c r="D194" s="64">
        <v>52.119136</v>
      </c>
      <c r="E194" s="64">
        <v>5.386095</v>
      </c>
      <c r="F194" s="78" t="s">
        <v>57</v>
      </c>
      <c r="G194" s="78" t="s">
        <v>58</v>
      </c>
      <c r="H194" s="78" t="s">
        <v>323</v>
      </c>
      <c r="I194" s="79" t="s">
        <v>510</v>
      </c>
      <c r="J194" s="80"/>
      <c r="K194" s="78" t="b">
        <v>1</v>
      </c>
      <c r="L194" s="66" t="str">
        <f t="shared" si="2"/>
        <v/>
      </c>
      <c r="M194" s="81" t="str">
        <f>IFERROR(__xludf.DUMMYFUNCTION("IF(W194=1,IFERROR(IMPORTXML(I194, ""//p[@class='status-date']""), ""Not deployed""),"""")"),"")</f>
        <v/>
      </c>
      <c r="N194" s="82"/>
      <c r="O194" s="66"/>
      <c r="P194" s="66"/>
      <c r="Q194" s="66"/>
      <c r="R194" s="83" t="str">
        <f t="shared" si="3"/>
        <v/>
      </c>
      <c r="S194" s="84" t="str">
        <f t="shared" si="4"/>
        <v/>
      </c>
      <c r="T194" s="85"/>
      <c r="U194" s="82">
        <f t="shared" si="5"/>
        <v>0</v>
      </c>
      <c r="V194" s="66">
        <f t="shared" si="6"/>
        <v>0</v>
      </c>
      <c r="W194" s="81">
        <f t="shared" si="7"/>
        <v>0</v>
      </c>
      <c r="X194" s="82" t="str">
        <f t="shared" si="8"/>
        <v>theLuckyFinders</v>
      </c>
      <c r="Y194" s="86" t="str">
        <f t="shared" si="9"/>
        <v>https://www.munzee.com/m/theLuckyFinders/4687/</v>
      </c>
    </row>
    <row r="195" hidden="1" outlineLevel="1">
      <c r="A195" s="76" t="s">
        <v>511</v>
      </c>
      <c r="B195" s="77">
        <v>24.0</v>
      </c>
      <c r="C195" s="77">
        <v>25.0</v>
      </c>
      <c r="D195" s="64">
        <v>52.119136</v>
      </c>
      <c r="E195" s="64">
        <v>5.386329</v>
      </c>
      <c r="F195" s="78" t="s">
        <v>57</v>
      </c>
      <c r="G195" s="78" t="s">
        <v>58</v>
      </c>
      <c r="H195" s="78" t="s">
        <v>512</v>
      </c>
      <c r="I195" s="79" t="s">
        <v>513</v>
      </c>
      <c r="J195" s="80"/>
      <c r="K195" s="78" t="b">
        <v>1</v>
      </c>
      <c r="L195" s="66" t="str">
        <f t="shared" si="2"/>
        <v/>
      </c>
      <c r="M195" s="81" t="str">
        <f>IFERROR(__xludf.DUMMYFUNCTION("IF(W195=1,IFERROR(IMPORTXML(I195, ""//p[@class='status-date']""), ""Not deployed""),"""")"),"")</f>
        <v/>
      </c>
      <c r="N195" s="82"/>
      <c r="O195" s="66"/>
      <c r="P195" s="66"/>
      <c r="Q195" s="66"/>
      <c r="R195" s="83" t="str">
        <f t="shared" si="3"/>
        <v/>
      </c>
      <c r="S195" s="84" t="str">
        <f t="shared" si="4"/>
        <v/>
      </c>
      <c r="T195" s="85"/>
      <c r="U195" s="82">
        <f t="shared" si="5"/>
        <v>0</v>
      </c>
      <c r="V195" s="66">
        <f t="shared" si="6"/>
        <v>0</v>
      </c>
      <c r="W195" s="81">
        <f t="shared" si="7"/>
        <v>0</v>
      </c>
      <c r="X195" s="82" t="str">
        <f t="shared" si="8"/>
        <v>Jafo43</v>
      </c>
      <c r="Y195" s="86" t="str">
        <f t="shared" si="9"/>
        <v>https://www.munzee.com/m/Jafo43/33598/</v>
      </c>
    </row>
    <row r="196" hidden="1" outlineLevel="1">
      <c r="A196" s="76" t="s">
        <v>514</v>
      </c>
      <c r="B196" s="77">
        <v>24.0</v>
      </c>
      <c r="C196" s="77">
        <v>26.0</v>
      </c>
      <c r="D196" s="64">
        <v>52.119136</v>
      </c>
      <c r="E196" s="64">
        <v>5.386563</v>
      </c>
      <c r="F196" s="78" t="s">
        <v>57</v>
      </c>
      <c r="G196" s="78" t="s">
        <v>58</v>
      </c>
      <c r="H196" s="78" t="s">
        <v>515</v>
      </c>
      <c r="I196" s="79" t="s">
        <v>516</v>
      </c>
      <c r="J196" s="80"/>
      <c r="K196" s="78" t="b">
        <v>1</v>
      </c>
      <c r="L196" s="66" t="str">
        <f t="shared" si="2"/>
        <v/>
      </c>
      <c r="M196" s="81" t="str">
        <f>IFERROR(__xludf.DUMMYFUNCTION("IF(W196=1,IFERROR(IMPORTXML(I196, ""//p[@class='status-date']""), ""Not deployed""),"""")"),"")</f>
        <v/>
      </c>
      <c r="N196" s="82"/>
      <c r="O196" s="66"/>
      <c r="P196" s="66"/>
      <c r="Q196" s="66"/>
      <c r="R196" s="83" t="str">
        <f t="shared" si="3"/>
        <v/>
      </c>
      <c r="S196" s="84" t="str">
        <f t="shared" si="4"/>
        <v/>
      </c>
      <c r="T196" s="85"/>
      <c r="U196" s="82">
        <f t="shared" si="5"/>
        <v>0</v>
      </c>
      <c r="V196" s="66">
        <f t="shared" si="6"/>
        <v>0</v>
      </c>
      <c r="W196" s="81">
        <f t="shared" si="7"/>
        <v>0</v>
      </c>
      <c r="X196" s="82" t="str">
        <f t="shared" si="8"/>
        <v>sagabi</v>
      </c>
      <c r="Y196" s="86" t="str">
        <f t="shared" si="9"/>
        <v>https://www.munzee.com/m/sagabi/13148/</v>
      </c>
    </row>
    <row r="197" hidden="1" outlineLevel="1">
      <c r="A197" s="76" t="s">
        <v>517</v>
      </c>
      <c r="B197" s="77">
        <v>24.0</v>
      </c>
      <c r="C197" s="77">
        <v>27.0</v>
      </c>
      <c r="D197" s="64">
        <v>52.119136</v>
      </c>
      <c r="E197" s="64">
        <v>5.386797</v>
      </c>
      <c r="F197" s="78" t="s">
        <v>487</v>
      </c>
      <c r="G197" s="78" t="s">
        <v>488</v>
      </c>
      <c r="H197" s="78" t="s">
        <v>518</v>
      </c>
      <c r="I197" s="79" t="s">
        <v>519</v>
      </c>
      <c r="J197" s="80"/>
      <c r="K197" s="78" t="b">
        <v>1</v>
      </c>
      <c r="L197" s="66" t="str">
        <f t="shared" si="2"/>
        <v/>
      </c>
      <c r="M197" s="81" t="str">
        <f>IFERROR(__xludf.DUMMYFUNCTION("IF(W197=1,IFERROR(IMPORTXML(I197, ""//p[@class='status-date']""), ""Not deployed""),"""")"),"")</f>
        <v/>
      </c>
      <c r="N197" s="82"/>
      <c r="O197" s="66"/>
      <c r="P197" s="66"/>
      <c r="Q197" s="66"/>
      <c r="R197" s="83" t="str">
        <f t="shared" si="3"/>
        <v/>
      </c>
      <c r="S197" s="84" t="str">
        <f t="shared" si="4"/>
        <v/>
      </c>
      <c r="T197" s="85"/>
      <c r="U197" s="82">
        <f t="shared" si="5"/>
        <v>0</v>
      </c>
      <c r="V197" s="66">
        <f t="shared" si="6"/>
        <v>0</v>
      </c>
      <c r="W197" s="81">
        <f t="shared" si="7"/>
        <v>0</v>
      </c>
      <c r="X197" s="82" t="str">
        <f t="shared" si="8"/>
        <v>ChickenRun</v>
      </c>
      <c r="Y197" s="86" t="str">
        <f t="shared" si="9"/>
        <v>https://www.munzee.com/m/ChickenRun/22555/</v>
      </c>
    </row>
    <row r="198" hidden="1" outlineLevel="1">
      <c r="A198" s="76" t="s">
        <v>520</v>
      </c>
      <c r="B198" s="77">
        <v>24.0</v>
      </c>
      <c r="C198" s="77">
        <v>28.0</v>
      </c>
      <c r="D198" s="64">
        <v>52.119136</v>
      </c>
      <c r="E198" s="64">
        <v>5.387031</v>
      </c>
      <c r="F198" s="78" t="s">
        <v>57</v>
      </c>
      <c r="G198" s="78" t="s">
        <v>58</v>
      </c>
      <c r="H198" s="78" t="s">
        <v>323</v>
      </c>
      <c r="I198" s="79" t="s">
        <v>521</v>
      </c>
      <c r="J198" s="80"/>
      <c r="K198" s="78" t="b">
        <v>1</v>
      </c>
      <c r="L198" s="66" t="str">
        <f t="shared" si="2"/>
        <v/>
      </c>
      <c r="M198" s="81" t="str">
        <f>IFERROR(__xludf.DUMMYFUNCTION("IF(W198=1,IFERROR(IMPORTXML(I198, ""//p[@class='status-date']""), ""Not deployed""),"""")"),"")</f>
        <v/>
      </c>
      <c r="N198" s="82"/>
      <c r="O198" s="66"/>
      <c r="P198" s="66"/>
      <c r="Q198" s="66"/>
      <c r="R198" s="83" t="str">
        <f t="shared" si="3"/>
        <v/>
      </c>
      <c r="S198" s="84" t="str">
        <f t="shared" si="4"/>
        <v/>
      </c>
      <c r="T198" s="85"/>
      <c r="U198" s="82">
        <f t="shared" si="5"/>
        <v>0</v>
      </c>
      <c r="V198" s="66">
        <f t="shared" si="6"/>
        <v>0</v>
      </c>
      <c r="W198" s="81">
        <f t="shared" si="7"/>
        <v>0</v>
      </c>
      <c r="X198" s="82" t="str">
        <f t="shared" si="8"/>
        <v>theLuckyFinders</v>
      </c>
      <c r="Y198" s="86" t="str">
        <f t="shared" si="9"/>
        <v>https://www.munzee.com/m/theLuckyFinders/4681/</v>
      </c>
    </row>
    <row r="199" hidden="1" outlineLevel="1">
      <c r="A199" s="76" t="s">
        <v>522</v>
      </c>
      <c r="B199" s="77">
        <v>25.0</v>
      </c>
      <c r="C199" s="77">
        <v>6.0</v>
      </c>
      <c r="D199" s="64">
        <v>52.118992</v>
      </c>
      <c r="E199" s="64">
        <v>5.381882</v>
      </c>
      <c r="F199" s="78" t="s">
        <v>57</v>
      </c>
      <c r="G199" s="78" t="s">
        <v>58</v>
      </c>
      <c r="H199" s="66" t="str">
        <f>IF(ISTEXT(X199),X199,"")</f>
        <v>Rhaegal</v>
      </c>
      <c r="I199" s="79" t="s">
        <v>523</v>
      </c>
      <c r="J199" s="80"/>
      <c r="K199" s="78" t="b">
        <v>1</v>
      </c>
      <c r="L199" s="66" t="str">
        <f t="shared" si="2"/>
        <v/>
      </c>
      <c r="M199" s="81" t="str">
        <f>IFERROR(__xludf.DUMMYFUNCTION("IF(W199=1,IFERROR(IMPORTXML(I199, ""//p[@class='status-date']""), ""Not deployed""),"""")"),"")</f>
        <v/>
      </c>
      <c r="N199" s="82"/>
      <c r="O199" s="66"/>
      <c r="P199" s="66"/>
      <c r="Q199" s="66"/>
      <c r="R199" s="83" t="str">
        <f t="shared" si="3"/>
        <v/>
      </c>
      <c r="S199" s="84" t="str">
        <f t="shared" si="4"/>
        <v/>
      </c>
      <c r="T199" s="85"/>
      <c r="U199" s="82">
        <f t="shared" si="5"/>
        <v>0</v>
      </c>
      <c r="V199" s="66">
        <f t="shared" si="6"/>
        <v>0</v>
      </c>
      <c r="W199" s="81">
        <f t="shared" si="7"/>
        <v>0</v>
      </c>
      <c r="X199" s="82" t="str">
        <f t="shared" si="8"/>
        <v>Rhaegal</v>
      </c>
      <c r="Y199" s="86" t="str">
        <f t="shared" si="9"/>
        <v>https://www.munzee.com/m/Rhaegal/6625/</v>
      </c>
    </row>
    <row r="200" hidden="1" outlineLevel="1">
      <c r="A200" s="76" t="s">
        <v>524</v>
      </c>
      <c r="B200" s="77">
        <v>25.0</v>
      </c>
      <c r="C200" s="77">
        <v>7.0</v>
      </c>
      <c r="D200" s="64">
        <v>52.118992</v>
      </c>
      <c r="E200" s="64">
        <v>5.382116</v>
      </c>
      <c r="F200" s="78" t="s">
        <v>57</v>
      </c>
      <c r="G200" s="78" t="s">
        <v>58</v>
      </c>
      <c r="H200" s="78" t="str">
        <f>IF(X200=" ",X200,'Flamingo @ DenTreek'!H198)</f>
        <v>Trappertje</v>
      </c>
      <c r="I200" s="79" t="str">
        <f>'Flamingo @ DenTreek'!I198</f>
        <v>https://www.munzee.com/m/Trappertje/12129/</v>
      </c>
      <c r="J200" s="80"/>
      <c r="K200" s="78" t="b">
        <v>1</v>
      </c>
      <c r="L200" s="66" t="str">
        <f t="shared" si="2"/>
        <v/>
      </c>
      <c r="M200" s="81" t="str">
        <f>IFERROR(__xludf.DUMMYFUNCTION("IF(W200=1,IFERROR(IMPORTXML(I200, ""//p[@class='status-date']""), ""Not deployed""),"""")"),"")</f>
        <v/>
      </c>
      <c r="N200" s="82"/>
      <c r="O200" s="66"/>
      <c r="P200" s="66"/>
      <c r="Q200" s="66"/>
      <c r="R200" s="83" t="str">
        <f t="shared" si="3"/>
        <v/>
      </c>
      <c r="S200" s="84" t="str">
        <f t="shared" si="4"/>
        <v/>
      </c>
      <c r="T200" s="85"/>
      <c r="U200" s="82">
        <f t="shared" si="5"/>
        <v>0</v>
      </c>
      <c r="V200" s="66">
        <f t="shared" si="6"/>
        <v>0</v>
      </c>
      <c r="W200" s="81">
        <f t="shared" si="7"/>
        <v>0</v>
      </c>
      <c r="X200" s="82" t="str">
        <f t="shared" si="8"/>
        <v>Trappertje</v>
      </c>
      <c r="Y200" s="86" t="str">
        <f t="shared" si="9"/>
        <v>https://www.munzee.com/m/Trappertje/12129/</v>
      </c>
    </row>
    <row r="201" hidden="1" outlineLevel="1">
      <c r="A201" s="76" t="s">
        <v>525</v>
      </c>
      <c r="B201" s="77">
        <v>25.0</v>
      </c>
      <c r="C201" s="77">
        <v>8.0</v>
      </c>
      <c r="D201" s="64">
        <v>52.118992</v>
      </c>
      <c r="E201" s="64">
        <v>5.38235</v>
      </c>
      <c r="F201" s="78" t="s">
        <v>57</v>
      </c>
      <c r="G201" s="78" t="s">
        <v>58</v>
      </c>
      <c r="H201" s="78" t="str">
        <f>IF(X201=" ",X201,'Flamingo @ DenTreek'!H199)</f>
        <v>Thuishuis</v>
      </c>
      <c r="I201" s="79" t="str">
        <f>'Flamingo @ DenTreek'!I199</f>
        <v>https://www.munzee.com/m/Thuishuis/12869</v>
      </c>
      <c r="J201" s="80"/>
      <c r="K201" s="78" t="b">
        <v>1</v>
      </c>
      <c r="L201" s="66" t="str">
        <f t="shared" si="2"/>
        <v/>
      </c>
      <c r="M201" s="81" t="str">
        <f>IFERROR(__xludf.DUMMYFUNCTION("IF(W201=1,IFERROR(IMPORTXML(I201, ""//p[@class='status-date']""), ""Not deployed""),"""")"),"")</f>
        <v/>
      </c>
      <c r="N201" s="82"/>
      <c r="O201" s="66"/>
      <c r="P201" s="66"/>
      <c r="Q201" s="66"/>
      <c r="R201" s="83" t="str">
        <f t="shared" si="3"/>
        <v/>
      </c>
      <c r="S201" s="84" t="str">
        <f t="shared" si="4"/>
        <v/>
      </c>
      <c r="T201" s="85"/>
      <c r="U201" s="82">
        <f t="shared" si="5"/>
        <v>0</v>
      </c>
      <c r="V201" s="66">
        <f t="shared" si="6"/>
        <v>0</v>
      </c>
      <c r="W201" s="81">
        <f t="shared" si="7"/>
        <v>0</v>
      </c>
      <c r="X201" s="82" t="str">
        <f t="shared" si="8"/>
        <v>Thuishuis</v>
      </c>
      <c r="Y201" s="86" t="str">
        <f t="shared" si="9"/>
        <v>https://www.munzee.com/m/Thuishuis/12869/</v>
      </c>
    </row>
    <row r="202" hidden="1" outlineLevel="1">
      <c r="A202" s="76" t="s">
        <v>526</v>
      </c>
      <c r="B202" s="77">
        <v>25.0</v>
      </c>
      <c r="C202" s="77">
        <v>9.0</v>
      </c>
      <c r="D202" s="64">
        <v>52.118992</v>
      </c>
      <c r="E202" s="64">
        <v>5.382584</v>
      </c>
      <c r="F202" s="78" t="s">
        <v>78</v>
      </c>
      <c r="G202" s="78" t="s">
        <v>79</v>
      </c>
      <c r="H202" s="78" t="s">
        <v>527</v>
      </c>
      <c r="I202" s="79" t="s">
        <v>528</v>
      </c>
      <c r="J202" s="80"/>
      <c r="K202" s="78" t="b">
        <v>1</v>
      </c>
      <c r="L202" s="66" t="str">
        <f t="shared" si="2"/>
        <v/>
      </c>
      <c r="M202" s="81" t="str">
        <f>IFERROR(__xludf.DUMMYFUNCTION("IF(W202=1,IFERROR(IMPORTXML(I202, ""//p[@class='status-date']""), ""Not deployed""),"""")"),"")</f>
        <v/>
      </c>
      <c r="N202" s="82"/>
      <c r="O202" s="66"/>
      <c r="P202" s="66"/>
      <c r="Q202" s="66"/>
      <c r="R202" s="83" t="str">
        <f t="shared" si="3"/>
        <v/>
      </c>
      <c r="S202" s="84" t="str">
        <f t="shared" si="4"/>
        <v/>
      </c>
      <c r="T202" s="85"/>
      <c r="U202" s="82">
        <f t="shared" si="5"/>
        <v>0</v>
      </c>
      <c r="V202" s="66">
        <f t="shared" si="6"/>
        <v>0</v>
      </c>
      <c r="W202" s="81">
        <f t="shared" si="7"/>
        <v>0</v>
      </c>
      <c r="X202" s="82" t="str">
        <f t="shared" si="8"/>
        <v>xptwo</v>
      </c>
      <c r="Y202" s="86" t="str">
        <f t="shared" si="9"/>
        <v>https://www.munzee.com/m/xptwo/35971/</v>
      </c>
    </row>
    <row r="203" hidden="1" outlineLevel="1">
      <c r="A203" s="76" t="s">
        <v>529</v>
      </c>
      <c r="B203" s="77">
        <v>25.0</v>
      </c>
      <c r="C203" s="77">
        <v>10.0</v>
      </c>
      <c r="D203" s="64">
        <v>52.118992</v>
      </c>
      <c r="E203" s="64">
        <v>5.382818</v>
      </c>
      <c r="F203" s="78" t="s">
        <v>51</v>
      </c>
      <c r="G203" s="78" t="s">
        <v>52</v>
      </c>
      <c r="H203" s="78" t="str">
        <f>IF(X203=" ",X203,'Flamingo @ DenTreek'!H201)</f>
        <v>Trappertje</v>
      </c>
      <c r="I203" s="79" t="str">
        <f>'Flamingo @ DenTreek'!I201</f>
        <v>https://www.munzee.com/m/Trappertje/6857/</v>
      </c>
      <c r="J203" s="80"/>
      <c r="K203" s="78" t="b">
        <v>1</v>
      </c>
      <c r="L203" s="66" t="str">
        <f t="shared" si="2"/>
        <v/>
      </c>
      <c r="M203" s="81" t="str">
        <f>IFERROR(__xludf.DUMMYFUNCTION("IF(W203=1,IFERROR(IMPORTXML(I203, ""//p[@class='status-date']""), ""Not deployed""),"""")"),"")</f>
        <v/>
      </c>
      <c r="N203" s="82"/>
      <c r="O203" s="66"/>
      <c r="P203" s="66"/>
      <c r="Q203" s="66"/>
      <c r="R203" s="83" t="str">
        <f t="shared" si="3"/>
        <v/>
      </c>
      <c r="S203" s="84" t="str">
        <f t="shared" si="4"/>
        <v/>
      </c>
      <c r="T203" s="85"/>
      <c r="U203" s="82">
        <f t="shared" si="5"/>
        <v>0</v>
      </c>
      <c r="V203" s="66">
        <f t="shared" si="6"/>
        <v>0</v>
      </c>
      <c r="W203" s="81">
        <f t="shared" si="7"/>
        <v>0</v>
      </c>
      <c r="X203" s="82" t="str">
        <f t="shared" si="8"/>
        <v>Trappertje</v>
      </c>
      <c r="Y203" s="86" t="str">
        <f t="shared" si="9"/>
        <v>https://www.munzee.com/m/Trappertje/6857/</v>
      </c>
    </row>
    <row r="204" hidden="1" outlineLevel="1">
      <c r="A204" s="76" t="s">
        <v>530</v>
      </c>
      <c r="B204" s="77">
        <v>25.0</v>
      </c>
      <c r="C204" s="77">
        <v>13.0</v>
      </c>
      <c r="D204" s="64">
        <v>52.118992</v>
      </c>
      <c r="E204" s="64">
        <v>5.38352</v>
      </c>
      <c r="F204" s="78" t="s">
        <v>51</v>
      </c>
      <c r="G204" s="78" t="s">
        <v>52</v>
      </c>
      <c r="H204" s="66" t="str">
        <f>IF(ISTEXT(X204),X204,"")</f>
        <v>AmezorC</v>
      </c>
      <c r="I204" s="79" t="s">
        <v>531</v>
      </c>
      <c r="J204" s="80"/>
      <c r="K204" s="78" t="b">
        <v>1</v>
      </c>
      <c r="L204" s="66" t="str">
        <f t="shared" si="2"/>
        <v/>
      </c>
      <c r="M204" s="81" t="str">
        <f>IFERROR(__xludf.DUMMYFUNCTION("IF(W204=1,IFERROR(IMPORTXML(I204, ""//p[@class='status-date']""), ""Not deployed""),"""")"),"")</f>
        <v/>
      </c>
      <c r="N204" s="82"/>
      <c r="O204" s="66"/>
      <c r="P204" s="66"/>
      <c r="Q204" s="66"/>
      <c r="R204" s="83" t="str">
        <f t="shared" si="3"/>
        <v/>
      </c>
      <c r="S204" s="84" t="str">
        <f t="shared" si="4"/>
        <v/>
      </c>
      <c r="T204" s="85"/>
      <c r="U204" s="82">
        <f t="shared" si="5"/>
        <v>0</v>
      </c>
      <c r="V204" s="66">
        <f t="shared" si="6"/>
        <v>0</v>
      </c>
      <c r="W204" s="81">
        <f t="shared" si="7"/>
        <v>0</v>
      </c>
      <c r="X204" s="82" t="str">
        <f t="shared" si="8"/>
        <v>AmezorC</v>
      </c>
      <c r="Y204" s="86" t="str">
        <f t="shared" si="9"/>
        <v>https://www.munzee.com/m/AmezorC/13402/</v>
      </c>
    </row>
    <row r="205" hidden="1" outlineLevel="1">
      <c r="A205" s="76" t="s">
        <v>532</v>
      </c>
      <c r="B205" s="77">
        <v>25.0</v>
      </c>
      <c r="C205" s="77">
        <v>14.0</v>
      </c>
      <c r="D205" s="64">
        <v>52.118992</v>
      </c>
      <c r="E205" s="64">
        <v>5.383754</v>
      </c>
      <c r="F205" s="78" t="s">
        <v>57</v>
      </c>
      <c r="G205" s="78" t="s">
        <v>58</v>
      </c>
      <c r="H205" s="78" t="s">
        <v>323</v>
      </c>
      <c r="I205" s="79" t="s">
        <v>533</v>
      </c>
      <c r="J205" s="80"/>
      <c r="K205" s="78" t="b">
        <v>1</v>
      </c>
      <c r="L205" s="66" t="str">
        <f t="shared" si="2"/>
        <v/>
      </c>
      <c r="M205" s="81" t="str">
        <f>IFERROR(__xludf.DUMMYFUNCTION("IF(W205=1,IFERROR(IMPORTXML(I205, ""//p[@class='status-date']""), ""Not deployed""),"""")"),"")</f>
        <v/>
      </c>
      <c r="N205" s="82"/>
      <c r="O205" s="66"/>
      <c r="P205" s="66"/>
      <c r="Q205" s="66"/>
      <c r="R205" s="83" t="str">
        <f t="shared" si="3"/>
        <v/>
      </c>
      <c r="S205" s="84" t="str">
        <f t="shared" si="4"/>
        <v/>
      </c>
      <c r="T205" s="85"/>
      <c r="U205" s="82">
        <f t="shared" si="5"/>
        <v>0</v>
      </c>
      <c r="V205" s="66">
        <f t="shared" si="6"/>
        <v>0</v>
      </c>
      <c r="W205" s="81">
        <f t="shared" si="7"/>
        <v>0</v>
      </c>
      <c r="X205" s="82" t="str">
        <f t="shared" si="8"/>
        <v>theLuckyFinders</v>
      </c>
      <c r="Y205" s="86" t="str">
        <f t="shared" si="9"/>
        <v>https://www.munzee.com/m/theLuckyFinders/4677/</v>
      </c>
    </row>
    <row r="206" hidden="1" outlineLevel="1">
      <c r="A206" s="76" t="s">
        <v>534</v>
      </c>
      <c r="B206" s="77">
        <v>25.0</v>
      </c>
      <c r="C206" s="77">
        <v>15.0</v>
      </c>
      <c r="D206" s="64">
        <v>52.118992</v>
      </c>
      <c r="E206" s="64">
        <v>5.383988</v>
      </c>
      <c r="F206" s="78" t="s">
        <v>57</v>
      </c>
      <c r="G206" s="78" t="s">
        <v>58</v>
      </c>
      <c r="H206" s="78" t="str">
        <f>IF(X206=" ",X206,'Flamingo @ DenTreek'!H204)</f>
        <v>Trappertje</v>
      </c>
      <c r="I206" s="79" t="str">
        <f>'Flamingo @ DenTreek'!I204</f>
        <v>https://www.munzee.com/m/Trappertje/6963/</v>
      </c>
      <c r="J206" s="80"/>
      <c r="K206" s="78" t="b">
        <v>1</v>
      </c>
      <c r="L206" s="66" t="str">
        <f t="shared" si="2"/>
        <v/>
      </c>
      <c r="M206" s="81" t="str">
        <f>IFERROR(__xludf.DUMMYFUNCTION("IF(W206=1,IFERROR(IMPORTXML(I206, ""//p[@class='status-date']""), ""Not deployed""),"""")"),"")</f>
        <v/>
      </c>
      <c r="N206" s="82"/>
      <c r="O206" s="66"/>
      <c r="P206" s="66"/>
      <c r="Q206" s="66"/>
      <c r="R206" s="83" t="str">
        <f t="shared" si="3"/>
        <v/>
      </c>
      <c r="S206" s="84" t="str">
        <f t="shared" si="4"/>
        <v/>
      </c>
      <c r="T206" s="85"/>
      <c r="U206" s="82">
        <f t="shared" si="5"/>
        <v>0</v>
      </c>
      <c r="V206" s="66">
        <f t="shared" si="6"/>
        <v>0</v>
      </c>
      <c r="W206" s="81">
        <f t="shared" si="7"/>
        <v>0</v>
      </c>
      <c r="X206" s="82" t="str">
        <f t="shared" si="8"/>
        <v>Trappertje</v>
      </c>
      <c r="Y206" s="86" t="str">
        <f t="shared" si="9"/>
        <v>https://www.munzee.com/m/Trappertje/6963/</v>
      </c>
    </row>
    <row r="207" hidden="1" outlineLevel="1">
      <c r="A207" s="76" t="s">
        <v>535</v>
      </c>
      <c r="B207" s="77">
        <v>25.0</v>
      </c>
      <c r="C207" s="77">
        <v>16.0</v>
      </c>
      <c r="D207" s="64">
        <v>52.118992</v>
      </c>
      <c r="E207" s="64">
        <v>5.384222</v>
      </c>
      <c r="F207" s="78" t="s">
        <v>57</v>
      </c>
      <c r="G207" s="78" t="s">
        <v>58</v>
      </c>
      <c r="H207" s="78" t="s">
        <v>237</v>
      </c>
      <c r="I207" s="79" t="s">
        <v>536</v>
      </c>
      <c r="J207" s="80"/>
      <c r="K207" s="78" t="b">
        <v>1</v>
      </c>
      <c r="L207" s="66" t="str">
        <f t="shared" si="2"/>
        <v/>
      </c>
      <c r="M207" s="81" t="str">
        <f>IFERROR(__xludf.DUMMYFUNCTION("IF(W207=1,IFERROR(IMPORTXML(I207, ""//p[@class='status-date']""), ""Not deployed""),"""")"),"")</f>
        <v/>
      </c>
      <c r="N207" s="82"/>
      <c r="O207" s="66"/>
      <c r="P207" s="66"/>
      <c r="Q207" s="66"/>
      <c r="R207" s="83" t="str">
        <f t="shared" si="3"/>
        <v/>
      </c>
      <c r="S207" s="84" t="str">
        <f t="shared" si="4"/>
        <v/>
      </c>
      <c r="T207" s="85"/>
      <c r="U207" s="82">
        <f t="shared" si="5"/>
        <v>0</v>
      </c>
      <c r="V207" s="66">
        <f t="shared" si="6"/>
        <v>0</v>
      </c>
      <c r="W207" s="81">
        <f t="shared" si="7"/>
        <v>0</v>
      </c>
      <c r="X207" s="82" t="str">
        <f t="shared" si="8"/>
        <v>Helefant</v>
      </c>
      <c r="Y207" s="86" t="str">
        <f t="shared" si="9"/>
        <v>https://www.munzee.com/m/Helefant/5558/</v>
      </c>
    </row>
    <row r="208" hidden="1" outlineLevel="1">
      <c r="A208" s="76" t="s">
        <v>537</v>
      </c>
      <c r="B208" s="77">
        <v>25.0</v>
      </c>
      <c r="C208" s="77">
        <v>17.0</v>
      </c>
      <c r="D208" s="64">
        <v>52.118992</v>
      </c>
      <c r="E208" s="64">
        <v>5.384457</v>
      </c>
      <c r="F208" s="78" t="s">
        <v>487</v>
      </c>
      <c r="G208" s="78" t="s">
        <v>488</v>
      </c>
      <c r="H208" s="78" t="s">
        <v>538</v>
      </c>
      <c r="I208" s="79" t="s">
        <v>539</v>
      </c>
      <c r="J208" s="80"/>
      <c r="K208" s="78" t="b">
        <v>1</v>
      </c>
      <c r="L208" s="66" t="str">
        <f t="shared" si="2"/>
        <v/>
      </c>
      <c r="M208" s="81" t="str">
        <f>IFERROR(__xludf.DUMMYFUNCTION("IF(W208=1,IFERROR(IMPORTXML(I208, ""//p[@class='status-date']""), ""Not deployed""),"""")"),"")</f>
        <v/>
      </c>
      <c r="N208" s="82"/>
      <c r="O208" s="66"/>
      <c r="P208" s="66"/>
      <c r="Q208" s="66"/>
      <c r="R208" s="83" t="str">
        <f t="shared" si="3"/>
        <v/>
      </c>
      <c r="S208" s="84" t="str">
        <f t="shared" si="4"/>
        <v/>
      </c>
      <c r="T208" s="85"/>
      <c r="U208" s="82">
        <f t="shared" si="5"/>
        <v>0</v>
      </c>
      <c r="V208" s="66">
        <f t="shared" si="6"/>
        <v>0</v>
      </c>
      <c r="W208" s="81">
        <f t="shared" si="7"/>
        <v>0</v>
      </c>
      <c r="X208" s="82" t="str">
        <f t="shared" si="8"/>
        <v>ahagmann</v>
      </c>
      <c r="Y208" s="86" t="str">
        <f t="shared" si="9"/>
        <v>https://www.munzee.com/m/ahagmann/12145/</v>
      </c>
    </row>
    <row r="209" hidden="1" outlineLevel="1">
      <c r="A209" s="76" t="s">
        <v>540</v>
      </c>
      <c r="B209" s="77">
        <v>25.0</v>
      </c>
      <c r="C209" s="77">
        <v>18.0</v>
      </c>
      <c r="D209" s="64">
        <v>52.118992</v>
      </c>
      <c r="E209" s="64">
        <v>5.384691</v>
      </c>
      <c r="F209" s="78" t="s">
        <v>487</v>
      </c>
      <c r="G209" s="78" t="s">
        <v>488</v>
      </c>
      <c r="H209" s="78" t="str">
        <f>IF(X209=" ",X209,'Flamingo @ DenTreek'!H207)</f>
        <v>Trappertje</v>
      </c>
      <c r="I209" s="79" t="str">
        <f>'Flamingo @ DenTreek'!I207</f>
        <v>https://www.munzee.com/m/Trappertje/6976/</v>
      </c>
      <c r="J209" s="80"/>
      <c r="K209" s="78" t="b">
        <v>1</v>
      </c>
      <c r="L209" s="66" t="str">
        <f t="shared" si="2"/>
        <v/>
      </c>
      <c r="M209" s="81" t="str">
        <f>IFERROR(__xludf.DUMMYFUNCTION("IF(W209=1,IFERROR(IMPORTXML(I209, ""//p[@class='status-date']""), ""Not deployed""),"""")"),"")</f>
        <v/>
      </c>
      <c r="N209" s="82"/>
      <c r="O209" s="66"/>
      <c r="P209" s="66"/>
      <c r="Q209" s="66"/>
      <c r="R209" s="83" t="str">
        <f t="shared" si="3"/>
        <v/>
      </c>
      <c r="S209" s="84" t="str">
        <f t="shared" si="4"/>
        <v/>
      </c>
      <c r="T209" s="85"/>
      <c r="U209" s="82">
        <f t="shared" si="5"/>
        <v>0</v>
      </c>
      <c r="V209" s="66">
        <f t="shared" si="6"/>
        <v>0</v>
      </c>
      <c r="W209" s="81">
        <f t="shared" si="7"/>
        <v>0</v>
      </c>
      <c r="X209" s="82" t="str">
        <f t="shared" si="8"/>
        <v>Trappertje</v>
      </c>
      <c r="Y209" s="86" t="str">
        <f t="shared" si="9"/>
        <v>https://www.munzee.com/m/Trappertje/6976/</v>
      </c>
    </row>
    <row r="210" hidden="1" outlineLevel="1">
      <c r="A210" s="76" t="s">
        <v>541</v>
      </c>
      <c r="B210" s="77">
        <v>25.0</v>
      </c>
      <c r="C210" s="77">
        <v>19.0</v>
      </c>
      <c r="D210" s="64">
        <v>52.118992</v>
      </c>
      <c r="E210" s="64">
        <v>5.384925</v>
      </c>
      <c r="F210" s="78" t="s">
        <v>487</v>
      </c>
      <c r="G210" s="78" t="s">
        <v>488</v>
      </c>
      <c r="H210" s="78" t="s">
        <v>94</v>
      </c>
      <c r="I210" s="79" t="s">
        <v>542</v>
      </c>
      <c r="J210" s="80"/>
      <c r="K210" s="78" t="b">
        <v>1</v>
      </c>
      <c r="L210" s="66" t="str">
        <f t="shared" si="2"/>
        <v/>
      </c>
      <c r="M210" s="81" t="str">
        <f>IFERROR(__xludf.DUMMYFUNCTION("IF(W210=1,IFERROR(IMPORTXML(I210, ""//p[@class='status-date']""), ""Not deployed""),"""")"),"")</f>
        <v/>
      </c>
      <c r="N210" s="82"/>
      <c r="O210" s="66"/>
      <c r="P210" s="66"/>
      <c r="Q210" s="66"/>
      <c r="R210" s="83" t="str">
        <f t="shared" si="3"/>
        <v/>
      </c>
      <c r="S210" s="84" t="str">
        <f t="shared" si="4"/>
        <v/>
      </c>
      <c r="T210" s="85"/>
      <c r="U210" s="82">
        <f t="shared" si="5"/>
        <v>0</v>
      </c>
      <c r="V210" s="66">
        <f t="shared" si="6"/>
        <v>0</v>
      </c>
      <c r="W210" s="81">
        <f t="shared" si="7"/>
        <v>0</v>
      </c>
      <c r="X210" s="82" t="str">
        <f t="shared" si="8"/>
        <v>paulus2012</v>
      </c>
      <c r="Y210" s="86" t="str">
        <f t="shared" si="9"/>
        <v>https://www.munzee.com/m/paulus2012/8959/</v>
      </c>
    </row>
    <row r="211" hidden="1" outlineLevel="1">
      <c r="A211" s="76" t="s">
        <v>543</v>
      </c>
      <c r="B211" s="77">
        <v>25.0</v>
      </c>
      <c r="C211" s="77">
        <v>20.0</v>
      </c>
      <c r="D211" s="64">
        <v>52.118992</v>
      </c>
      <c r="E211" s="64">
        <v>5.385159</v>
      </c>
      <c r="F211" s="78" t="s">
        <v>487</v>
      </c>
      <c r="G211" s="78" t="s">
        <v>488</v>
      </c>
      <c r="H211" s="97" t="s">
        <v>544</v>
      </c>
      <c r="I211" s="79" t="s">
        <v>545</v>
      </c>
      <c r="J211" s="80"/>
      <c r="K211" s="78" t="b">
        <v>1</v>
      </c>
      <c r="L211" s="66" t="str">
        <f t="shared" si="2"/>
        <v/>
      </c>
      <c r="M211" s="81" t="str">
        <f>IFERROR(__xludf.DUMMYFUNCTION("IF(W211=1,IFERROR(IMPORTXML(I211, ""//p[@class='status-date']""), ""Not deployed""),"""")"),"")</f>
        <v/>
      </c>
      <c r="N211" s="82"/>
      <c r="O211" s="66"/>
      <c r="P211" s="66"/>
      <c r="Q211" s="66"/>
      <c r="R211" s="83" t="str">
        <f t="shared" si="3"/>
        <v/>
      </c>
      <c r="S211" s="84" t="str">
        <f t="shared" si="4"/>
        <v/>
      </c>
      <c r="T211" s="85"/>
      <c r="U211" s="82">
        <f t="shared" si="5"/>
        <v>0</v>
      </c>
      <c r="V211" s="66">
        <f t="shared" si="6"/>
        <v>0</v>
      </c>
      <c r="W211" s="81">
        <f t="shared" si="7"/>
        <v>0</v>
      </c>
      <c r="X211" s="82" t="str">
        <f t="shared" si="8"/>
        <v>90mile</v>
      </c>
      <c r="Y211" s="86" t="str">
        <f t="shared" si="9"/>
        <v>https://www.munzee.com/m/90mile/7400/</v>
      </c>
    </row>
    <row r="212" hidden="1" outlineLevel="1">
      <c r="A212" s="76" t="s">
        <v>546</v>
      </c>
      <c r="B212" s="77">
        <v>25.0</v>
      </c>
      <c r="C212" s="77">
        <v>21.0</v>
      </c>
      <c r="D212" s="64">
        <v>52.118992</v>
      </c>
      <c r="E212" s="64">
        <v>5.385393</v>
      </c>
      <c r="F212" s="78" t="s">
        <v>57</v>
      </c>
      <c r="G212" s="78" t="s">
        <v>58</v>
      </c>
      <c r="H212" s="78" t="str">
        <f>IF(X212=" ",X212,'Flamingo @ DenTreek'!H210)</f>
        <v>Trappertje</v>
      </c>
      <c r="I212" s="79" t="str">
        <f>'Flamingo @ DenTreek'!I210</f>
        <v>https://www.munzee.com/m/Trappertje/6981/</v>
      </c>
      <c r="J212" s="80"/>
      <c r="K212" s="78" t="b">
        <v>1</v>
      </c>
      <c r="L212" s="66" t="str">
        <f t="shared" si="2"/>
        <v/>
      </c>
      <c r="M212" s="81" t="str">
        <f>IFERROR(__xludf.DUMMYFUNCTION("IF(W212=1,IFERROR(IMPORTXML(I212, ""//p[@class='status-date']""), ""Not deployed""),"""")"),"")</f>
        <v/>
      </c>
      <c r="N212" s="82"/>
      <c r="O212" s="66"/>
      <c r="P212" s="66"/>
      <c r="Q212" s="66"/>
      <c r="R212" s="83" t="str">
        <f t="shared" si="3"/>
        <v/>
      </c>
      <c r="S212" s="84" t="str">
        <f t="shared" si="4"/>
        <v/>
      </c>
      <c r="T212" s="85"/>
      <c r="U212" s="82">
        <f t="shared" si="5"/>
        <v>0</v>
      </c>
      <c r="V212" s="66">
        <f t="shared" si="6"/>
        <v>0</v>
      </c>
      <c r="W212" s="81">
        <f t="shared" si="7"/>
        <v>0</v>
      </c>
      <c r="X212" s="82" t="str">
        <f t="shared" si="8"/>
        <v>Trappertje</v>
      </c>
      <c r="Y212" s="86" t="str">
        <f t="shared" si="9"/>
        <v>https://www.munzee.com/m/Trappertje/6981/</v>
      </c>
    </row>
    <row r="213" hidden="1" outlineLevel="1">
      <c r="A213" s="76" t="s">
        <v>547</v>
      </c>
      <c r="B213" s="77">
        <v>25.0</v>
      </c>
      <c r="C213" s="77">
        <v>22.0</v>
      </c>
      <c r="D213" s="64">
        <v>52.118992</v>
      </c>
      <c r="E213" s="64">
        <v>5.385627</v>
      </c>
      <c r="F213" s="78" t="s">
        <v>57</v>
      </c>
      <c r="G213" s="78" t="s">
        <v>58</v>
      </c>
      <c r="H213" s="78" t="s">
        <v>94</v>
      </c>
      <c r="I213" s="79" t="s">
        <v>548</v>
      </c>
      <c r="J213" s="80"/>
      <c r="K213" s="78" t="b">
        <v>1</v>
      </c>
      <c r="L213" s="66" t="str">
        <f t="shared" si="2"/>
        <v/>
      </c>
      <c r="M213" s="81" t="str">
        <f>IFERROR(__xludf.DUMMYFUNCTION("IF(W213=1,IFERROR(IMPORTXML(I213, ""//p[@class='status-date']""), ""Not deployed""),"""")"),"")</f>
        <v/>
      </c>
      <c r="N213" s="82"/>
      <c r="O213" s="66"/>
      <c r="P213" s="66"/>
      <c r="Q213" s="66"/>
      <c r="R213" s="83" t="str">
        <f t="shared" si="3"/>
        <v/>
      </c>
      <c r="S213" s="84" t="str">
        <f t="shared" si="4"/>
        <v/>
      </c>
      <c r="T213" s="85"/>
      <c r="U213" s="82">
        <f t="shared" si="5"/>
        <v>0</v>
      </c>
      <c r="V213" s="66">
        <f t="shared" si="6"/>
        <v>0</v>
      </c>
      <c r="W213" s="81">
        <f t="shared" si="7"/>
        <v>0</v>
      </c>
      <c r="X213" s="82" t="str">
        <f t="shared" si="8"/>
        <v>paulus2012</v>
      </c>
      <c r="Y213" s="86" t="str">
        <f t="shared" si="9"/>
        <v>https://www.munzee.com/m/paulus2012/8956/</v>
      </c>
    </row>
    <row r="214" hidden="1" outlineLevel="1">
      <c r="A214" s="76" t="s">
        <v>549</v>
      </c>
      <c r="B214" s="77">
        <v>25.0</v>
      </c>
      <c r="C214" s="77">
        <v>23.0</v>
      </c>
      <c r="D214" s="64">
        <v>52.118992</v>
      </c>
      <c r="E214" s="64">
        <v>5.385861</v>
      </c>
      <c r="F214" s="78" t="s">
        <v>57</v>
      </c>
      <c r="G214" s="78" t="s">
        <v>58</v>
      </c>
      <c r="H214" s="78" t="s">
        <v>538</v>
      </c>
      <c r="I214" s="79" t="s">
        <v>550</v>
      </c>
      <c r="J214" s="80"/>
      <c r="K214" s="78" t="b">
        <v>1</v>
      </c>
      <c r="L214" s="66" t="str">
        <f t="shared" si="2"/>
        <v/>
      </c>
      <c r="M214" s="81" t="str">
        <f>IFERROR(__xludf.DUMMYFUNCTION("IF(W214=1,IFERROR(IMPORTXML(I214, ""//p[@class='status-date']""), ""Not deployed""),"""")"),"")</f>
        <v/>
      </c>
      <c r="N214" s="82"/>
      <c r="O214" s="66"/>
      <c r="P214" s="66"/>
      <c r="Q214" s="66"/>
      <c r="R214" s="83" t="str">
        <f t="shared" si="3"/>
        <v/>
      </c>
      <c r="S214" s="84" t="str">
        <f t="shared" si="4"/>
        <v/>
      </c>
      <c r="T214" s="85"/>
      <c r="U214" s="82">
        <f t="shared" si="5"/>
        <v>0</v>
      </c>
      <c r="V214" s="66">
        <f t="shared" si="6"/>
        <v>0</v>
      </c>
      <c r="W214" s="81">
        <f t="shared" si="7"/>
        <v>0</v>
      </c>
      <c r="X214" s="82" t="str">
        <f t="shared" si="8"/>
        <v>ahagmann</v>
      </c>
      <c r="Y214" s="86" t="str">
        <f t="shared" si="9"/>
        <v>https://www.munzee.com/m/ahagmann/12165/</v>
      </c>
    </row>
    <row r="215" hidden="1" outlineLevel="1">
      <c r="A215" s="76" t="s">
        <v>551</v>
      </c>
      <c r="B215" s="77">
        <v>25.0</v>
      </c>
      <c r="C215" s="77">
        <v>24.0</v>
      </c>
      <c r="D215" s="64">
        <v>52.118992</v>
      </c>
      <c r="E215" s="64">
        <v>5.386095</v>
      </c>
      <c r="F215" s="78" t="s">
        <v>78</v>
      </c>
      <c r="G215" s="78" t="s">
        <v>79</v>
      </c>
      <c r="H215" s="78" t="str">
        <f>IF(X215=" ",X215,'Flamingo @ DenTreek'!H213)</f>
        <v>Trappertje</v>
      </c>
      <c r="I215" s="79" t="str">
        <f>'Flamingo @ DenTreek'!I213</f>
        <v>https://www.munzee.com/m/Trappertje/6984/</v>
      </c>
      <c r="J215" s="80"/>
      <c r="K215" s="78" t="b">
        <v>1</v>
      </c>
      <c r="L215" s="66" t="str">
        <f t="shared" si="2"/>
        <v/>
      </c>
      <c r="M215" s="81" t="str">
        <f>IFERROR(__xludf.DUMMYFUNCTION("IF(W215=1,IFERROR(IMPORTXML(I215, ""//p[@class='status-date']""), ""Not deployed""),"""")"),"")</f>
        <v/>
      </c>
      <c r="N215" s="82"/>
      <c r="O215" s="66"/>
      <c r="P215" s="66"/>
      <c r="Q215" s="66"/>
      <c r="R215" s="83" t="str">
        <f t="shared" si="3"/>
        <v/>
      </c>
      <c r="S215" s="84" t="str">
        <f t="shared" si="4"/>
        <v/>
      </c>
      <c r="T215" s="85"/>
      <c r="U215" s="82">
        <f t="shared" si="5"/>
        <v>0</v>
      </c>
      <c r="V215" s="66">
        <f t="shared" si="6"/>
        <v>0</v>
      </c>
      <c r="W215" s="81">
        <f t="shared" si="7"/>
        <v>0</v>
      </c>
      <c r="X215" s="82" t="str">
        <f t="shared" si="8"/>
        <v>Trappertje</v>
      </c>
      <c r="Y215" s="86" t="str">
        <f t="shared" si="9"/>
        <v>https://www.munzee.com/m/Trappertje/6984/</v>
      </c>
    </row>
    <row r="216" hidden="1" outlineLevel="1">
      <c r="A216" s="76" t="s">
        <v>552</v>
      </c>
      <c r="B216" s="77">
        <v>25.0</v>
      </c>
      <c r="C216" s="77">
        <v>25.0</v>
      </c>
      <c r="D216" s="64">
        <v>52.118992</v>
      </c>
      <c r="E216" s="64">
        <v>5.386329</v>
      </c>
      <c r="F216" s="78" t="s">
        <v>125</v>
      </c>
      <c r="G216" s="78" t="s">
        <v>126</v>
      </c>
      <c r="H216" s="78" t="s">
        <v>553</v>
      </c>
      <c r="I216" s="79" t="s">
        <v>554</v>
      </c>
      <c r="J216" s="88"/>
      <c r="K216" s="78" t="b">
        <v>1</v>
      </c>
      <c r="L216" s="66" t="str">
        <f t="shared" si="2"/>
        <v/>
      </c>
      <c r="M216" s="81" t="str">
        <f>IFERROR(__xludf.DUMMYFUNCTION("IF(W216=1,IFERROR(IMPORTXML(I216, ""//p[@class='status-date']""), ""Not deployed""),"""")"),"")</f>
        <v/>
      </c>
      <c r="N216" s="82"/>
      <c r="O216" s="66"/>
      <c r="P216" s="66"/>
      <c r="Q216" s="66"/>
      <c r="R216" s="83" t="str">
        <f t="shared" si="3"/>
        <v/>
      </c>
      <c r="S216" s="84" t="str">
        <f t="shared" si="4"/>
        <v/>
      </c>
      <c r="T216" s="85"/>
      <c r="U216" s="82">
        <f t="shared" si="5"/>
        <v>0</v>
      </c>
      <c r="V216" s="66">
        <f t="shared" si="6"/>
        <v>0</v>
      </c>
      <c r="W216" s="81">
        <f t="shared" si="7"/>
        <v>0</v>
      </c>
      <c r="X216" s="82" t="str">
        <f t="shared" si="8"/>
        <v>ol0n0lo</v>
      </c>
      <c r="Y216" s="86" t="str">
        <f t="shared" si="9"/>
        <v>https://www.munzee.com/m/ol0n0lo/1968/</v>
      </c>
    </row>
    <row r="217" hidden="1" outlineLevel="1">
      <c r="A217" s="76" t="s">
        <v>555</v>
      </c>
      <c r="B217" s="77">
        <v>25.0</v>
      </c>
      <c r="C217" s="77">
        <v>26.0</v>
      </c>
      <c r="D217" s="64">
        <v>52.118992</v>
      </c>
      <c r="E217" s="64">
        <v>5.386563</v>
      </c>
      <c r="F217" s="78" t="s">
        <v>70</v>
      </c>
      <c r="G217" s="78" t="s">
        <v>71</v>
      </c>
      <c r="H217" s="78" t="s">
        <v>556</v>
      </c>
      <c r="I217" s="79" t="s">
        <v>557</v>
      </c>
      <c r="J217" s="80"/>
      <c r="K217" s="78" t="b">
        <v>1</v>
      </c>
      <c r="L217" s="66" t="str">
        <f t="shared" si="2"/>
        <v/>
      </c>
      <c r="M217" s="81" t="str">
        <f>IFERROR(__xludf.DUMMYFUNCTION("IF(W217=1,IFERROR(IMPORTXML(I217, ""//p[@class='status-date']""), ""Not deployed""),"""")"),"")</f>
        <v/>
      </c>
      <c r="N217" s="82"/>
      <c r="O217" s="66"/>
      <c r="P217" s="66"/>
      <c r="Q217" s="66"/>
      <c r="R217" s="83" t="str">
        <f t="shared" si="3"/>
        <v/>
      </c>
      <c r="S217" s="84" t="str">
        <f t="shared" si="4"/>
        <v/>
      </c>
      <c r="T217" s="85"/>
      <c r="U217" s="82">
        <f t="shared" si="5"/>
        <v>0</v>
      </c>
      <c r="V217" s="66">
        <f t="shared" si="6"/>
        <v>0</v>
      </c>
      <c r="W217" s="81">
        <f t="shared" si="7"/>
        <v>0</v>
      </c>
      <c r="X217" s="82" t="str">
        <f t="shared" si="8"/>
        <v>Tornado</v>
      </c>
      <c r="Y217" s="86" t="str">
        <f t="shared" si="9"/>
        <v>https://www.munzee.com/m/Tornado/5595/</v>
      </c>
    </row>
    <row r="218" hidden="1" outlineLevel="1">
      <c r="A218" s="76" t="s">
        <v>558</v>
      </c>
      <c r="B218" s="77">
        <v>25.0</v>
      </c>
      <c r="C218" s="77">
        <v>27.0</v>
      </c>
      <c r="D218" s="64">
        <v>52.118992</v>
      </c>
      <c r="E218" s="64">
        <v>5.386797</v>
      </c>
      <c r="F218" s="78" t="s">
        <v>78</v>
      </c>
      <c r="G218" s="78" t="s">
        <v>79</v>
      </c>
      <c r="H218" s="78" t="str">
        <f>IF(X218=" ",X218,'Flamingo @ DenTreek'!H216)</f>
        <v>Trappertje</v>
      </c>
      <c r="I218" s="79" t="str">
        <f>'Flamingo @ DenTreek'!I216</f>
        <v>https://www.munzee.com/m/Trappertje/7047/</v>
      </c>
      <c r="J218" s="80"/>
      <c r="K218" s="78" t="b">
        <v>1</v>
      </c>
      <c r="L218" s="66" t="str">
        <f t="shared" si="2"/>
        <v/>
      </c>
      <c r="M218" s="81" t="str">
        <f>IFERROR(__xludf.DUMMYFUNCTION("IF(W218=1,IFERROR(IMPORTXML(I218, ""//p[@class='status-date']""), ""Not deployed""),"""")"),"")</f>
        <v/>
      </c>
      <c r="N218" s="82"/>
      <c r="O218" s="66"/>
      <c r="P218" s="66"/>
      <c r="Q218" s="66"/>
      <c r="R218" s="83" t="str">
        <f t="shared" si="3"/>
        <v/>
      </c>
      <c r="S218" s="84" t="str">
        <f t="shared" si="4"/>
        <v/>
      </c>
      <c r="T218" s="85"/>
      <c r="U218" s="82">
        <f t="shared" si="5"/>
        <v>0</v>
      </c>
      <c r="V218" s="66">
        <f t="shared" si="6"/>
        <v>0</v>
      </c>
      <c r="W218" s="81">
        <f t="shared" si="7"/>
        <v>0</v>
      </c>
      <c r="X218" s="82" t="str">
        <f t="shared" si="8"/>
        <v>Trappertje</v>
      </c>
      <c r="Y218" s="86" t="str">
        <f t="shared" si="9"/>
        <v>https://www.munzee.com/m/Trappertje/7047/</v>
      </c>
    </row>
    <row r="219" hidden="1" outlineLevel="1">
      <c r="A219" s="76" t="s">
        <v>559</v>
      </c>
      <c r="B219" s="77">
        <v>25.0</v>
      </c>
      <c r="C219" s="77">
        <v>28.0</v>
      </c>
      <c r="D219" s="64">
        <v>52.118992</v>
      </c>
      <c r="E219" s="64">
        <v>5.387031</v>
      </c>
      <c r="F219" s="78" t="s">
        <v>78</v>
      </c>
      <c r="G219" s="78" t="s">
        <v>79</v>
      </c>
      <c r="H219" s="78" t="s">
        <v>94</v>
      </c>
      <c r="I219" s="79" t="s">
        <v>560</v>
      </c>
      <c r="J219" s="80"/>
      <c r="K219" s="78" t="b">
        <v>1</v>
      </c>
      <c r="L219" s="66" t="str">
        <f t="shared" si="2"/>
        <v/>
      </c>
      <c r="M219" s="81" t="str">
        <f>IFERROR(__xludf.DUMMYFUNCTION("IF(W219=1,IFERROR(IMPORTXML(I219, ""//p[@class='status-date']""), ""Not deployed""),"""")"),"")</f>
        <v/>
      </c>
      <c r="N219" s="82"/>
      <c r="O219" s="66"/>
      <c r="P219" s="66"/>
      <c r="Q219" s="66"/>
      <c r="R219" s="83" t="str">
        <f t="shared" si="3"/>
        <v/>
      </c>
      <c r="S219" s="84" t="str">
        <f t="shared" si="4"/>
        <v/>
      </c>
      <c r="T219" s="85"/>
      <c r="U219" s="82">
        <f t="shared" si="5"/>
        <v>0</v>
      </c>
      <c r="V219" s="66">
        <f t="shared" si="6"/>
        <v>0</v>
      </c>
      <c r="W219" s="81">
        <f t="shared" si="7"/>
        <v>0</v>
      </c>
      <c r="X219" s="82" t="str">
        <f t="shared" si="8"/>
        <v>paulus2012</v>
      </c>
      <c r="Y219" s="86" t="str">
        <f t="shared" si="9"/>
        <v>https://www.munzee.com/m/paulus2012/8742/</v>
      </c>
    </row>
    <row r="220" hidden="1" outlineLevel="1">
      <c r="A220" s="76" t="s">
        <v>561</v>
      </c>
      <c r="B220" s="77">
        <v>25.0</v>
      </c>
      <c r="C220" s="77">
        <v>29.0</v>
      </c>
      <c r="D220" s="64">
        <v>52.118992</v>
      </c>
      <c r="E220" s="64">
        <v>5.387266</v>
      </c>
      <c r="F220" s="78" t="s">
        <v>78</v>
      </c>
      <c r="G220" s="78" t="s">
        <v>79</v>
      </c>
      <c r="H220" s="66" t="str">
        <f>IF(ISTEXT(X220),X220,"")</f>
        <v>AmezorC</v>
      </c>
      <c r="I220" s="79" t="s">
        <v>562</v>
      </c>
      <c r="J220" s="80"/>
      <c r="K220" s="78" t="b">
        <v>1</v>
      </c>
      <c r="L220" s="66" t="str">
        <f t="shared" si="2"/>
        <v/>
      </c>
      <c r="M220" s="81" t="str">
        <f>IFERROR(__xludf.DUMMYFUNCTION("IF(W220=1,IFERROR(IMPORTXML(I220, ""//p[@class='status-date']""), ""Not deployed""),"""")"),"")</f>
        <v/>
      </c>
      <c r="N220" s="82"/>
      <c r="O220" s="66"/>
      <c r="P220" s="66"/>
      <c r="Q220" s="66"/>
      <c r="R220" s="83" t="str">
        <f t="shared" si="3"/>
        <v/>
      </c>
      <c r="S220" s="84" t="str">
        <f t="shared" si="4"/>
        <v/>
      </c>
      <c r="T220" s="85"/>
      <c r="U220" s="82">
        <f t="shared" si="5"/>
        <v>0</v>
      </c>
      <c r="V220" s="66">
        <f t="shared" si="6"/>
        <v>0</v>
      </c>
      <c r="W220" s="81">
        <f t="shared" si="7"/>
        <v>0</v>
      </c>
      <c r="X220" s="82" t="str">
        <f t="shared" si="8"/>
        <v>AmezorC</v>
      </c>
      <c r="Y220" s="86" t="str">
        <f t="shared" si="9"/>
        <v>https://www.munzee.com/m/AmezorC/13401/</v>
      </c>
    </row>
    <row r="221" hidden="1" outlineLevel="1">
      <c r="A221" s="76" t="s">
        <v>563</v>
      </c>
      <c r="B221" s="77">
        <v>26.0</v>
      </c>
      <c r="C221" s="77">
        <v>6.0</v>
      </c>
      <c r="D221" s="64">
        <v>52.118848</v>
      </c>
      <c r="E221" s="64">
        <v>5.381882</v>
      </c>
      <c r="F221" s="78" t="s">
        <v>57</v>
      </c>
      <c r="G221" s="78" t="s">
        <v>58</v>
      </c>
      <c r="H221" s="78" t="s">
        <v>432</v>
      </c>
      <c r="I221" s="79" t="s">
        <v>564</v>
      </c>
      <c r="J221" s="80"/>
      <c r="K221" s="78" t="b">
        <v>1</v>
      </c>
      <c r="L221" s="66" t="str">
        <f t="shared" si="2"/>
        <v/>
      </c>
      <c r="M221" s="81" t="str">
        <f>IFERROR(__xludf.DUMMYFUNCTION("IF(W221=1,IFERROR(IMPORTXML(I221, ""//p[@class='status-date']""), ""Not deployed""),"""")"),"")</f>
        <v/>
      </c>
      <c r="N221" s="82"/>
      <c r="O221" s="66"/>
      <c r="P221" s="66"/>
      <c r="Q221" s="66"/>
      <c r="R221" s="83" t="str">
        <f t="shared" si="3"/>
        <v/>
      </c>
      <c r="S221" s="84" t="str">
        <f t="shared" si="4"/>
        <v/>
      </c>
      <c r="T221" s="85"/>
      <c r="U221" s="82">
        <f t="shared" si="5"/>
        <v>0</v>
      </c>
      <c r="V221" s="66">
        <f t="shared" si="6"/>
        <v>0</v>
      </c>
      <c r="W221" s="81">
        <f t="shared" si="7"/>
        <v>0</v>
      </c>
      <c r="X221" s="82" t="str">
        <f t="shared" si="8"/>
        <v>sverlaan</v>
      </c>
      <c r="Y221" s="86" t="str">
        <f t="shared" si="9"/>
        <v>https://www.munzee.com/m/sverlaan/6554/</v>
      </c>
    </row>
    <row r="222" hidden="1" outlineLevel="1">
      <c r="A222" s="76" t="s">
        <v>565</v>
      </c>
      <c r="B222" s="77">
        <v>26.0</v>
      </c>
      <c r="C222" s="77">
        <v>7.0</v>
      </c>
      <c r="D222" s="64">
        <v>52.118848</v>
      </c>
      <c r="E222" s="64">
        <v>5.382116</v>
      </c>
      <c r="F222" s="78" t="s">
        <v>57</v>
      </c>
      <c r="G222" s="78" t="s">
        <v>58</v>
      </c>
      <c r="H222" s="78" t="s">
        <v>435</v>
      </c>
      <c r="I222" s="79" t="s">
        <v>566</v>
      </c>
      <c r="J222" s="80"/>
      <c r="K222" s="78" t="b">
        <v>1</v>
      </c>
      <c r="L222" s="66" t="str">
        <f t="shared" si="2"/>
        <v/>
      </c>
      <c r="M222" s="81" t="str">
        <f>IFERROR(__xludf.DUMMYFUNCTION("IF(W222=1,IFERROR(IMPORTXML(I222, ""//p[@class='status-date']""), ""Not deployed""),"""")"),"")</f>
        <v/>
      </c>
      <c r="N222" s="82"/>
      <c r="O222" s="66"/>
      <c r="P222" s="66"/>
      <c r="Q222" s="66"/>
      <c r="R222" s="83" t="str">
        <f t="shared" si="3"/>
        <v/>
      </c>
      <c r="S222" s="84" t="str">
        <f t="shared" si="4"/>
        <v/>
      </c>
      <c r="T222" s="85"/>
      <c r="U222" s="82">
        <f t="shared" si="5"/>
        <v>0</v>
      </c>
      <c r="V222" s="66">
        <f t="shared" si="6"/>
        <v>0</v>
      </c>
      <c r="W222" s="81">
        <f t="shared" si="7"/>
        <v>0</v>
      </c>
      <c r="X222" s="82" t="str">
        <f t="shared" si="8"/>
        <v>EmileP68</v>
      </c>
      <c r="Y222" s="86" t="str">
        <f t="shared" si="9"/>
        <v>https://www.munzee.com/m/EmileP68/5375/</v>
      </c>
    </row>
    <row r="223" hidden="1" outlineLevel="1">
      <c r="A223" s="76" t="s">
        <v>567</v>
      </c>
      <c r="B223" s="77">
        <v>26.0</v>
      </c>
      <c r="C223" s="77">
        <v>8.0</v>
      </c>
      <c r="D223" s="64">
        <v>52.118848</v>
      </c>
      <c r="E223" s="64">
        <v>5.38235</v>
      </c>
      <c r="F223" s="78" t="s">
        <v>78</v>
      </c>
      <c r="G223" s="78" t="s">
        <v>79</v>
      </c>
      <c r="H223" s="78" t="s">
        <v>438</v>
      </c>
      <c r="I223" s="79" t="s">
        <v>568</v>
      </c>
      <c r="J223" s="80"/>
      <c r="K223" s="78" t="b">
        <v>1</v>
      </c>
      <c r="L223" s="66" t="str">
        <f t="shared" si="2"/>
        <v/>
      </c>
      <c r="M223" s="81" t="str">
        <f>IFERROR(__xludf.DUMMYFUNCTION("IF(W223=1,IFERROR(IMPORTXML(I223, ""//p[@class='status-date']""), ""Not deployed""),"""")"),"")</f>
        <v/>
      </c>
      <c r="N223" s="82"/>
      <c r="O223" s="66"/>
      <c r="P223" s="66"/>
      <c r="Q223" s="66"/>
      <c r="R223" s="83" t="str">
        <f t="shared" si="3"/>
        <v/>
      </c>
      <c r="S223" s="84" t="str">
        <f t="shared" si="4"/>
        <v/>
      </c>
      <c r="T223" s="85"/>
      <c r="U223" s="82">
        <f t="shared" si="5"/>
        <v>0</v>
      </c>
      <c r="V223" s="66">
        <f t="shared" si="6"/>
        <v>0</v>
      </c>
      <c r="W223" s="81">
        <f t="shared" si="7"/>
        <v>0</v>
      </c>
      <c r="X223" s="82" t="str">
        <f t="shared" si="8"/>
        <v>PawPatrolThomas</v>
      </c>
      <c r="Y223" s="86" t="str">
        <f t="shared" si="9"/>
        <v>https://www.munzee.com/m/PawPatrolThomas/4462/</v>
      </c>
    </row>
    <row r="224" hidden="1" outlineLevel="1">
      <c r="A224" s="76" t="s">
        <v>569</v>
      </c>
      <c r="B224" s="77">
        <v>26.0</v>
      </c>
      <c r="C224" s="77">
        <v>9.0</v>
      </c>
      <c r="D224" s="64">
        <v>52.118848</v>
      </c>
      <c r="E224" s="64">
        <v>5.382584</v>
      </c>
      <c r="F224" s="78" t="s">
        <v>78</v>
      </c>
      <c r="G224" s="78" t="s">
        <v>79</v>
      </c>
      <c r="H224" s="78" t="s">
        <v>432</v>
      </c>
      <c r="I224" s="79" t="s">
        <v>570</v>
      </c>
      <c r="J224" s="80"/>
      <c r="K224" s="78" t="b">
        <v>1</v>
      </c>
      <c r="L224" s="66" t="str">
        <f t="shared" si="2"/>
        <v/>
      </c>
      <c r="M224" s="81" t="str">
        <f>IFERROR(__xludf.DUMMYFUNCTION("IF(W224=1,IFERROR(IMPORTXML(I224, ""//p[@class='status-date']""), ""Not deployed""),"""")"),"")</f>
        <v/>
      </c>
      <c r="N224" s="82"/>
      <c r="O224" s="66"/>
      <c r="P224" s="66"/>
      <c r="Q224" s="66"/>
      <c r="R224" s="83" t="str">
        <f t="shared" si="3"/>
        <v/>
      </c>
      <c r="S224" s="84" t="str">
        <f t="shared" si="4"/>
        <v/>
      </c>
      <c r="T224" s="85"/>
      <c r="U224" s="82">
        <f t="shared" si="5"/>
        <v>0</v>
      </c>
      <c r="V224" s="66">
        <f t="shared" si="6"/>
        <v>0</v>
      </c>
      <c r="W224" s="81">
        <f t="shared" si="7"/>
        <v>0</v>
      </c>
      <c r="X224" s="82" t="str">
        <f t="shared" si="8"/>
        <v>sverlaan</v>
      </c>
      <c r="Y224" s="86" t="str">
        <f t="shared" si="9"/>
        <v>https://www.munzee.com/m/sverlaan/6546/</v>
      </c>
    </row>
    <row r="225" hidden="1" outlineLevel="1">
      <c r="A225" s="76" t="s">
        <v>571</v>
      </c>
      <c r="B225" s="77">
        <v>26.0</v>
      </c>
      <c r="C225" s="77">
        <v>10.0</v>
      </c>
      <c r="D225" s="64">
        <v>52.118848</v>
      </c>
      <c r="E225" s="64">
        <v>5.382818</v>
      </c>
      <c r="F225" s="78" t="s">
        <v>70</v>
      </c>
      <c r="G225" s="78" t="s">
        <v>71</v>
      </c>
      <c r="H225" s="78" t="s">
        <v>435</v>
      </c>
      <c r="I225" s="79" t="s">
        <v>572</v>
      </c>
      <c r="J225" s="80"/>
      <c r="K225" s="78" t="b">
        <v>1</v>
      </c>
      <c r="L225" s="66" t="str">
        <f t="shared" si="2"/>
        <v/>
      </c>
      <c r="M225" s="81" t="str">
        <f>IFERROR(__xludf.DUMMYFUNCTION("IF(W225=1,IFERROR(IMPORTXML(I225, ""//p[@class='status-date']""), ""Not deployed""),"""")"),"")</f>
        <v/>
      </c>
      <c r="N225" s="82"/>
      <c r="O225" s="66"/>
      <c r="P225" s="66"/>
      <c r="Q225" s="66"/>
      <c r="R225" s="83" t="str">
        <f t="shared" si="3"/>
        <v/>
      </c>
      <c r="S225" s="84" t="str">
        <f t="shared" si="4"/>
        <v/>
      </c>
      <c r="T225" s="85"/>
      <c r="U225" s="82">
        <f t="shared" si="5"/>
        <v>0</v>
      </c>
      <c r="V225" s="66">
        <f t="shared" si="6"/>
        <v>0</v>
      </c>
      <c r="W225" s="81">
        <f t="shared" si="7"/>
        <v>0</v>
      </c>
      <c r="X225" s="82" t="str">
        <f t="shared" si="8"/>
        <v>EmileP68</v>
      </c>
      <c r="Y225" s="86" t="str">
        <f t="shared" si="9"/>
        <v>https://www.munzee.com/m/EmileP68/5311/</v>
      </c>
    </row>
    <row r="226" hidden="1" outlineLevel="1">
      <c r="A226" s="76" t="s">
        <v>573</v>
      </c>
      <c r="B226" s="77">
        <v>26.0</v>
      </c>
      <c r="C226" s="77">
        <v>11.0</v>
      </c>
      <c r="D226" s="64">
        <v>52.118848</v>
      </c>
      <c r="E226" s="64">
        <v>5.383052</v>
      </c>
      <c r="F226" s="78" t="s">
        <v>70</v>
      </c>
      <c r="G226" s="78" t="s">
        <v>71</v>
      </c>
      <c r="H226" s="78" t="s">
        <v>438</v>
      </c>
      <c r="I226" s="79" t="s">
        <v>574</v>
      </c>
      <c r="J226" s="80"/>
      <c r="K226" s="78" t="b">
        <v>1</v>
      </c>
      <c r="L226" s="66" t="str">
        <f t="shared" si="2"/>
        <v/>
      </c>
      <c r="M226" s="81" t="str">
        <f>IFERROR(__xludf.DUMMYFUNCTION("IF(W226=1,IFERROR(IMPORTXML(I226, ""//p[@class='status-date']""), ""Not deployed""),"""")"),"")</f>
        <v/>
      </c>
      <c r="N226" s="82"/>
      <c r="O226" s="66"/>
      <c r="P226" s="66"/>
      <c r="Q226" s="66"/>
      <c r="R226" s="83" t="str">
        <f t="shared" si="3"/>
        <v/>
      </c>
      <c r="S226" s="84" t="str">
        <f t="shared" si="4"/>
        <v/>
      </c>
      <c r="T226" s="85"/>
      <c r="U226" s="82">
        <f t="shared" si="5"/>
        <v>0</v>
      </c>
      <c r="V226" s="66">
        <f t="shared" si="6"/>
        <v>0</v>
      </c>
      <c r="W226" s="81">
        <f t="shared" si="7"/>
        <v>0</v>
      </c>
      <c r="X226" s="82" t="str">
        <f t="shared" si="8"/>
        <v>PawPatrolThomas</v>
      </c>
      <c r="Y226" s="86" t="str">
        <f t="shared" si="9"/>
        <v>https://www.munzee.com/m/PawPatrolThomas/4414/</v>
      </c>
    </row>
    <row r="227" hidden="1" outlineLevel="1">
      <c r="A227" s="76" t="s">
        <v>575</v>
      </c>
      <c r="B227" s="77">
        <v>26.0</v>
      </c>
      <c r="C227" s="77">
        <v>12.0</v>
      </c>
      <c r="D227" s="64">
        <v>52.118848</v>
      </c>
      <c r="E227" s="64">
        <v>5.383286</v>
      </c>
      <c r="F227" s="78" t="s">
        <v>57</v>
      </c>
      <c r="G227" s="78" t="s">
        <v>58</v>
      </c>
      <c r="H227" s="78" t="s">
        <v>432</v>
      </c>
      <c r="I227" s="79" t="s">
        <v>576</v>
      </c>
      <c r="J227" s="80"/>
      <c r="K227" s="78" t="b">
        <v>1</v>
      </c>
      <c r="L227" s="66" t="str">
        <f t="shared" si="2"/>
        <v/>
      </c>
      <c r="M227" s="81" t="str">
        <f>IFERROR(__xludf.DUMMYFUNCTION("IF(W227=1,IFERROR(IMPORTXML(I227, ""//p[@class='status-date']""), ""Not deployed""),"""")"),"")</f>
        <v/>
      </c>
      <c r="N227" s="82"/>
      <c r="O227" s="66"/>
      <c r="P227" s="66"/>
      <c r="Q227" s="66"/>
      <c r="R227" s="83" t="str">
        <f t="shared" si="3"/>
        <v/>
      </c>
      <c r="S227" s="84" t="str">
        <f t="shared" si="4"/>
        <v/>
      </c>
      <c r="T227" s="85"/>
      <c r="U227" s="82">
        <f t="shared" si="5"/>
        <v>0</v>
      </c>
      <c r="V227" s="66">
        <f t="shared" si="6"/>
        <v>0</v>
      </c>
      <c r="W227" s="81">
        <f t="shared" si="7"/>
        <v>0</v>
      </c>
      <c r="X227" s="82" t="str">
        <f t="shared" si="8"/>
        <v>sverlaan</v>
      </c>
      <c r="Y227" s="86" t="str">
        <f t="shared" si="9"/>
        <v>https://www.munzee.com/m/sverlaan/6540/</v>
      </c>
    </row>
    <row r="228" hidden="1" outlineLevel="1">
      <c r="A228" s="76" t="s">
        <v>577</v>
      </c>
      <c r="B228" s="77">
        <v>26.0</v>
      </c>
      <c r="C228" s="77">
        <v>13.0</v>
      </c>
      <c r="D228" s="64">
        <v>52.118848</v>
      </c>
      <c r="E228" s="64">
        <v>5.38352</v>
      </c>
      <c r="F228" s="78" t="s">
        <v>57</v>
      </c>
      <c r="G228" s="78" t="s">
        <v>58</v>
      </c>
      <c r="H228" s="78" t="s">
        <v>435</v>
      </c>
      <c r="I228" s="79" t="s">
        <v>578</v>
      </c>
      <c r="J228" s="80"/>
      <c r="K228" s="78" t="b">
        <v>1</v>
      </c>
      <c r="L228" s="66" t="str">
        <f t="shared" si="2"/>
        <v/>
      </c>
      <c r="M228" s="81" t="str">
        <f>IFERROR(__xludf.DUMMYFUNCTION("IF(W228=1,IFERROR(IMPORTXML(I228, ""//p[@class='status-date']""), ""Not deployed""),"""")"),"")</f>
        <v/>
      </c>
      <c r="N228" s="82"/>
      <c r="O228" s="66"/>
      <c r="P228" s="66"/>
      <c r="Q228" s="66"/>
      <c r="R228" s="83" t="str">
        <f t="shared" si="3"/>
        <v/>
      </c>
      <c r="S228" s="84" t="str">
        <f t="shared" si="4"/>
        <v/>
      </c>
      <c r="T228" s="85"/>
      <c r="U228" s="82">
        <f t="shared" si="5"/>
        <v>0</v>
      </c>
      <c r="V228" s="66">
        <f t="shared" si="6"/>
        <v>0</v>
      </c>
      <c r="W228" s="81">
        <f t="shared" si="7"/>
        <v>0</v>
      </c>
      <c r="X228" s="82" t="str">
        <f t="shared" si="8"/>
        <v>EmileP68</v>
      </c>
      <c r="Y228" s="86" t="str">
        <f t="shared" si="9"/>
        <v>https://www.munzee.com/m/EmileP68/5297/</v>
      </c>
    </row>
    <row r="229" hidden="1" outlineLevel="1">
      <c r="A229" s="76" t="s">
        <v>579</v>
      </c>
      <c r="B229" s="77">
        <v>26.0</v>
      </c>
      <c r="C229" s="77">
        <v>14.0</v>
      </c>
      <c r="D229" s="64">
        <v>52.118848</v>
      </c>
      <c r="E229" s="64">
        <v>5.383754</v>
      </c>
      <c r="F229" s="78" t="s">
        <v>57</v>
      </c>
      <c r="G229" s="78" t="s">
        <v>58</v>
      </c>
      <c r="H229" s="78" t="s">
        <v>438</v>
      </c>
      <c r="I229" s="98" t="s">
        <v>580</v>
      </c>
      <c r="J229" s="80"/>
      <c r="K229" s="78" t="b">
        <v>1</v>
      </c>
      <c r="L229" s="66" t="str">
        <f t="shared" si="2"/>
        <v/>
      </c>
      <c r="M229" s="81" t="str">
        <f>IFERROR(__xludf.DUMMYFUNCTION("IF(W229=1,IFERROR(IMPORTXML(I229, ""//p[@class='status-date']""), ""Not deployed""),"""")"),"")</f>
        <v/>
      </c>
      <c r="N229" s="82"/>
      <c r="O229" s="66"/>
      <c r="P229" s="66"/>
      <c r="Q229" s="66"/>
      <c r="R229" s="83" t="str">
        <f t="shared" si="3"/>
        <v/>
      </c>
      <c r="S229" s="84" t="str">
        <f t="shared" si="4"/>
        <v/>
      </c>
      <c r="T229" s="85"/>
      <c r="U229" s="82">
        <f t="shared" si="5"/>
        <v>0</v>
      </c>
      <c r="V229" s="66">
        <f t="shared" si="6"/>
        <v>0</v>
      </c>
      <c r="W229" s="81">
        <f t="shared" si="7"/>
        <v>0</v>
      </c>
      <c r="X229" s="82" t="str">
        <f t="shared" si="8"/>
        <v>PawPatrolThomas</v>
      </c>
      <c r="Y229" s="86" t="str">
        <f t="shared" si="9"/>
        <v>https://www.munzee.com/m/PawPatrolThomas/4401/</v>
      </c>
    </row>
    <row r="230" hidden="1" outlineLevel="1">
      <c r="A230" s="76" t="s">
        <v>581</v>
      </c>
      <c r="B230" s="77">
        <v>26.0</v>
      </c>
      <c r="C230" s="77">
        <v>15.0</v>
      </c>
      <c r="D230" s="64">
        <v>52.118848</v>
      </c>
      <c r="E230" s="64">
        <v>5.383988</v>
      </c>
      <c r="F230" s="78" t="s">
        <v>57</v>
      </c>
      <c r="G230" s="78" t="s">
        <v>58</v>
      </c>
      <c r="H230" s="78" t="s">
        <v>432</v>
      </c>
      <c r="I230" s="79" t="s">
        <v>582</v>
      </c>
      <c r="J230" s="80"/>
      <c r="K230" s="78" t="b">
        <v>1</v>
      </c>
      <c r="L230" s="66" t="str">
        <f t="shared" si="2"/>
        <v/>
      </c>
      <c r="M230" s="81" t="str">
        <f>IFERROR(__xludf.DUMMYFUNCTION("IF(W230=1,IFERROR(IMPORTXML(I230, ""//p[@class='status-date']""), ""Not deployed""),"""")"),"")</f>
        <v/>
      </c>
      <c r="N230" s="82"/>
      <c r="O230" s="66"/>
      <c r="P230" s="66"/>
      <c r="Q230" s="66"/>
      <c r="R230" s="83" t="str">
        <f t="shared" si="3"/>
        <v/>
      </c>
      <c r="S230" s="84" t="str">
        <f t="shared" si="4"/>
        <v/>
      </c>
      <c r="T230" s="85"/>
      <c r="U230" s="82">
        <f t="shared" si="5"/>
        <v>0</v>
      </c>
      <c r="V230" s="66">
        <f t="shared" si="6"/>
        <v>0</v>
      </c>
      <c r="W230" s="81">
        <f t="shared" si="7"/>
        <v>0</v>
      </c>
      <c r="X230" s="82" t="str">
        <f t="shared" si="8"/>
        <v>sverlaan</v>
      </c>
      <c r="Y230" s="86" t="str">
        <f t="shared" si="9"/>
        <v>https://www.munzee.com/m/sverlaan/6455/</v>
      </c>
    </row>
    <row r="231" hidden="1" outlineLevel="1">
      <c r="A231" s="76" t="s">
        <v>583</v>
      </c>
      <c r="B231" s="77">
        <v>26.0</v>
      </c>
      <c r="C231" s="77">
        <v>16.0</v>
      </c>
      <c r="D231" s="64">
        <v>52.118848</v>
      </c>
      <c r="E231" s="64">
        <v>5.384222</v>
      </c>
      <c r="F231" s="78" t="s">
        <v>57</v>
      </c>
      <c r="G231" s="78" t="s">
        <v>58</v>
      </c>
      <c r="H231" s="78" t="s">
        <v>435</v>
      </c>
      <c r="I231" s="79" t="s">
        <v>584</v>
      </c>
      <c r="J231" s="80"/>
      <c r="K231" s="78" t="b">
        <v>1</v>
      </c>
      <c r="L231" s="66" t="str">
        <f t="shared" si="2"/>
        <v/>
      </c>
      <c r="M231" s="81" t="str">
        <f>IFERROR(__xludf.DUMMYFUNCTION("IF(W231=1,IFERROR(IMPORTXML(I231, ""//p[@class='status-date']""), ""Not deployed""),"""")"),"")</f>
        <v/>
      </c>
      <c r="N231" s="82"/>
      <c r="O231" s="66"/>
      <c r="P231" s="66"/>
      <c r="Q231" s="66"/>
      <c r="R231" s="83" t="str">
        <f t="shared" si="3"/>
        <v/>
      </c>
      <c r="S231" s="84" t="str">
        <f t="shared" si="4"/>
        <v/>
      </c>
      <c r="T231" s="85"/>
      <c r="U231" s="82">
        <f t="shared" si="5"/>
        <v>0</v>
      </c>
      <c r="V231" s="66">
        <f t="shared" si="6"/>
        <v>0</v>
      </c>
      <c r="W231" s="81">
        <f t="shared" si="7"/>
        <v>0</v>
      </c>
      <c r="X231" s="82" t="str">
        <f t="shared" si="8"/>
        <v>EmileP68</v>
      </c>
      <c r="Y231" s="86" t="str">
        <f t="shared" si="9"/>
        <v>https://www.munzee.com/m/EmileP68/5244/</v>
      </c>
    </row>
    <row r="232" hidden="1" outlineLevel="1">
      <c r="A232" s="76" t="s">
        <v>585</v>
      </c>
      <c r="B232" s="77">
        <v>26.0</v>
      </c>
      <c r="C232" s="77">
        <v>17.0</v>
      </c>
      <c r="D232" s="64">
        <v>52.118848</v>
      </c>
      <c r="E232" s="64">
        <v>5.384457</v>
      </c>
      <c r="F232" s="78" t="s">
        <v>57</v>
      </c>
      <c r="G232" s="78" t="s">
        <v>58</v>
      </c>
      <c r="H232" s="78" t="s">
        <v>438</v>
      </c>
      <c r="I232" s="79" t="s">
        <v>586</v>
      </c>
      <c r="J232" s="80"/>
      <c r="K232" s="78" t="b">
        <v>1</v>
      </c>
      <c r="L232" s="66" t="str">
        <f t="shared" si="2"/>
        <v/>
      </c>
      <c r="M232" s="81" t="str">
        <f>IFERROR(__xludf.DUMMYFUNCTION("IF(W232=1,IFERROR(IMPORTXML(I232, ""//p[@class='status-date']""), ""Not deployed""),"""")"),"")</f>
        <v/>
      </c>
      <c r="N232" s="82"/>
      <c r="O232" s="66"/>
      <c r="P232" s="66"/>
      <c r="Q232" s="66"/>
      <c r="R232" s="83" t="str">
        <f t="shared" si="3"/>
        <v/>
      </c>
      <c r="S232" s="84" t="str">
        <f t="shared" si="4"/>
        <v/>
      </c>
      <c r="T232" s="85"/>
      <c r="U232" s="82">
        <f t="shared" si="5"/>
        <v>0</v>
      </c>
      <c r="V232" s="66">
        <f t="shared" si="6"/>
        <v>0</v>
      </c>
      <c r="W232" s="81">
        <f t="shared" si="7"/>
        <v>0</v>
      </c>
      <c r="X232" s="82" t="str">
        <f t="shared" si="8"/>
        <v>PawPatrolThomas</v>
      </c>
      <c r="Y232" s="86" t="str">
        <f t="shared" si="9"/>
        <v>https://www.munzee.com/m/PawPatrolThomas/4400/</v>
      </c>
    </row>
    <row r="233" hidden="1" outlineLevel="1">
      <c r="A233" s="76" t="s">
        <v>587</v>
      </c>
      <c r="B233" s="77">
        <v>26.0</v>
      </c>
      <c r="C233" s="77">
        <v>18.0</v>
      </c>
      <c r="D233" s="64">
        <v>52.118848</v>
      </c>
      <c r="E233" s="64">
        <v>5.384691</v>
      </c>
      <c r="F233" s="78" t="s">
        <v>57</v>
      </c>
      <c r="G233" s="78" t="s">
        <v>58</v>
      </c>
      <c r="H233" s="78" t="s">
        <v>432</v>
      </c>
      <c r="I233" s="79" t="s">
        <v>588</v>
      </c>
      <c r="J233" s="80"/>
      <c r="K233" s="78" t="b">
        <v>1</v>
      </c>
      <c r="L233" s="66" t="str">
        <f t="shared" si="2"/>
        <v/>
      </c>
      <c r="M233" s="81" t="str">
        <f>IFERROR(__xludf.DUMMYFUNCTION("IF(W233=1,IFERROR(IMPORTXML(I233, ""//p[@class='status-date']""), ""Not deployed""),"""")"),"")</f>
        <v/>
      </c>
      <c r="N233" s="82"/>
      <c r="O233" s="66"/>
      <c r="P233" s="66"/>
      <c r="Q233" s="66"/>
      <c r="R233" s="83" t="str">
        <f t="shared" si="3"/>
        <v/>
      </c>
      <c r="S233" s="84" t="str">
        <f t="shared" si="4"/>
        <v/>
      </c>
      <c r="T233" s="85"/>
      <c r="U233" s="82">
        <f t="shared" si="5"/>
        <v>0</v>
      </c>
      <c r="V233" s="66">
        <f t="shared" si="6"/>
        <v>0</v>
      </c>
      <c r="W233" s="81">
        <f t="shared" si="7"/>
        <v>0</v>
      </c>
      <c r="X233" s="82" t="str">
        <f t="shared" si="8"/>
        <v>sverlaan</v>
      </c>
      <c r="Y233" s="86" t="str">
        <f t="shared" si="9"/>
        <v>https://www.munzee.com/m/sverlaan/6388/</v>
      </c>
    </row>
    <row r="234" hidden="1" outlineLevel="1">
      <c r="A234" s="76" t="s">
        <v>589</v>
      </c>
      <c r="B234" s="77">
        <v>26.0</v>
      </c>
      <c r="C234" s="77">
        <v>19.0</v>
      </c>
      <c r="D234" s="64">
        <v>52.118848</v>
      </c>
      <c r="E234" s="64">
        <v>5.384925</v>
      </c>
      <c r="F234" s="78" t="s">
        <v>57</v>
      </c>
      <c r="G234" s="78" t="s">
        <v>58</v>
      </c>
      <c r="H234" s="78" t="s">
        <v>435</v>
      </c>
      <c r="I234" s="79" t="s">
        <v>590</v>
      </c>
      <c r="J234" s="80"/>
      <c r="K234" s="78" t="b">
        <v>1</v>
      </c>
      <c r="L234" s="66" t="str">
        <f t="shared" si="2"/>
        <v/>
      </c>
      <c r="M234" s="81" t="str">
        <f>IFERROR(__xludf.DUMMYFUNCTION("IF(W234=1,IFERROR(IMPORTXML(I234, ""//p[@class='status-date']""), ""Not deployed""),"""")"),"")</f>
        <v/>
      </c>
      <c r="N234" s="82"/>
      <c r="O234" s="66"/>
      <c r="P234" s="66"/>
      <c r="Q234" s="66"/>
      <c r="R234" s="83" t="str">
        <f t="shared" si="3"/>
        <v/>
      </c>
      <c r="S234" s="84" t="str">
        <f t="shared" si="4"/>
        <v/>
      </c>
      <c r="T234" s="85"/>
      <c r="U234" s="82">
        <f t="shared" si="5"/>
        <v>0</v>
      </c>
      <c r="V234" s="66">
        <f t="shared" si="6"/>
        <v>0</v>
      </c>
      <c r="W234" s="81">
        <f t="shared" si="7"/>
        <v>0</v>
      </c>
      <c r="X234" s="82" t="str">
        <f t="shared" si="8"/>
        <v>EmileP68</v>
      </c>
      <c r="Y234" s="86" t="str">
        <f t="shared" si="9"/>
        <v>https://www.munzee.com/m/EmileP68/5234/</v>
      </c>
    </row>
    <row r="235" hidden="1" outlineLevel="1">
      <c r="A235" s="76" t="s">
        <v>591</v>
      </c>
      <c r="B235" s="77">
        <v>26.0</v>
      </c>
      <c r="C235" s="77">
        <v>20.0</v>
      </c>
      <c r="D235" s="64">
        <v>52.118848</v>
      </c>
      <c r="E235" s="64">
        <v>5.385159</v>
      </c>
      <c r="F235" s="78" t="s">
        <v>57</v>
      </c>
      <c r="G235" s="78" t="s">
        <v>58</v>
      </c>
      <c r="H235" s="78" t="s">
        <v>438</v>
      </c>
      <c r="I235" s="79" t="s">
        <v>592</v>
      </c>
      <c r="J235" s="80"/>
      <c r="K235" s="78" t="b">
        <v>1</v>
      </c>
      <c r="L235" s="66" t="str">
        <f t="shared" si="2"/>
        <v/>
      </c>
      <c r="M235" s="81" t="str">
        <f>IFERROR(__xludf.DUMMYFUNCTION("IF(W235=1,IFERROR(IMPORTXML(I235, ""//p[@class='status-date']""), ""Not deployed""),"""")"),"")</f>
        <v/>
      </c>
      <c r="N235" s="82"/>
      <c r="O235" s="66"/>
      <c r="P235" s="66"/>
      <c r="Q235" s="66"/>
      <c r="R235" s="83" t="str">
        <f t="shared" si="3"/>
        <v/>
      </c>
      <c r="S235" s="84" t="str">
        <f t="shared" si="4"/>
        <v/>
      </c>
      <c r="T235" s="85"/>
      <c r="U235" s="82">
        <f t="shared" si="5"/>
        <v>0</v>
      </c>
      <c r="V235" s="66">
        <f t="shared" si="6"/>
        <v>0</v>
      </c>
      <c r="W235" s="81">
        <f t="shared" si="7"/>
        <v>0</v>
      </c>
      <c r="X235" s="82" t="str">
        <f t="shared" si="8"/>
        <v>PawPatrolThomas</v>
      </c>
      <c r="Y235" s="86" t="str">
        <f t="shared" si="9"/>
        <v>https://www.munzee.com/m/PawPatrolThomas/4184/</v>
      </c>
    </row>
    <row r="236" hidden="1" outlineLevel="1">
      <c r="A236" s="76" t="s">
        <v>593</v>
      </c>
      <c r="B236" s="77">
        <v>26.0</v>
      </c>
      <c r="C236" s="77">
        <v>21.0</v>
      </c>
      <c r="D236" s="64">
        <v>52.118848</v>
      </c>
      <c r="E236" s="64">
        <v>5.385393</v>
      </c>
      <c r="F236" s="78" t="s">
        <v>57</v>
      </c>
      <c r="G236" s="78" t="s">
        <v>58</v>
      </c>
      <c r="H236" s="78" t="s">
        <v>323</v>
      </c>
      <c r="I236" s="79" t="s">
        <v>594</v>
      </c>
      <c r="J236" s="80"/>
      <c r="K236" s="78" t="b">
        <v>1</v>
      </c>
      <c r="L236" s="66" t="str">
        <f t="shared" si="2"/>
        <v/>
      </c>
      <c r="M236" s="81" t="str">
        <f>IFERROR(__xludf.DUMMYFUNCTION("IF(W236=1,IFERROR(IMPORTXML(I236, ""//p[@class='status-date']""), ""Not deployed""),"""")"),"")</f>
        <v/>
      </c>
      <c r="N236" s="82"/>
      <c r="O236" s="66"/>
      <c r="P236" s="66"/>
      <c r="Q236" s="66"/>
      <c r="R236" s="83" t="str">
        <f t="shared" si="3"/>
        <v/>
      </c>
      <c r="S236" s="84" t="str">
        <f t="shared" si="4"/>
        <v/>
      </c>
      <c r="T236" s="85"/>
      <c r="U236" s="82">
        <f t="shared" si="5"/>
        <v>0</v>
      </c>
      <c r="V236" s="66">
        <f t="shared" si="6"/>
        <v>0</v>
      </c>
      <c r="W236" s="81">
        <f t="shared" si="7"/>
        <v>0</v>
      </c>
      <c r="X236" s="82" t="str">
        <f t="shared" si="8"/>
        <v>theLuckyFinders</v>
      </c>
      <c r="Y236" s="86" t="str">
        <f t="shared" si="9"/>
        <v>https://www.munzee.com/m/theLuckyFinders/4025/</v>
      </c>
    </row>
    <row r="237" hidden="1" outlineLevel="1">
      <c r="A237" s="76" t="s">
        <v>595</v>
      </c>
      <c r="B237" s="77">
        <v>26.0</v>
      </c>
      <c r="C237" s="77">
        <v>22.0</v>
      </c>
      <c r="D237" s="64">
        <v>52.118848</v>
      </c>
      <c r="E237" s="64">
        <v>5.385627</v>
      </c>
      <c r="F237" s="78" t="s">
        <v>70</v>
      </c>
      <c r="G237" s="78" t="s">
        <v>71</v>
      </c>
      <c r="H237" s="66" t="str">
        <f>IF(ISTEXT(X237),X237,"")</f>
        <v>amundadus</v>
      </c>
      <c r="I237" s="79" t="s">
        <v>596</v>
      </c>
      <c r="J237" s="80"/>
      <c r="K237" s="78" t="b">
        <v>1</v>
      </c>
      <c r="L237" s="66" t="str">
        <f t="shared" si="2"/>
        <v/>
      </c>
      <c r="M237" s="81" t="str">
        <f>IFERROR(__xludf.DUMMYFUNCTION("IF(W237=1,IFERROR(IMPORTXML(I237, ""//p[@class='status-date']""), ""Not deployed""),"""")"),"")</f>
        <v/>
      </c>
      <c r="N237" s="82"/>
      <c r="O237" s="66"/>
      <c r="P237" s="66"/>
      <c r="Q237" s="66"/>
      <c r="R237" s="83" t="str">
        <f t="shared" si="3"/>
        <v/>
      </c>
      <c r="S237" s="84" t="str">
        <f t="shared" si="4"/>
        <v/>
      </c>
      <c r="T237" s="85"/>
      <c r="U237" s="82">
        <f t="shared" si="5"/>
        <v>0</v>
      </c>
      <c r="V237" s="66">
        <f t="shared" si="6"/>
        <v>0</v>
      </c>
      <c r="W237" s="81">
        <f t="shared" si="7"/>
        <v>0</v>
      </c>
      <c r="X237" s="82" t="str">
        <f t="shared" si="8"/>
        <v>amundadus</v>
      </c>
      <c r="Y237" s="86" t="str">
        <f t="shared" si="9"/>
        <v>https://www.munzee.com/m/amundadus/1613/</v>
      </c>
    </row>
    <row r="238" hidden="1" outlineLevel="1">
      <c r="A238" s="76" t="s">
        <v>597</v>
      </c>
      <c r="B238" s="77">
        <v>26.0</v>
      </c>
      <c r="C238" s="77">
        <v>23.0</v>
      </c>
      <c r="D238" s="64">
        <v>52.118848</v>
      </c>
      <c r="E238" s="64">
        <v>5.385861</v>
      </c>
      <c r="F238" s="78" t="s">
        <v>125</v>
      </c>
      <c r="G238" s="78" t="s">
        <v>126</v>
      </c>
      <c r="H238" s="78" t="s">
        <v>598</v>
      </c>
      <c r="I238" s="79" t="s">
        <v>599</v>
      </c>
      <c r="J238" s="80"/>
      <c r="K238" s="78" t="b">
        <v>1</v>
      </c>
      <c r="L238" s="66" t="str">
        <f t="shared" si="2"/>
        <v/>
      </c>
      <c r="M238" s="81" t="str">
        <f>IFERROR(__xludf.DUMMYFUNCTION("IF(W238=1,IFERROR(IMPORTXML(I238, ""//p[@class='status-date']""), ""Not deployed""),"""")"),"")</f>
        <v/>
      </c>
      <c r="N238" s="82"/>
      <c r="O238" s="66"/>
      <c r="P238" s="66"/>
      <c r="Q238" s="66"/>
      <c r="R238" s="83" t="str">
        <f t="shared" si="3"/>
        <v/>
      </c>
      <c r="S238" s="84" t="str">
        <f t="shared" si="4"/>
        <v/>
      </c>
      <c r="T238" s="85"/>
      <c r="U238" s="82">
        <f t="shared" si="5"/>
        <v>0</v>
      </c>
      <c r="V238" s="66">
        <f t="shared" si="6"/>
        <v>0</v>
      </c>
      <c r="W238" s="81">
        <f t="shared" si="7"/>
        <v>0</v>
      </c>
      <c r="X238" s="82" t="str">
        <f t="shared" si="8"/>
        <v>jesterjeff007</v>
      </c>
      <c r="Y238" s="86" t="str">
        <f t="shared" si="9"/>
        <v>https://www.munzee.com/m/jesterjeff007/6978/</v>
      </c>
    </row>
    <row r="239" hidden="1" outlineLevel="1">
      <c r="A239" s="76" t="s">
        <v>600</v>
      </c>
      <c r="B239" s="77">
        <v>26.0</v>
      </c>
      <c r="C239" s="77">
        <v>24.0</v>
      </c>
      <c r="D239" s="64">
        <v>52.118848</v>
      </c>
      <c r="E239" s="64">
        <v>5.386095</v>
      </c>
      <c r="F239" s="78" t="s">
        <v>51</v>
      </c>
      <c r="G239" s="78" t="s">
        <v>52</v>
      </c>
      <c r="H239" s="78" t="s">
        <v>601</v>
      </c>
      <c r="I239" s="79" t="s">
        <v>602</v>
      </c>
      <c r="J239" s="88"/>
      <c r="K239" s="78" t="b">
        <v>1</v>
      </c>
      <c r="L239" s="66" t="str">
        <f t="shared" si="2"/>
        <v/>
      </c>
      <c r="M239" s="81" t="str">
        <f>IFERROR(__xludf.DUMMYFUNCTION("IF(W239=1,IFERROR(IMPORTXML(I239, ""//p[@class='status-date']""), ""Not deployed""),"""")"),"")</f>
        <v/>
      </c>
      <c r="N239" s="82"/>
      <c r="O239" s="66"/>
      <c r="P239" s="66"/>
      <c r="Q239" s="66"/>
      <c r="R239" s="83" t="str">
        <f t="shared" si="3"/>
        <v/>
      </c>
      <c r="S239" s="84" t="str">
        <f t="shared" si="4"/>
        <v/>
      </c>
      <c r="T239" s="85"/>
      <c r="U239" s="82">
        <f t="shared" si="5"/>
        <v>0</v>
      </c>
      <c r="V239" s="66">
        <f t="shared" si="6"/>
        <v>0</v>
      </c>
      <c r="W239" s="81">
        <f t="shared" si="7"/>
        <v>0</v>
      </c>
      <c r="X239" s="82" t="str">
        <f t="shared" si="8"/>
        <v>kpcrystal07</v>
      </c>
      <c r="Y239" s="86" t="str">
        <f t="shared" si="9"/>
        <v>https://www.munzee.com/m/kpcrystal07/23951/</v>
      </c>
    </row>
    <row r="240" hidden="1" outlineLevel="1">
      <c r="A240" s="76" t="s">
        <v>603</v>
      </c>
      <c r="B240" s="77">
        <v>26.0</v>
      </c>
      <c r="C240" s="77">
        <v>25.0</v>
      </c>
      <c r="D240" s="64">
        <v>52.118848</v>
      </c>
      <c r="E240" s="64">
        <v>5.386329</v>
      </c>
      <c r="F240" s="78" t="s">
        <v>70</v>
      </c>
      <c r="G240" s="78" t="s">
        <v>71</v>
      </c>
      <c r="H240" s="78" t="s">
        <v>604</v>
      </c>
      <c r="I240" s="79" t="s">
        <v>605</v>
      </c>
      <c r="J240" s="80"/>
      <c r="K240" s="78" t="b">
        <v>1</v>
      </c>
      <c r="L240" s="66" t="str">
        <f t="shared" si="2"/>
        <v/>
      </c>
      <c r="M240" s="81" t="str">
        <f>IFERROR(__xludf.DUMMYFUNCTION("IF(W240=1,IFERROR(IMPORTXML(I240, ""//p[@class='status-date']""), ""Not deployed""),"""")"),"")</f>
        <v/>
      </c>
      <c r="N240" s="82"/>
      <c r="O240" s="66"/>
      <c r="P240" s="66"/>
      <c r="Q240" s="66"/>
      <c r="R240" s="83" t="str">
        <f t="shared" si="3"/>
        <v/>
      </c>
      <c r="S240" s="84" t="str">
        <f t="shared" si="4"/>
        <v/>
      </c>
      <c r="T240" s="85"/>
      <c r="U240" s="82">
        <f t="shared" si="5"/>
        <v>0</v>
      </c>
      <c r="V240" s="66">
        <f t="shared" si="6"/>
        <v>0</v>
      </c>
      <c r="W240" s="81">
        <f t="shared" si="7"/>
        <v>0</v>
      </c>
      <c r="X240" s="82" t="str">
        <f t="shared" si="8"/>
        <v>JackSparrow</v>
      </c>
      <c r="Y240" s="86" t="str">
        <f t="shared" si="9"/>
        <v>https://www.munzee.com/m/JackSparrow/45425/</v>
      </c>
    </row>
    <row r="241" hidden="1" outlineLevel="1">
      <c r="A241" s="76" t="s">
        <v>606</v>
      </c>
      <c r="B241" s="77">
        <v>26.0</v>
      </c>
      <c r="C241" s="77">
        <v>26.0</v>
      </c>
      <c r="D241" s="64">
        <v>52.118848</v>
      </c>
      <c r="E241" s="64">
        <v>5.386563</v>
      </c>
      <c r="F241" s="78" t="s">
        <v>125</v>
      </c>
      <c r="G241" s="78" t="s">
        <v>126</v>
      </c>
      <c r="H241" s="78" t="s">
        <v>443</v>
      </c>
      <c r="I241" s="94" t="s">
        <v>607</v>
      </c>
      <c r="J241" s="88"/>
      <c r="K241" s="78" t="b">
        <v>1</v>
      </c>
      <c r="L241" s="66" t="str">
        <f t="shared" si="2"/>
        <v/>
      </c>
      <c r="M241" s="81" t="str">
        <f>IFERROR(__xludf.DUMMYFUNCTION("IF(W241=1,IFERROR(IMPORTXML(I241, ""//p[@class='status-date']""), ""Not deployed""),"""")"),"")</f>
        <v/>
      </c>
      <c r="N241" s="82"/>
      <c r="O241" s="66"/>
      <c r="P241" s="66"/>
      <c r="Q241" s="66"/>
      <c r="R241" s="83" t="str">
        <f t="shared" si="3"/>
        <v/>
      </c>
      <c r="S241" s="84" t="str">
        <f t="shared" si="4"/>
        <v/>
      </c>
      <c r="T241" s="85"/>
      <c r="U241" s="82">
        <f t="shared" si="5"/>
        <v>0</v>
      </c>
      <c r="V241" s="66">
        <f t="shared" si="6"/>
        <v>0</v>
      </c>
      <c r="W241" s="81">
        <f t="shared" si="7"/>
        <v>0</v>
      </c>
      <c r="X241" s="82" t="str">
        <f t="shared" si="8"/>
        <v>RoversEnd</v>
      </c>
      <c r="Y241" s="86" t="str">
        <f t="shared" si="9"/>
        <v>https://www.munzee.com/m/RoversEnd/4267/</v>
      </c>
    </row>
    <row r="242" hidden="1" outlineLevel="1">
      <c r="A242" s="76" t="s">
        <v>608</v>
      </c>
      <c r="B242" s="77">
        <v>26.0</v>
      </c>
      <c r="C242" s="77">
        <v>27.0</v>
      </c>
      <c r="D242" s="64">
        <v>52.118848</v>
      </c>
      <c r="E242" s="64">
        <v>5.386797</v>
      </c>
      <c r="F242" s="78" t="s">
        <v>125</v>
      </c>
      <c r="G242" s="78" t="s">
        <v>126</v>
      </c>
      <c r="H242" s="78" t="s">
        <v>601</v>
      </c>
      <c r="I242" s="87" t="s">
        <v>609</v>
      </c>
      <c r="J242" s="80"/>
      <c r="K242" s="78" t="b">
        <v>1</v>
      </c>
      <c r="L242" s="66" t="str">
        <f t="shared" si="2"/>
        <v/>
      </c>
      <c r="M242" s="81" t="str">
        <f>IFERROR(__xludf.DUMMYFUNCTION("IF(W242=1,IFERROR(IMPORTXML(I242, ""//p[@class='status-date']""), ""Not deployed""),"""")"),"")</f>
        <v/>
      </c>
      <c r="N242" s="82"/>
      <c r="O242" s="66"/>
      <c r="P242" s="66"/>
      <c r="Q242" s="66"/>
      <c r="R242" s="83" t="str">
        <f t="shared" si="3"/>
        <v/>
      </c>
      <c r="S242" s="84" t="str">
        <f t="shared" si="4"/>
        <v/>
      </c>
      <c r="T242" s="85"/>
      <c r="U242" s="82">
        <f t="shared" si="5"/>
        <v>0</v>
      </c>
      <c r="V242" s="66">
        <f t="shared" si="6"/>
        <v>0</v>
      </c>
      <c r="W242" s="81">
        <f t="shared" si="7"/>
        <v>0</v>
      </c>
      <c r="X242" s="82" t="str">
        <f t="shared" si="8"/>
        <v>kpcrystal07</v>
      </c>
      <c r="Y242" s="86" t="str">
        <f t="shared" si="9"/>
        <v>https://www.munzee.com/m/kpcrystal07/23952/</v>
      </c>
    </row>
    <row r="243" hidden="1" outlineLevel="1">
      <c r="A243" s="76" t="s">
        <v>610</v>
      </c>
      <c r="B243" s="77">
        <v>26.0</v>
      </c>
      <c r="C243" s="77">
        <v>28.0</v>
      </c>
      <c r="D243" s="64">
        <v>52.118848</v>
      </c>
      <c r="E243" s="64">
        <v>5.387031</v>
      </c>
      <c r="F243" s="78" t="s">
        <v>70</v>
      </c>
      <c r="G243" s="78" t="s">
        <v>71</v>
      </c>
      <c r="H243" s="78" t="s">
        <v>611</v>
      </c>
      <c r="I243" s="96" t="s">
        <v>612</v>
      </c>
      <c r="J243" s="80"/>
      <c r="K243" s="78" t="b">
        <v>1</v>
      </c>
      <c r="L243" s="66" t="str">
        <f t="shared" si="2"/>
        <v/>
      </c>
      <c r="M243" s="81" t="str">
        <f>IFERROR(__xludf.DUMMYFUNCTION("IF(W243=1,IFERROR(IMPORTXML(I243, ""//p[@class='status-date']""), ""Not deployed""),"""")"),"")</f>
        <v/>
      </c>
      <c r="N243" s="82"/>
      <c r="O243" s="66"/>
      <c r="P243" s="66"/>
      <c r="Q243" s="66"/>
      <c r="R243" s="83" t="str">
        <f t="shared" si="3"/>
        <v/>
      </c>
      <c r="S243" s="84" t="str">
        <f t="shared" si="4"/>
        <v/>
      </c>
      <c r="T243" s="85"/>
      <c r="U243" s="82">
        <f t="shared" si="5"/>
        <v>0</v>
      </c>
      <c r="V243" s="66">
        <f t="shared" si="6"/>
        <v>0</v>
      </c>
      <c r="W243" s="81">
        <f t="shared" si="7"/>
        <v>0</v>
      </c>
      <c r="X243" s="82" t="str">
        <f t="shared" si="8"/>
        <v>Aniara</v>
      </c>
      <c r="Y243" s="86" t="str">
        <f t="shared" si="9"/>
        <v>https://www.munzee.com/m/Aniara/16276/</v>
      </c>
    </row>
    <row r="244" hidden="1" outlineLevel="1">
      <c r="A244" s="76" t="s">
        <v>613</v>
      </c>
      <c r="B244" s="77">
        <v>26.0</v>
      </c>
      <c r="C244" s="77">
        <v>29.0</v>
      </c>
      <c r="D244" s="64">
        <v>52.118848</v>
      </c>
      <c r="E244" s="64">
        <v>5.387265</v>
      </c>
      <c r="F244" s="78" t="s">
        <v>70</v>
      </c>
      <c r="G244" s="78" t="s">
        <v>71</v>
      </c>
      <c r="H244" s="78" t="s">
        <v>614</v>
      </c>
      <c r="I244" s="79" t="s">
        <v>615</v>
      </c>
      <c r="J244" s="80"/>
      <c r="K244" s="78" t="b">
        <v>1</v>
      </c>
      <c r="L244" s="66" t="str">
        <f t="shared" si="2"/>
        <v/>
      </c>
      <c r="M244" s="81" t="str">
        <f>IFERROR(__xludf.DUMMYFUNCTION("IF(W244=1,IFERROR(IMPORTXML(I244, ""//p[@class='status-date']""), ""Not deployed""),"""")"),"")</f>
        <v/>
      </c>
      <c r="N244" s="82"/>
      <c r="O244" s="66"/>
      <c r="P244" s="66"/>
      <c r="Q244" s="66"/>
      <c r="R244" s="83" t="str">
        <f t="shared" si="3"/>
        <v/>
      </c>
      <c r="S244" s="84" t="str">
        <f t="shared" si="4"/>
        <v/>
      </c>
      <c r="T244" s="85"/>
      <c r="U244" s="82">
        <f t="shared" si="5"/>
        <v>0</v>
      </c>
      <c r="V244" s="66">
        <f t="shared" si="6"/>
        <v>0</v>
      </c>
      <c r="W244" s="81">
        <f t="shared" si="7"/>
        <v>0</v>
      </c>
      <c r="X244" s="82" t="str">
        <f t="shared" si="8"/>
        <v>BonnieB1</v>
      </c>
      <c r="Y244" s="86" t="str">
        <f t="shared" si="9"/>
        <v>https://www.munzee.com/m/BonnieB1/15566/</v>
      </c>
    </row>
    <row r="245" hidden="1" outlineLevel="1">
      <c r="A245" s="76" t="s">
        <v>616</v>
      </c>
      <c r="B245" s="77">
        <v>26.0</v>
      </c>
      <c r="C245" s="77">
        <v>30.0</v>
      </c>
      <c r="D245" s="64">
        <v>52.118848</v>
      </c>
      <c r="E245" s="64">
        <v>5.3875</v>
      </c>
      <c r="F245" s="78" t="s">
        <v>51</v>
      </c>
      <c r="G245" s="78" t="s">
        <v>52</v>
      </c>
      <c r="H245" s="78" t="s">
        <v>601</v>
      </c>
      <c r="I245" s="79" t="s">
        <v>617</v>
      </c>
      <c r="J245" s="88"/>
      <c r="K245" s="78" t="b">
        <v>1</v>
      </c>
      <c r="L245" s="66" t="str">
        <f t="shared" si="2"/>
        <v/>
      </c>
      <c r="M245" s="81" t="str">
        <f>IFERROR(__xludf.DUMMYFUNCTION("IF(W245=1,IFERROR(IMPORTXML(I245, ""//p[@class='status-date']""), ""Not deployed""),"""")"),"")</f>
        <v/>
      </c>
      <c r="N245" s="82"/>
      <c r="O245" s="66"/>
      <c r="P245" s="66"/>
      <c r="Q245" s="66"/>
      <c r="R245" s="83" t="str">
        <f t="shared" si="3"/>
        <v/>
      </c>
      <c r="S245" s="84" t="str">
        <f t="shared" si="4"/>
        <v/>
      </c>
      <c r="T245" s="85"/>
      <c r="U245" s="82">
        <f t="shared" si="5"/>
        <v>0</v>
      </c>
      <c r="V245" s="66">
        <f t="shared" si="6"/>
        <v>0</v>
      </c>
      <c r="W245" s="81">
        <f t="shared" si="7"/>
        <v>0</v>
      </c>
      <c r="X245" s="82" t="str">
        <f t="shared" si="8"/>
        <v>kpcrystal07</v>
      </c>
      <c r="Y245" s="86" t="str">
        <f t="shared" si="9"/>
        <v>https://www.munzee.com/m/kpcrystal07/23953/</v>
      </c>
    </row>
    <row r="246" hidden="1" outlineLevel="1">
      <c r="A246" s="76" t="s">
        <v>618</v>
      </c>
      <c r="B246" s="77">
        <v>27.0</v>
      </c>
      <c r="C246" s="77">
        <v>6.0</v>
      </c>
      <c r="D246" s="64">
        <v>52.118704</v>
      </c>
      <c r="E246" s="64">
        <v>5.381882</v>
      </c>
      <c r="F246" s="78" t="s">
        <v>78</v>
      </c>
      <c r="G246" s="78" t="s">
        <v>79</v>
      </c>
      <c r="H246" s="78" t="s">
        <v>619</v>
      </c>
      <c r="I246" s="79" t="s">
        <v>620</v>
      </c>
      <c r="J246" s="80"/>
      <c r="K246" s="78" t="b">
        <v>1</v>
      </c>
      <c r="L246" s="66" t="str">
        <f t="shared" si="2"/>
        <v/>
      </c>
      <c r="M246" s="81" t="str">
        <f>IFERROR(__xludf.DUMMYFUNCTION("IF(W246=1,IFERROR(IMPORTXML(I246, ""//p[@class='status-date']""), ""Not deployed""),"""")"),"")</f>
        <v/>
      </c>
      <c r="N246" s="82"/>
      <c r="O246" s="66"/>
      <c r="P246" s="66"/>
      <c r="Q246" s="66"/>
      <c r="R246" s="83" t="str">
        <f t="shared" si="3"/>
        <v/>
      </c>
      <c r="S246" s="84" t="str">
        <f t="shared" si="4"/>
        <v/>
      </c>
      <c r="T246" s="85"/>
      <c r="U246" s="82">
        <f t="shared" si="5"/>
        <v>0</v>
      </c>
      <c r="V246" s="66">
        <f t="shared" si="6"/>
        <v>0</v>
      </c>
      <c r="W246" s="81">
        <f t="shared" si="7"/>
        <v>0</v>
      </c>
      <c r="X246" s="82" t="str">
        <f t="shared" si="8"/>
        <v>janzattic</v>
      </c>
      <c r="Y246" s="86" t="str">
        <f t="shared" si="9"/>
        <v>https://www.munzee.com/m/janzattic/15131/</v>
      </c>
    </row>
    <row r="247" hidden="1" outlineLevel="1">
      <c r="A247" s="76" t="s">
        <v>621</v>
      </c>
      <c r="B247" s="77">
        <v>27.0</v>
      </c>
      <c r="C247" s="77">
        <v>7.0</v>
      </c>
      <c r="D247" s="64">
        <v>52.118704</v>
      </c>
      <c r="E247" s="64">
        <v>5.382116</v>
      </c>
      <c r="F247" s="78" t="s">
        <v>57</v>
      </c>
      <c r="G247" s="78" t="s">
        <v>58</v>
      </c>
      <c r="H247" s="78" t="s">
        <v>622</v>
      </c>
      <c r="I247" s="79" t="s">
        <v>623</v>
      </c>
      <c r="J247" s="80"/>
      <c r="K247" s="78" t="b">
        <v>1</v>
      </c>
      <c r="L247" s="66" t="str">
        <f t="shared" si="2"/>
        <v/>
      </c>
      <c r="M247" s="81" t="str">
        <f>IFERROR(__xludf.DUMMYFUNCTION("IF(W247=1,IFERROR(IMPORTXML(I247, ""//p[@class='status-date']""), ""Not deployed""),"""")"),"")</f>
        <v/>
      </c>
      <c r="N247" s="82"/>
      <c r="O247" s="66"/>
      <c r="P247" s="66"/>
      <c r="Q247" s="66"/>
      <c r="R247" s="83" t="str">
        <f t="shared" si="3"/>
        <v/>
      </c>
      <c r="S247" s="84" t="str">
        <f t="shared" si="4"/>
        <v/>
      </c>
      <c r="T247" s="85"/>
      <c r="U247" s="82">
        <f t="shared" si="5"/>
        <v>0</v>
      </c>
      <c r="V247" s="66">
        <f t="shared" si="6"/>
        <v>0</v>
      </c>
      <c r="W247" s="81">
        <f t="shared" si="7"/>
        <v>0</v>
      </c>
      <c r="X247" s="82" t="str">
        <f t="shared" si="8"/>
        <v>hz</v>
      </c>
      <c r="Y247" s="86" t="str">
        <f t="shared" si="9"/>
        <v>https://www.munzee.com/m/hz/5785/</v>
      </c>
    </row>
    <row r="248" hidden="1" outlineLevel="1">
      <c r="A248" s="76" t="s">
        <v>624</v>
      </c>
      <c r="B248" s="77">
        <v>27.0</v>
      </c>
      <c r="C248" s="77">
        <v>8.0</v>
      </c>
      <c r="D248" s="64">
        <v>52.118704</v>
      </c>
      <c r="E248" s="64">
        <v>5.38235</v>
      </c>
      <c r="F248" s="78" t="s">
        <v>78</v>
      </c>
      <c r="G248" s="78" t="s">
        <v>79</v>
      </c>
      <c r="H248" s="78" t="s">
        <v>601</v>
      </c>
      <c r="I248" s="79" t="s">
        <v>625</v>
      </c>
      <c r="J248" s="80"/>
      <c r="K248" s="78" t="b">
        <v>1</v>
      </c>
      <c r="L248" s="66" t="str">
        <f t="shared" si="2"/>
        <v/>
      </c>
      <c r="M248" s="81" t="str">
        <f>IFERROR(__xludf.DUMMYFUNCTION("IF(W248=1,IFERROR(IMPORTXML(I248, ""//p[@class='status-date']""), ""Not deployed""),"""")"),"")</f>
        <v/>
      </c>
      <c r="N248" s="82"/>
      <c r="O248" s="66"/>
      <c r="P248" s="66"/>
      <c r="Q248" s="66"/>
      <c r="R248" s="83" t="str">
        <f t="shared" si="3"/>
        <v/>
      </c>
      <c r="S248" s="84" t="str">
        <f t="shared" si="4"/>
        <v/>
      </c>
      <c r="T248" s="85"/>
      <c r="U248" s="82">
        <f t="shared" si="5"/>
        <v>0</v>
      </c>
      <c r="V248" s="66">
        <f t="shared" si="6"/>
        <v>0</v>
      </c>
      <c r="W248" s="81">
        <f t="shared" si="7"/>
        <v>0</v>
      </c>
      <c r="X248" s="82" t="str">
        <f t="shared" si="8"/>
        <v>kpcrystal07</v>
      </c>
      <c r="Y248" s="86" t="str">
        <f t="shared" si="9"/>
        <v>https://www.munzee.com/m/kpcrystal07/23954/</v>
      </c>
    </row>
    <row r="249" hidden="1" outlineLevel="1">
      <c r="A249" s="76" t="s">
        <v>626</v>
      </c>
      <c r="B249" s="77">
        <v>27.0</v>
      </c>
      <c r="C249" s="77">
        <v>9.0</v>
      </c>
      <c r="D249" s="64">
        <v>52.118704</v>
      </c>
      <c r="E249" s="64">
        <v>5.382584</v>
      </c>
      <c r="F249" s="78" t="s">
        <v>78</v>
      </c>
      <c r="G249" s="78" t="s">
        <v>79</v>
      </c>
      <c r="H249" s="78" t="s">
        <v>556</v>
      </c>
      <c r="I249" s="79" t="s">
        <v>627</v>
      </c>
      <c r="J249" s="80"/>
      <c r="K249" s="78" t="b">
        <v>1</v>
      </c>
      <c r="L249" s="66" t="str">
        <f t="shared" si="2"/>
        <v/>
      </c>
      <c r="M249" s="81" t="str">
        <f>IFERROR(__xludf.DUMMYFUNCTION("IF(W249=1,IFERROR(IMPORTXML(I249, ""//p[@class='status-date']""), ""Not deployed""),"""")"),"")</f>
        <v/>
      </c>
      <c r="N249" s="82"/>
      <c r="O249" s="66"/>
      <c r="P249" s="66"/>
      <c r="Q249" s="66"/>
      <c r="R249" s="83" t="str">
        <f t="shared" si="3"/>
        <v/>
      </c>
      <c r="S249" s="84" t="str">
        <f t="shared" si="4"/>
        <v/>
      </c>
      <c r="T249" s="85"/>
      <c r="U249" s="82">
        <f t="shared" si="5"/>
        <v>0</v>
      </c>
      <c r="V249" s="66">
        <f t="shared" si="6"/>
        <v>0</v>
      </c>
      <c r="W249" s="81">
        <f t="shared" si="7"/>
        <v>0</v>
      </c>
      <c r="X249" s="82" t="str">
        <f t="shared" si="8"/>
        <v>Tornado</v>
      </c>
      <c r="Y249" s="86" t="str">
        <f t="shared" si="9"/>
        <v>https://www.munzee.com/m/Tornado/5474/</v>
      </c>
    </row>
    <row r="250" hidden="1" outlineLevel="1">
      <c r="A250" s="76" t="s">
        <v>628</v>
      </c>
      <c r="B250" s="77">
        <v>27.0</v>
      </c>
      <c r="C250" s="77">
        <v>10.0</v>
      </c>
      <c r="D250" s="64">
        <v>52.118704</v>
      </c>
      <c r="E250" s="64">
        <v>5.382818</v>
      </c>
      <c r="F250" s="78" t="s">
        <v>78</v>
      </c>
      <c r="G250" s="78" t="s">
        <v>79</v>
      </c>
      <c r="H250" s="78" t="s">
        <v>622</v>
      </c>
      <c r="I250" s="79" t="s">
        <v>629</v>
      </c>
      <c r="J250" s="80"/>
      <c r="K250" s="78" t="b">
        <v>1</v>
      </c>
      <c r="L250" s="66" t="str">
        <f t="shared" si="2"/>
        <v/>
      </c>
      <c r="M250" s="81" t="str">
        <f>IFERROR(__xludf.DUMMYFUNCTION("IF(W250=1,IFERROR(IMPORTXML(I250, ""//p[@class='status-date']""), ""Not deployed""),"""")"),"")</f>
        <v/>
      </c>
      <c r="N250" s="82"/>
      <c r="O250" s="66"/>
      <c r="P250" s="66"/>
      <c r="Q250" s="66"/>
      <c r="R250" s="83" t="str">
        <f t="shared" si="3"/>
        <v/>
      </c>
      <c r="S250" s="84" t="str">
        <f t="shared" si="4"/>
        <v/>
      </c>
      <c r="T250" s="85"/>
      <c r="U250" s="82">
        <f t="shared" si="5"/>
        <v>0</v>
      </c>
      <c r="V250" s="66">
        <f t="shared" si="6"/>
        <v>0</v>
      </c>
      <c r="W250" s="81">
        <f t="shared" si="7"/>
        <v>0</v>
      </c>
      <c r="X250" s="82" t="str">
        <f t="shared" si="8"/>
        <v>hz</v>
      </c>
      <c r="Y250" s="86" t="str">
        <f t="shared" si="9"/>
        <v>https://www.munzee.com/m/hz/5784/</v>
      </c>
    </row>
    <row r="251" hidden="1" outlineLevel="1">
      <c r="A251" s="76" t="s">
        <v>630</v>
      </c>
      <c r="B251" s="77">
        <v>27.0</v>
      </c>
      <c r="C251" s="77">
        <v>11.0</v>
      </c>
      <c r="D251" s="64">
        <v>52.118704</v>
      </c>
      <c r="E251" s="64">
        <v>5.383052</v>
      </c>
      <c r="F251" s="78" t="s">
        <v>78</v>
      </c>
      <c r="G251" s="78" t="s">
        <v>79</v>
      </c>
      <c r="H251" s="78" t="s">
        <v>601</v>
      </c>
      <c r="I251" s="79" t="s">
        <v>631</v>
      </c>
      <c r="J251" s="80"/>
      <c r="K251" s="78" t="b">
        <v>1</v>
      </c>
      <c r="L251" s="66" t="str">
        <f t="shared" si="2"/>
        <v/>
      </c>
      <c r="M251" s="81" t="str">
        <f>IFERROR(__xludf.DUMMYFUNCTION("IF(W251=1,IFERROR(IMPORTXML(I251, ""//p[@class='status-date']""), ""Not deployed""),"""")"),"")</f>
        <v/>
      </c>
      <c r="N251" s="82"/>
      <c r="O251" s="66"/>
      <c r="P251" s="66"/>
      <c r="Q251" s="66"/>
      <c r="R251" s="83" t="str">
        <f t="shared" si="3"/>
        <v/>
      </c>
      <c r="S251" s="84" t="str">
        <f t="shared" si="4"/>
        <v/>
      </c>
      <c r="T251" s="85"/>
      <c r="U251" s="82">
        <f t="shared" si="5"/>
        <v>0</v>
      </c>
      <c r="V251" s="66">
        <f t="shared" si="6"/>
        <v>0</v>
      </c>
      <c r="W251" s="81">
        <f t="shared" si="7"/>
        <v>0</v>
      </c>
      <c r="X251" s="82" t="str">
        <f t="shared" si="8"/>
        <v>kpcrystal07</v>
      </c>
      <c r="Y251" s="86" t="str">
        <f t="shared" si="9"/>
        <v>https://www.munzee.com/m/kpcrystal07/23955/</v>
      </c>
    </row>
    <row r="252" hidden="1" outlineLevel="1">
      <c r="A252" s="76" t="s">
        <v>632</v>
      </c>
      <c r="B252" s="77">
        <v>27.0</v>
      </c>
      <c r="C252" s="77">
        <v>12.0</v>
      </c>
      <c r="D252" s="64">
        <v>52.118704</v>
      </c>
      <c r="E252" s="64">
        <v>5.383286</v>
      </c>
      <c r="F252" s="78" t="s">
        <v>78</v>
      </c>
      <c r="G252" s="78" t="s">
        <v>79</v>
      </c>
      <c r="H252" s="78" t="s">
        <v>633</v>
      </c>
      <c r="I252" s="87" t="s">
        <v>634</v>
      </c>
      <c r="J252" s="80"/>
      <c r="K252" s="78" t="b">
        <v>1</v>
      </c>
      <c r="L252" s="66" t="str">
        <f t="shared" si="2"/>
        <v/>
      </c>
      <c r="M252" s="81" t="str">
        <f>IFERROR(__xludf.DUMMYFUNCTION("IF(W252=1,IFERROR(IMPORTXML(I252, ""//p[@class='status-date']""), ""Not deployed""),"""")"),"")</f>
        <v/>
      </c>
      <c r="N252" s="82"/>
      <c r="O252" s="66"/>
      <c r="P252" s="66"/>
      <c r="Q252" s="66"/>
      <c r="R252" s="83" t="str">
        <f t="shared" si="3"/>
        <v/>
      </c>
      <c r="S252" s="84" t="str">
        <f t="shared" si="4"/>
        <v/>
      </c>
      <c r="T252" s="85"/>
      <c r="U252" s="82">
        <f t="shared" si="5"/>
        <v>0</v>
      </c>
      <c r="V252" s="66">
        <f t="shared" si="6"/>
        <v>0</v>
      </c>
      <c r="W252" s="81">
        <f t="shared" si="7"/>
        <v>0</v>
      </c>
      <c r="X252" s="82" t="str">
        <f t="shared" si="8"/>
        <v>Eskiss</v>
      </c>
      <c r="Y252" s="86" t="str">
        <f t="shared" si="9"/>
        <v>https://www.munzee.com/m/Eskiss/5789/</v>
      </c>
    </row>
    <row r="253" hidden="1" outlineLevel="1">
      <c r="A253" s="76" t="s">
        <v>635</v>
      </c>
      <c r="B253" s="77">
        <v>27.0</v>
      </c>
      <c r="C253" s="77">
        <v>13.0</v>
      </c>
      <c r="D253" s="64">
        <v>52.118704</v>
      </c>
      <c r="E253" s="64">
        <v>5.38352</v>
      </c>
      <c r="F253" s="78" t="s">
        <v>78</v>
      </c>
      <c r="G253" s="78" t="s">
        <v>79</v>
      </c>
      <c r="H253" s="78" t="s">
        <v>622</v>
      </c>
      <c r="I253" s="79" t="s">
        <v>636</v>
      </c>
      <c r="J253" s="80"/>
      <c r="K253" s="78" t="b">
        <v>1</v>
      </c>
      <c r="L253" s="66" t="str">
        <f t="shared" si="2"/>
        <v/>
      </c>
      <c r="M253" s="81" t="str">
        <f>IFERROR(__xludf.DUMMYFUNCTION("IF(W253=1,IFERROR(IMPORTXML(I253, ""//p[@class='status-date']""), ""Not deployed""),"""")"),"")</f>
        <v/>
      </c>
      <c r="N253" s="82"/>
      <c r="O253" s="66"/>
      <c r="P253" s="66"/>
      <c r="Q253" s="66"/>
      <c r="R253" s="83" t="str">
        <f t="shared" si="3"/>
        <v/>
      </c>
      <c r="S253" s="84" t="str">
        <f t="shared" si="4"/>
        <v/>
      </c>
      <c r="T253" s="85"/>
      <c r="U253" s="82">
        <f t="shared" si="5"/>
        <v>0</v>
      </c>
      <c r="V253" s="66">
        <f t="shared" si="6"/>
        <v>0</v>
      </c>
      <c r="W253" s="81">
        <f t="shared" si="7"/>
        <v>0</v>
      </c>
      <c r="X253" s="82" t="str">
        <f t="shared" si="8"/>
        <v>hz</v>
      </c>
      <c r="Y253" s="86" t="str">
        <f t="shared" si="9"/>
        <v>https://www.munzee.com/m/hz/5781/</v>
      </c>
    </row>
    <row r="254" hidden="1" outlineLevel="1">
      <c r="A254" s="76" t="s">
        <v>637</v>
      </c>
      <c r="B254" s="77">
        <v>27.0</v>
      </c>
      <c r="C254" s="77">
        <v>14.0</v>
      </c>
      <c r="D254" s="64">
        <v>52.118704</v>
      </c>
      <c r="E254" s="64">
        <v>5.383754</v>
      </c>
      <c r="F254" s="78" t="s">
        <v>78</v>
      </c>
      <c r="G254" s="78" t="s">
        <v>79</v>
      </c>
      <c r="H254" s="78" t="s">
        <v>601</v>
      </c>
      <c r="I254" s="79" t="s">
        <v>638</v>
      </c>
      <c r="J254" s="80"/>
      <c r="K254" s="78" t="b">
        <v>1</v>
      </c>
      <c r="L254" s="66" t="str">
        <f t="shared" si="2"/>
        <v/>
      </c>
      <c r="M254" s="81" t="str">
        <f>IFERROR(__xludf.DUMMYFUNCTION("IF(W254=1,IFERROR(IMPORTXML(I254, ""//p[@class='status-date']""), ""Not deployed""),"""")"),"")</f>
        <v/>
      </c>
      <c r="N254" s="82"/>
      <c r="O254" s="66"/>
      <c r="P254" s="66"/>
      <c r="Q254" s="66"/>
      <c r="R254" s="83" t="str">
        <f t="shared" si="3"/>
        <v/>
      </c>
      <c r="S254" s="84" t="str">
        <f t="shared" si="4"/>
        <v/>
      </c>
      <c r="T254" s="85"/>
      <c r="U254" s="82">
        <f t="shared" si="5"/>
        <v>0</v>
      </c>
      <c r="V254" s="66">
        <f t="shared" si="6"/>
        <v>0</v>
      </c>
      <c r="W254" s="81">
        <f t="shared" si="7"/>
        <v>0</v>
      </c>
      <c r="X254" s="82" t="str">
        <f t="shared" si="8"/>
        <v>kpcrystal07</v>
      </c>
      <c r="Y254" s="86" t="str">
        <f t="shared" si="9"/>
        <v>https://www.munzee.com/m/kpcrystal07/23956/</v>
      </c>
    </row>
    <row r="255" hidden="1" outlineLevel="1">
      <c r="A255" s="76" t="s">
        <v>639</v>
      </c>
      <c r="B255" s="77">
        <v>27.0</v>
      </c>
      <c r="C255" s="77">
        <v>15.0</v>
      </c>
      <c r="D255" s="64">
        <v>52.118704</v>
      </c>
      <c r="E255" s="64">
        <v>5.383988</v>
      </c>
      <c r="F255" s="78" t="s">
        <v>57</v>
      </c>
      <c r="G255" s="78" t="s">
        <v>58</v>
      </c>
      <c r="H255" s="78" t="s">
        <v>512</v>
      </c>
      <c r="I255" s="79" t="s">
        <v>640</v>
      </c>
      <c r="J255" s="80"/>
      <c r="K255" s="78" t="b">
        <v>1</v>
      </c>
      <c r="L255" s="66" t="str">
        <f t="shared" si="2"/>
        <v/>
      </c>
      <c r="M255" s="81" t="str">
        <f>IFERROR(__xludf.DUMMYFUNCTION("IF(W255=1,IFERROR(IMPORTXML(I255, ""//p[@class='status-date']""), ""Not deployed""),"""")"),"")</f>
        <v/>
      </c>
      <c r="N255" s="82"/>
      <c r="O255" s="66"/>
      <c r="P255" s="66"/>
      <c r="Q255" s="66"/>
      <c r="R255" s="83" t="str">
        <f t="shared" si="3"/>
        <v/>
      </c>
      <c r="S255" s="84" t="str">
        <f t="shared" si="4"/>
        <v/>
      </c>
      <c r="T255" s="85"/>
      <c r="U255" s="82">
        <f t="shared" si="5"/>
        <v>0</v>
      </c>
      <c r="V255" s="66">
        <f t="shared" si="6"/>
        <v>0</v>
      </c>
      <c r="W255" s="81">
        <f t="shared" si="7"/>
        <v>0</v>
      </c>
      <c r="X255" s="82" t="str">
        <f t="shared" si="8"/>
        <v>Jafo43</v>
      </c>
      <c r="Y255" s="86" t="str">
        <f t="shared" si="9"/>
        <v>https://www.munzee.com/m/Jafo43/33597/</v>
      </c>
    </row>
    <row r="256" hidden="1" outlineLevel="1">
      <c r="A256" s="76" t="s">
        <v>641</v>
      </c>
      <c r="B256" s="77">
        <v>27.0</v>
      </c>
      <c r="C256" s="77">
        <v>16.0</v>
      </c>
      <c r="D256" s="64">
        <v>52.118704</v>
      </c>
      <c r="E256" s="64">
        <v>5.384222</v>
      </c>
      <c r="F256" s="78" t="s">
        <v>487</v>
      </c>
      <c r="G256" s="78" t="s">
        <v>488</v>
      </c>
      <c r="H256" s="78" t="s">
        <v>622</v>
      </c>
      <c r="I256" s="79" t="s">
        <v>642</v>
      </c>
      <c r="J256" s="80"/>
      <c r="K256" s="78" t="b">
        <v>1</v>
      </c>
      <c r="L256" s="66" t="str">
        <f t="shared" si="2"/>
        <v/>
      </c>
      <c r="M256" s="81" t="str">
        <f>IFERROR(__xludf.DUMMYFUNCTION("IF(W256=1,IFERROR(IMPORTXML(I256, ""//p[@class='status-date']""), ""Not deployed""),"""")"),"")</f>
        <v/>
      </c>
      <c r="N256" s="82"/>
      <c r="O256" s="66"/>
      <c r="P256" s="66"/>
      <c r="Q256" s="66"/>
      <c r="R256" s="83" t="str">
        <f t="shared" si="3"/>
        <v/>
      </c>
      <c r="S256" s="84" t="str">
        <f t="shared" si="4"/>
        <v/>
      </c>
      <c r="T256" s="85"/>
      <c r="U256" s="82">
        <f t="shared" si="5"/>
        <v>0</v>
      </c>
      <c r="V256" s="66">
        <f t="shared" si="6"/>
        <v>0</v>
      </c>
      <c r="W256" s="81">
        <f t="shared" si="7"/>
        <v>0</v>
      </c>
      <c r="X256" s="82" t="str">
        <f t="shared" si="8"/>
        <v>hz</v>
      </c>
      <c r="Y256" s="86" t="str">
        <f t="shared" si="9"/>
        <v>https://www.munzee.com/m/hz/5780/</v>
      </c>
    </row>
    <row r="257" hidden="1" outlineLevel="1">
      <c r="A257" s="76" t="s">
        <v>643</v>
      </c>
      <c r="B257" s="77">
        <v>27.0</v>
      </c>
      <c r="C257" s="77">
        <v>17.0</v>
      </c>
      <c r="D257" s="64">
        <v>52.118704</v>
      </c>
      <c r="E257" s="64">
        <v>5.384457</v>
      </c>
      <c r="F257" s="78" t="s">
        <v>57</v>
      </c>
      <c r="G257" s="78" t="s">
        <v>58</v>
      </c>
      <c r="H257" s="78" t="s">
        <v>644</v>
      </c>
      <c r="I257" s="79" t="s">
        <v>645</v>
      </c>
      <c r="J257" s="80"/>
      <c r="K257" s="78" t="b">
        <v>1</v>
      </c>
      <c r="L257" s="66" t="str">
        <f t="shared" si="2"/>
        <v/>
      </c>
      <c r="M257" s="81" t="str">
        <f>IFERROR(__xludf.DUMMYFUNCTION("IF(W257=1,IFERROR(IMPORTXML(I257, ""//p[@class='status-date']""), ""Not deployed""),"""")"),"")</f>
        <v/>
      </c>
      <c r="N257" s="82"/>
      <c r="O257" s="66"/>
      <c r="P257" s="66"/>
      <c r="Q257" s="66"/>
      <c r="R257" s="83" t="str">
        <f t="shared" si="3"/>
        <v/>
      </c>
      <c r="S257" s="84" t="str">
        <f t="shared" si="4"/>
        <v/>
      </c>
      <c r="T257" s="85"/>
      <c r="U257" s="82">
        <f t="shared" si="5"/>
        <v>0</v>
      </c>
      <c r="V257" s="66">
        <f t="shared" si="6"/>
        <v>0</v>
      </c>
      <c r="W257" s="81">
        <f t="shared" si="7"/>
        <v>0</v>
      </c>
      <c r="X257" s="82" t="str">
        <f t="shared" si="8"/>
        <v>Andrew81</v>
      </c>
      <c r="Y257" s="86" t="str">
        <f t="shared" si="9"/>
        <v>https://www.munzee.com/m/Andrew81/1642/</v>
      </c>
    </row>
    <row r="258" hidden="1" outlineLevel="1">
      <c r="A258" s="76" t="s">
        <v>646</v>
      </c>
      <c r="B258" s="77">
        <v>27.0</v>
      </c>
      <c r="C258" s="77">
        <v>18.0</v>
      </c>
      <c r="D258" s="64">
        <v>52.118704</v>
      </c>
      <c r="E258" s="64">
        <v>5.384691</v>
      </c>
      <c r="F258" s="78" t="s">
        <v>57</v>
      </c>
      <c r="G258" s="78" t="s">
        <v>58</v>
      </c>
      <c r="H258" s="78" t="s">
        <v>512</v>
      </c>
      <c r="I258" s="79" t="s">
        <v>647</v>
      </c>
      <c r="J258" s="80"/>
      <c r="K258" s="78" t="b">
        <v>1</v>
      </c>
      <c r="L258" s="66" t="str">
        <f t="shared" si="2"/>
        <v/>
      </c>
      <c r="M258" s="81" t="str">
        <f>IFERROR(__xludf.DUMMYFUNCTION("IF(W258=1,IFERROR(IMPORTXML(I258, ""//p[@class='status-date']""), ""Not deployed""),"""")"),"")</f>
        <v/>
      </c>
      <c r="N258" s="82"/>
      <c r="O258" s="66"/>
      <c r="P258" s="66"/>
      <c r="Q258" s="66"/>
      <c r="R258" s="83" t="str">
        <f t="shared" si="3"/>
        <v/>
      </c>
      <c r="S258" s="84" t="str">
        <f t="shared" si="4"/>
        <v/>
      </c>
      <c r="T258" s="85"/>
      <c r="U258" s="82">
        <f t="shared" si="5"/>
        <v>0</v>
      </c>
      <c r="V258" s="66">
        <f t="shared" si="6"/>
        <v>0</v>
      </c>
      <c r="W258" s="81">
        <f t="shared" si="7"/>
        <v>0</v>
      </c>
      <c r="X258" s="82" t="str">
        <f t="shared" si="8"/>
        <v>Jafo43</v>
      </c>
      <c r="Y258" s="86" t="str">
        <f t="shared" si="9"/>
        <v>https://www.munzee.com/m/Jafo43/33596/</v>
      </c>
    </row>
    <row r="259" hidden="1" outlineLevel="1">
      <c r="A259" s="76" t="s">
        <v>648</v>
      </c>
      <c r="B259" s="77">
        <v>27.0</v>
      </c>
      <c r="C259" s="77">
        <v>19.0</v>
      </c>
      <c r="D259" s="64">
        <v>52.118704</v>
      </c>
      <c r="E259" s="64">
        <v>5.384925</v>
      </c>
      <c r="F259" s="78" t="s">
        <v>70</v>
      </c>
      <c r="G259" s="78" t="s">
        <v>71</v>
      </c>
      <c r="H259" s="78" t="s">
        <v>633</v>
      </c>
      <c r="I259" s="79" t="s">
        <v>649</v>
      </c>
      <c r="J259" s="80"/>
      <c r="K259" s="78" t="b">
        <v>1</v>
      </c>
      <c r="L259" s="66" t="str">
        <f t="shared" si="2"/>
        <v/>
      </c>
      <c r="M259" s="81" t="str">
        <f>IFERROR(__xludf.DUMMYFUNCTION("IF(W259=1,IFERROR(IMPORTXML(I259, ""//p[@class='status-date']""), ""Not deployed""),"""")"),"")</f>
        <v/>
      </c>
      <c r="N259" s="82"/>
      <c r="O259" s="66"/>
      <c r="P259" s="66"/>
      <c r="Q259" s="66"/>
      <c r="R259" s="83" t="str">
        <f t="shared" si="3"/>
        <v/>
      </c>
      <c r="S259" s="84" t="str">
        <f t="shared" si="4"/>
        <v/>
      </c>
      <c r="T259" s="85"/>
      <c r="U259" s="82">
        <f t="shared" si="5"/>
        <v>0</v>
      </c>
      <c r="V259" s="66">
        <f t="shared" si="6"/>
        <v>0</v>
      </c>
      <c r="W259" s="81">
        <f t="shared" si="7"/>
        <v>0</v>
      </c>
      <c r="X259" s="82" t="str">
        <f t="shared" si="8"/>
        <v>Eskiss</v>
      </c>
      <c r="Y259" s="86" t="str">
        <f t="shared" si="9"/>
        <v>https://www.munzee.com/m/Eskiss/5798/</v>
      </c>
    </row>
    <row r="260" hidden="1" outlineLevel="1">
      <c r="A260" s="76" t="s">
        <v>650</v>
      </c>
      <c r="B260" s="77">
        <v>27.0</v>
      </c>
      <c r="C260" s="77">
        <v>20.0</v>
      </c>
      <c r="D260" s="64">
        <v>52.118704</v>
      </c>
      <c r="E260" s="64">
        <v>5.385159</v>
      </c>
      <c r="F260" s="78" t="s">
        <v>100</v>
      </c>
      <c r="G260" s="78" t="s">
        <v>101</v>
      </c>
      <c r="H260" s="78" t="s">
        <v>651</v>
      </c>
      <c r="I260" s="79" t="s">
        <v>652</v>
      </c>
      <c r="J260" s="88"/>
      <c r="K260" s="78" t="b">
        <v>1</v>
      </c>
      <c r="L260" s="66" t="str">
        <f t="shared" si="2"/>
        <v/>
      </c>
      <c r="M260" s="81" t="str">
        <f>IFERROR(__xludf.DUMMYFUNCTION("IF(W260=1,IFERROR(IMPORTXML(I260, ""//p[@class='status-date']""), ""Not deployed""),"""")"),"")</f>
        <v/>
      </c>
      <c r="N260" s="82"/>
      <c r="O260" s="66"/>
      <c r="P260" s="66"/>
      <c r="Q260" s="66"/>
      <c r="R260" s="83" t="str">
        <f t="shared" si="3"/>
        <v/>
      </c>
      <c r="S260" s="84" t="str">
        <f t="shared" si="4"/>
        <v/>
      </c>
      <c r="T260" s="85"/>
      <c r="U260" s="82">
        <f t="shared" si="5"/>
        <v>0</v>
      </c>
      <c r="V260" s="66">
        <f t="shared" si="6"/>
        <v>0</v>
      </c>
      <c r="W260" s="81">
        <f t="shared" si="7"/>
        <v>0</v>
      </c>
      <c r="X260" s="82" t="str">
        <f t="shared" si="8"/>
        <v>CoalCracker7</v>
      </c>
      <c r="Y260" s="86" t="str">
        <f t="shared" si="9"/>
        <v>https://www.munzee.com/m/CoalCracker7/15168/</v>
      </c>
    </row>
    <row r="261" hidden="1" outlineLevel="1">
      <c r="A261" s="76" t="s">
        <v>653</v>
      </c>
      <c r="B261" s="77">
        <v>27.0</v>
      </c>
      <c r="C261" s="77">
        <v>21.0</v>
      </c>
      <c r="D261" s="64">
        <v>52.118704</v>
      </c>
      <c r="E261" s="64">
        <v>5.385393</v>
      </c>
      <c r="F261" s="78" t="s">
        <v>51</v>
      </c>
      <c r="G261" s="78" t="s">
        <v>52</v>
      </c>
      <c r="H261" s="78" t="s">
        <v>515</v>
      </c>
      <c r="I261" s="79" t="s">
        <v>654</v>
      </c>
      <c r="J261" s="80"/>
      <c r="K261" s="78" t="b">
        <v>1</v>
      </c>
      <c r="L261" s="66" t="str">
        <f t="shared" si="2"/>
        <v/>
      </c>
      <c r="M261" s="81" t="str">
        <f>IFERROR(__xludf.DUMMYFUNCTION("IF(W261=1,IFERROR(IMPORTXML(I261, ""//p[@class='status-date']""), ""Not deployed""),"""")"),"")</f>
        <v/>
      </c>
      <c r="N261" s="82"/>
      <c r="O261" s="66"/>
      <c r="P261" s="66"/>
      <c r="Q261" s="66"/>
      <c r="R261" s="83" t="str">
        <f t="shared" si="3"/>
        <v/>
      </c>
      <c r="S261" s="84" t="str">
        <f t="shared" si="4"/>
        <v/>
      </c>
      <c r="T261" s="85"/>
      <c r="U261" s="82">
        <f t="shared" si="5"/>
        <v>0</v>
      </c>
      <c r="V261" s="66">
        <f t="shared" si="6"/>
        <v>0</v>
      </c>
      <c r="W261" s="81">
        <f t="shared" si="7"/>
        <v>0</v>
      </c>
      <c r="X261" s="82" t="str">
        <f t="shared" si="8"/>
        <v>sagabi</v>
      </c>
      <c r="Y261" s="86" t="str">
        <f t="shared" si="9"/>
        <v>https://www.munzee.com/m/sagabi/13171/</v>
      </c>
    </row>
    <row r="262" hidden="1" outlineLevel="1">
      <c r="A262" s="76" t="s">
        <v>655</v>
      </c>
      <c r="B262" s="77">
        <v>27.0</v>
      </c>
      <c r="C262" s="77">
        <v>22.0</v>
      </c>
      <c r="D262" s="64">
        <v>52.118704</v>
      </c>
      <c r="E262" s="64">
        <v>5.385627</v>
      </c>
      <c r="F262" s="78" t="s">
        <v>51</v>
      </c>
      <c r="G262" s="78" t="s">
        <v>52</v>
      </c>
      <c r="H262" s="66" t="str">
        <f>IF(ISTEXT(X262),X262,"")</f>
        <v>RobS</v>
      </c>
      <c r="I262" s="99" t="s">
        <v>656</v>
      </c>
      <c r="J262" s="100"/>
      <c r="K262" s="78" t="b">
        <v>1</v>
      </c>
      <c r="L262" s="66" t="str">
        <f t="shared" si="2"/>
        <v/>
      </c>
      <c r="M262" s="81" t="str">
        <f>IFERROR(__xludf.DUMMYFUNCTION("IF(W262=1,IFERROR(IMPORTXML(I262, ""//p[@class='status-date']""), ""Not deployed""),"""")"),"")</f>
        <v/>
      </c>
      <c r="N262" s="82"/>
      <c r="O262" s="66"/>
      <c r="P262" s="66"/>
      <c r="Q262" s="66"/>
      <c r="R262" s="83" t="str">
        <f t="shared" si="3"/>
        <v/>
      </c>
      <c r="S262" s="84" t="str">
        <f t="shared" si="4"/>
        <v/>
      </c>
      <c r="T262" s="85"/>
      <c r="U262" s="82">
        <f t="shared" si="5"/>
        <v>0</v>
      </c>
      <c r="V262" s="66">
        <f t="shared" si="6"/>
        <v>0</v>
      </c>
      <c r="W262" s="81">
        <f t="shared" si="7"/>
        <v>0</v>
      </c>
      <c r="X262" s="82" t="str">
        <f t="shared" si="8"/>
        <v>RobS</v>
      </c>
      <c r="Y262" s="86" t="str">
        <f t="shared" si="9"/>
        <v>https://www.munzee.com/m/RobS/4987/</v>
      </c>
    </row>
    <row r="263" hidden="1" outlineLevel="1">
      <c r="A263" s="76" t="s">
        <v>657</v>
      </c>
      <c r="B263" s="77">
        <v>27.0</v>
      </c>
      <c r="C263" s="77">
        <v>23.0</v>
      </c>
      <c r="D263" s="64">
        <v>52.118704</v>
      </c>
      <c r="E263" s="64">
        <v>5.385861</v>
      </c>
      <c r="F263" s="78" t="s">
        <v>70</v>
      </c>
      <c r="G263" s="78" t="s">
        <v>71</v>
      </c>
      <c r="H263" s="78" t="s">
        <v>658</v>
      </c>
      <c r="I263" s="79" t="s">
        <v>659</v>
      </c>
      <c r="J263" s="80"/>
      <c r="K263" s="78" t="b">
        <v>1</v>
      </c>
      <c r="L263" s="66" t="str">
        <f t="shared" si="2"/>
        <v/>
      </c>
      <c r="M263" s="81" t="str">
        <f>IFERROR(__xludf.DUMMYFUNCTION("IF(W263=1,IFERROR(IMPORTXML(I263, ""//p[@class='status-date']""), ""Not deployed""),"""")"),"")</f>
        <v/>
      </c>
      <c r="N263" s="82"/>
      <c r="O263" s="66"/>
      <c r="P263" s="66"/>
      <c r="Q263" s="66"/>
      <c r="R263" s="83" t="str">
        <f t="shared" si="3"/>
        <v/>
      </c>
      <c r="S263" s="84" t="str">
        <f t="shared" si="4"/>
        <v/>
      </c>
      <c r="T263" s="85"/>
      <c r="U263" s="82">
        <f t="shared" si="5"/>
        <v>0</v>
      </c>
      <c r="V263" s="66">
        <f t="shared" si="6"/>
        <v>0</v>
      </c>
      <c r="W263" s="81">
        <f t="shared" si="7"/>
        <v>0</v>
      </c>
      <c r="X263" s="82" t="str">
        <f t="shared" si="8"/>
        <v>kepke3</v>
      </c>
      <c r="Y263" s="86" t="str">
        <f t="shared" si="9"/>
        <v>https://www.munzee.com/m/kepke3/3318/</v>
      </c>
    </row>
    <row r="264" hidden="1" outlineLevel="1">
      <c r="A264" s="76" t="s">
        <v>660</v>
      </c>
      <c r="B264" s="77">
        <v>27.0</v>
      </c>
      <c r="C264" s="77">
        <v>24.0</v>
      </c>
      <c r="D264" s="64">
        <v>52.118704</v>
      </c>
      <c r="E264" s="64">
        <v>5.386095</v>
      </c>
      <c r="F264" s="78" t="s">
        <v>125</v>
      </c>
      <c r="G264" s="78" t="s">
        <v>126</v>
      </c>
      <c r="H264" s="66" t="str">
        <f>IF(ISTEXT(X264),X264,"")</f>
        <v>nicmar</v>
      </c>
      <c r="I264" s="79" t="s">
        <v>661</v>
      </c>
      <c r="J264" s="88"/>
      <c r="K264" s="78" t="b">
        <v>1</v>
      </c>
      <c r="L264" s="66" t="str">
        <f t="shared" si="2"/>
        <v/>
      </c>
      <c r="M264" s="81" t="str">
        <f>IFERROR(__xludf.DUMMYFUNCTION("IF(W264=1,IFERROR(IMPORTXML(I264, ""//p[@class='status-date']""), ""Not deployed""),"""")"),"")</f>
        <v/>
      </c>
      <c r="N264" s="82"/>
      <c r="O264" s="66"/>
      <c r="P264" s="66"/>
      <c r="Q264" s="66"/>
      <c r="R264" s="83" t="str">
        <f t="shared" si="3"/>
        <v/>
      </c>
      <c r="S264" s="84" t="str">
        <f t="shared" si="4"/>
        <v/>
      </c>
      <c r="T264" s="85"/>
      <c r="U264" s="82">
        <f t="shared" si="5"/>
        <v>0</v>
      </c>
      <c r="V264" s="66">
        <f t="shared" si="6"/>
        <v>0</v>
      </c>
      <c r="W264" s="81">
        <f t="shared" si="7"/>
        <v>0</v>
      </c>
      <c r="X264" s="82" t="str">
        <f t="shared" si="8"/>
        <v>nicmar</v>
      </c>
      <c r="Y264" s="86" t="str">
        <f t="shared" si="9"/>
        <v>https://www.munzee.com/m/nicmar/10022/</v>
      </c>
    </row>
    <row r="265" hidden="1" outlineLevel="1">
      <c r="A265" s="76" t="s">
        <v>662</v>
      </c>
      <c r="B265" s="77">
        <v>27.0</v>
      </c>
      <c r="C265" s="77">
        <v>25.0</v>
      </c>
      <c r="D265" s="64">
        <v>52.118704</v>
      </c>
      <c r="E265" s="64">
        <v>5.386329</v>
      </c>
      <c r="F265" s="78" t="s">
        <v>78</v>
      </c>
      <c r="G265" s="78" t="s">
        <v>79</v>
      </c>
      <c r="H265" s="78" t="s">
        <v>518</v>
      </c>
      <c r="I265" s="79" t="s">
        <v>663</v>
      </c>
      <c r="J265" s="80"/>
      <c r="K265" s="78" t="b">
        <v>1</v>
      </c>
      <c r="L265" s="66" t="str">
        <f t="shared" si="2"/>
        <v/>
      </c>
      <c r="M265" s="81" t="str">
        <f>IFERROR(__xludf.DUMMYFUNCTION("IF(W265=1,IFERROR(IMPORTXML(I265, ""//p[@class='status-date']""), ""Not deployed""),"""")"),"")</f>
        <v/>
      </c>
      <c r="N265" s="82"/>
      <c r="O265" s="66"/>
      <c r="P265" s="66"/>
      <c r="Q265" s="66"/>
      <c r="R265" s="83" t="str">
        <f t="shared" si="3"/>
        <v/>
      </c>
      <c r="S265" s="84" t="str">
        <f t="shared" si="4"/>
        <v/>
      </c>
      <c r="T265" s="85"/>
      <c r="U265" s="82">
        <f t="shared" si="5"/>
        <v>0</v>
      </c>
      <c r="V265" s="66">
        <f t="shared" si="6"/>
        <v>0</v>
      </c>
      <c r="W265" s="81">
        <f t="shared" si="7"/>
        <v>0</v>
      </c>
      <c r="X265" s="82" t="str">
        <f t="shared" si="8"/>
        <v>ChickenRun</v>
      </c>
      <c r="Y265" s="86" t="str">
        <f t="shared" si="9"/>
        <v>https://www.munzee.com/m/ChickenRun/22554/</v>
      </c>
    </row>
    <row r="266" hidden="1" outlineLevel="1">
      <c r="A266" s="76" t="s">
        <v>664</v>
      </c>
      <c r="B266" s="77">
        <v>27.0</v>
      </c>
      <c r="C266" s="77">
        <v>26.0</v>
      </c>
      <c r="D266" s="64">
        <v>52.118704</v>
      </c>
      <c r="E266" s="64">
        <v>5.386563</v>
      </c>
      <c r="F266" s="78" t="s">
        <v>70</v>
      </c>
      <c r="G266" s="78" t="s">
        <v>71</v>
      </c>
      <c r="H266" s="78" t="s">
        <v>665</v>
      </c>
      <c r="I266" s="79" t="s">
        <v>666</v>
      </c>
      <c r="J266" s="80"/>
      <c r="K266" s="78" t="b">
        <v>1</v>
      </c>
      <c r="L266" s="66" t="str">
        <f t="shared" si="2"/>
        <v/>
      </c>
      <c r="M266" s="81" t="str">
        <f>IFERROR(__xludf.DUMMYFUNCTION("IF(W266=1,IFERROR(IMPORTXML(I266, ""//p[@class='status-date']""), ""Not deployed""),"""")"),"")</f>
        <v/>
      </c>
      <c r="N266" s="82"/>
      <c r="O266" s="66"/>
      <c r="P266" s="66"/>
      <c r="Q266" s="66"/>
      <c r="R266" s="83" t="str">
        <f t="shared" si="3"/>
        <v/>
      </c>
      <c r="S266" s="84" t="str">
        <f t="shared" si="4"/>
        <v/>
      </c>
      <c r="T266" s="85"/>
      <c r="U266" s="82">
        <f t="shared" si="5"/>
        <v>0</v>
      </c>
      <c r="V266" s="66">
        <f t="shared" si="6"/>
        <v>0</v>
      </c>
      <c r="W266" s="81">
        <f t="shared" si="7"/>
        <v>0</v>
      </c>
      <c r="X266" s="82" t="str">
        <f t="shared" si="8"/>
        <v>Mon4ikaCriss</v>
      </c>
      <c r="Y266" s="86" t="str">
        <f t="shared" si="9"/>
        <v>https://www.munzee.com/m/Mon4ikaCriss/3626/</v>
      </c>
    </row>
    <row r="267" hidden="1" outlineLevel="1">
      <c r="A267" s="76" t="s">
        <v>667</v>
      </c>
      <c r="B267" s="77">
        <v>27.0</v>
      </c>
      <c r="C267" s="77">
        <v>27.0</v>
      </c>
      <c r="D267" s="64">
        <v>52.118704</v>
      </c>
      <c r="E267" s="64">
        <v>5.386797</v>
      </c>
      <c r="F267" s="78" t="s">
        <v>78</v>
      </c>
      <c r="G267" s="78" t="s">
        <v>79</v>
      </c>
      <c r="H267" s="78" t="s">
        <v>658</v>
      </c>
      <c r="I267" s="79" t="s">
        <v>668</v>
      </c>
      <c r="J267" s="80"/>
      <c r="K267" s="78" t="b">
        <v>1</v>
      </c>
      <c r="L267" s="66" t="str">
        <f t="shared" si="2"/>
        <v/>
      </c>
      <c r="M267" s="81" t="str">
        <f>IFERROR(__xludf.DUMMYFUNCTION("IF(W267=1,IFERROR(IMPORTXML(I267, ""//p[@class='status-date']""), ""Not deployed""),"""")"),"")</f>
        <v/>
      </c>
      <c r="N267" s="82"/>
      <c r="O267" s="66"/>
      <c r="P267" s="66"/>
      <c r="Q267" s="66"/>
      <c r="R267" s="83" t="str">
        <f t="shared" si="3"/>
        <v/>
      </c>
      <c r="S267" s="84" t="str">
        <f t="shared" si="4"/>
        <v/>
      </c>
      <c r="T267" s="85"/>
      <c r="U267" s="82">
        <f t="shared" si="5"/>
        <v>0</v>
      </c>
      <c r="V267" s="66">
        <f t="shared" si="6"/>
        <v>0</v>
      </c>
      <c r="W267" s="81">
        <f t="shared" si="7"/>
        <v>0</v>
      </c>
      <c r="X267" s="82" t="str">
        <f t="shared" si="8"/>
        <v>kepke3</v>
      </c>
      <c r="Y267" s="86" t="str">
        <f t="shared" si="9"/>
        <v>https://www.munzee.com/m/kepke3/3317/</v>
      </c>
    </row>
    <row r="268" hidden="1" outlineLevel="1">
      <c r="A268" s="76" t="s">
        <v>669</v>
      </c>
      <c r="B268" s="77">
        <v>27.0</v>
      </c>
      <c r="C268" s="77">
        <v>28.0</v>
      </c>
      <c r="D268" s="64">
        <v>52.118704</v>
      </c>
      <c r="E268" s="64">
        <v>5.387031</v>
      </c>
      <c r="F268" s="78" t="s">
        <v>125</v>
      </c>
      <c r="G268" s="78" t="s">
        <v>126</v>
      </c>
      <c r="H268" s="78" t="s">
        <v>670</v>
      </c>
      <c r="I268" s="79" t="s">
        <v>671</v>
      </c>
      <c r="J268" s="80"/>
      <c r="K268" s="78" t="b">
        <v>1</v>
      </c>
      <c r="L268" s="66" t="str">
        <f t="shared" si="2"/>
        <v/>
      </c>
      <c r="M268" s="81" t="str">
        <f>IFERROR(__xludf.DUMMYFUNCTION("IF(W268=1,IFERROR(IMPORTXML(I268, ""//p[@class='status-date']""), ""Not deployed""),"""")"),"")</f>
        <v/>
      </c>
      <c r="N268" s="82"/>
      <c r="O268" s="66"/>
      <c r="P268" s="66"/>
      <c r="Q268" s="66"/>
      <c r="R268" s="83" t="str">
        <f t="shared" si="3"/>
        <v/>
      </c>
      <c r="S268" s="84" t="str">
        <f t="shared" si="4"/>
        <v/>
      </c>
      <c r="T268" s="85"/>
      <c r="U268" s="82">
        <f t="shared" si="5"/>
        <v>0</v>
      </c>
      <c r="V268" s="66">
        <f t="shared" si="6"/>
        <v>0</v>
      </c>
      <c r="W268" s="81">
        <f t="shared" si="7"/>
        <v>0</v>
      </c>
      <c r="X268" s="82" t="str">
        <f t="shared" si="8"/>
        <v>Attis</v>
      </c>
      <c r="Y268" s="86" t="str">
        <f t="shared" si="9"/>
        <v>https://www.munzee.com/m/Attis/31558/</v>
      </c>
    </row>
    <row r="269" hidden="1" outlineLevel="1">
      <c r="A269" s="76" t="s">
        <v>672</v>
      </c>
      <c r="B269" s="77">
        <v>27.0</v>
      </c>
      <c r="C269" s="77">
        <v>29.0</v>
      </c>
      <c r="D269" s="64">
        <v>52.118704</v>
      </c>
      <c r="E269" s="64">
        <v>5.387265</v>
      </c>
      <c r="F269" s="78" t="s">
        <v>78</v>
      </c>
      <c r="G269" s="78" t="s">
        <v>79</v>
      </c>
      <c r="H269" s="66" t="str">
        <f>IF(ISTEXT(X269),X269,"")</f>
        <v>geomatrix</v>
      </c>
      <c r="I269" s="79" t="s">
        <v>673</v>
      </c>
      <c r="J269" s="80"/>
      <c r="K269" s="78" t="b">
        <v>1</v>
      </c>
      <c r="L269" s="66" t="str">
        <f t="shared" si="2"/>
        <v/>
      </c>
      <c r="M269" s="81" t="str">
        <f>IFERROR(__xludf.DUMMYFUNCTION("IF(W269=1,IFERROR(IMPORTXML(I269, ""//p[@class='status-date']""), ""Not deployed""),"""")"),"")</f>
        <v/>
      </c>
      <c r="N269" s="82"/>
      <c r="O269" s="66"/>
      <c r="P269" s="66"/>
      <c r="Q269" s="66"/>
      <c r="R269" s="83" t="str">
        <f t="shared" si="3"/>
        <v/>
      </c>
      <c r="S269" s="84" t="str">
        <f t="shared" si="4"/>
        <v/>
      </c>
      <c r="T269" s="85"/>
      <c r="U269" s="82">
        <f t="shared" si="5"/>
        <v>0</v>
      </c>
      <c r="V269" s="66">
        <f t="shared" si="6"/>
        <v>0</v>
      </c>
      <c r="W269" s="81">
        <f t="shared" si="7"/>
        <v>0</v>
      </c>
      <c r="X269" s="82" t="str">
        <f t="shared" si="8"/>
        <v>geomatrix</v>
      </c>
      <c r="Y269" s="86" t="str">
        <f t="shared" si="9"/>
        <v>https://www.munzee.com/m/geomatrix/17415/</v>
      </c>
    </row>
    <row r="270" hidden="1" outlineLevel="1">
      <c r="A270" s="76" t="s">
        <v>674</v>
      </c>
      <c r="B270" s="77">
        <v>27.0</v>
      </c>
      <c r="C270" s="77">
        <v>30.0</v>
      </c>
      <c r="D270" s="64">
        <v>52.118704</v>
      </c>
      <c r="E270" s="64">
        <v>5.3875</v>
      </c>
      <c r="F270" s="78" t="s">
        <v>70</v>
      </c>
      <c r="G270" s="78" t="s">
        <v>71</v>
      </c>
      <c r="H270" s="78" t="s">
        <v>665</v>
      </c>
      <c r="I270" s="79" t="s">
        <v>675</v>
      </c>
      <c r="J270" s="80"/>
      <c r="K270" s="78" t="b">
        <v>1</v>
      </c>
      <c r="L270" s="66" t="str">
        <f t="shared" si="2"/>
        <v/>
      </c>
      <c r="M270" s="81" t="str">
        <f>IFERROR(__xludf.DUMMYFUNCTION("IF(W270=1,IFERROR(IMPORTXML(I270, ""//p[@class='status-date']""), ""Not deployed""),"""")"),"")</f>
        <v/>
      </c>
      <c r="N270" s="82"/>
      <c r="O270" s="66"/>
      <c r="P270" s="66"/>
      <c r="Q270" s="66"/>
      <c r="R270" s="83" t="str">
        <f t="shared" si="3"/>
        <v/>
      </c>
      <c r="S270" s="84" t="str">
        <f t="shared" si="4"/>
        <v/>
      </c>
      <c r="T270" s="85"/>
      <c r="U270" s="82">
        <f t="shared" si="5"/>
        <v>0</v>
      </c>
      <c r="V270" s="66">
        <f t="shared" si="6"/>
        <v>0</v>
      </c>
      <c r="W270" s="81">
        <f t="shared" si="7"/>
        <v>0</v>
      </c>
      <c r="X270" s="82" t="str">
        <f t="shared" si="8"/>
        <v>Mon4ikaCriss</v>
      </c>
      <c r="Y270" s="86" t="str">
        <f t="shared" si="9"/>
        <v>https://www.munzee.com/m/Mon4ikaCriss/3619/</v>
      </c>
    </row>
    <row r="271" hidden="1" outlineLevel="1">
      <c r="A271" s="76" t="s">
        <v>676</v>
      </c>
      <c r="B271" s="77">
        <v>27.0</v>
      </c>
      <c r="C271" s="77">
        <v>31.0</v>
      </c>
      <c r="D271" s="64">
        <v>52.118704</v>
      </c>
      <c r="E271" s="64">
        <v>5.387734</v>
      </c>
      <c r="F271" s="78" t="s">
        <v>100</v>
      </c>
      <c r="G271" s="78" t="s">
        <v>101</v>
      </c>
      <c r="H271" s="78" t="s">
        <v>677</v>
      </c>
      <c r="I271" s="79" t="s">
        <v>678</v>
      </c>
      <c r="J271" s="80"/>
      <c r="K271" s="78" t="b">
        <v>1</v>
      </c>
      <c r="L271" s="66" t="str">
        <f t="shared" si="2"/>
        <v/>
      </c>
      <c r="M271" s="81" t="str">
        <f>IFERROR(__xludf.DUMMYFUNCTION("IF(W271=1,IFERROR(IMPORTXML(I271, ""//p[@class='status-date']""), ""Not deployed""),"""")"),"")</f>
        <v/>
      </c>
      <c r="N271" s="82"/>
      <c r="O271" s="66"/>
      <c r="P271" s="66"/>
      <c r="Q271" s="66"/>
      <c r="R271" s="83" t="str">
        <f t="shared" si="3"/>
        <v/>
      </c>
      <c r="S271" s="84" t="str">
        <f t="shared" si="4"/>
        <v/>
      </c>
      <c r="T271" s="85"/>
      <c r="U271" s="82">
        <f t="shared" si="5"/>
        <v>0</v>
      </c>
      <c r="V271" s="66">
        <f t="shared" si="6"/>
        <v>0</v>
      </c>
      <c r="W271" s="81">
        <f t="shared" si="7"/>
        <v>0</v>
      </c>
      <c r="X271" s="82" t="str">
        <f t="shared" si="8"/>
        <v>meka</v>
      </c>
      <c r="Y271" s="86" t="str">
        <f t="shared" si="9"/>
        <v>https://www.munzee.com/m/meka/8706/</v>
      </c>
    </row>
    <row r="272" hidden="1" outlineLevel="1">
      <c r="A272" s="76" t="s">
        <v>679</v>
      </c>
      <c r="B272" s="77">
        <v>28.0</v>
      </c>
      <c r="C272" s="77">
        <v>6.0</v>
      </c>
      <c r="D272" s="64">
        <v>52.118561</v>
      </c>
      <c r="E272" s="64">
        <v>5.381882</v>
      </c>
      <c r="F272" s="78" t="s">
        <v>70</v>
      </c>
      <c r="G272" s="78" t="s">
        <v>71</v>
      </c>
      <c r="H272" s="78" t="s">
        <v>323</v>
      </c>
      <c r="I272" s="79" t="s">
        <v>680</v>
      </c>
      <c r="J272" s="80"/>
      <c r="K272" s="78" t="b">
        <v>1</v>
      </c>
      <c r="L272" s="66" t="str">
        <f t="shared" si="2"/>
        <v/>
      </c>
      <c r="M272" s="81" t="str">
        <f>IFERROR(__xludf.DUMMYFUNCTION("IF(W272=1,IFERROR(IMPORTXML(I272, ""//p[@class='status-date']""), ""Not deployed""),"""")"),"")</f>
        <v/>
      </c>
      <c r="N272" s="82"/>
      <c r="O272" s="66"/>
      <c r="P272" s="66"/>
      <c r="Q272" s="66"/>
      <c r="R272" s="83" t="str">
        <f t="shared" si="3"/>
        <v/>
      </c>
      <c r="S272" s="84" t="str">
        <f t="shared" si="4"/>
        <v/>
      </c>
      <c r="T272" s="85"/>
      <c r="U272" s="82">
        <f t="shared" si="5"/>
        <v>0</v>
      </c>
      <c r="V272" s="66">
        <f t="shared" si="6"/>
        <v>0</v>
      </c>
      <c r="W272" s="81">
        <f t="shared" si="7"/>
        <v>0</v>
      </c>
      <c r="X272" s="82" t="str">
        <f t="shared" si="8"/>
        <v>theLuckyFinders</v>
      </c>
      <c r="Y272" s="86" t="str">
        <f t="shared" si="9"/>
        <v>https://www.munzee.com/m/theLuckyFinders/3970/</v>
      </c>
    </row>
    <row r="273" hidden="1" outlineLevel="1">
      <c r="A273" s="76" t="s">
        <v>681</v>
      </c>
      <c r="B273" s="77">
        <v>28.0</v>
      </c>
      <c r="C273" s="77">
        <v>7.0</v>
      </c>
      <c r="D273" s="64">
        <v>52.118561</v>
      </c>
      <c r="E273" s="64">
        <v>5.382116</v>
      </c>
      <c r="F273" s="78" t="s">
        <v>78</v>
      </c>
      <c r="G273" s="78" t="s">
        <v>79</v>
      </c>
      <c r="H273" s="78" t="str">
        <f>IF(X273=" ",X273,'Flamingo @ DenTreek'!H271)</f>
        <v>Trappertje</v>
      </c>
      <c r="I273" s="79" t="str">
        <f>'Flamingo @ DenTreek'!I271</f>
        <v>https://www.munzee.com/m/Trappertje/7402/</v>
      </c>
      <c r="J273" s="80"/>
      <c r="K273" s="78" t="b">
        <v>1</v>
      </c>
      <c r="L273" s="66" t="str">
        <f t="shared" si="2"/>
        <v/>
      </c>
      <c r="M273" s="81" t="str">
        <f>IFERROR(__xludf.DUMMYFUNCTION("IF(W273=1,IFERROR(IMPORTXML(I273, ""//p[@class='status-date']""), ""Not deployed""),"""")"),"")</f>
        <v/>
      </c>
      <c r="N273" s="82"/>
      <c r="O273" s="66"/>
      <c r="P273" s="66"/>
      <c r="Q273" s="66"/>
      <c r="R273" s="83" t="str">
        <f t="shared" si="3"/>
        <v/>
      </c>
      <c r="S273" s="84" t="str">
        <f t="shared" si="4"/>
        <v/>
      </c>
      <c r="T273" s="85"/>
      <c r="U273" s="82">
        <f t="shared" si="5"/>
        <v>0</v>
      </c>
      <c r="V273" s="66">
        <f t="shared" si="6"/>
        <v>0</v>
      </c>
      <c r="W273" s="81">
        <f t="shared" si="7"/>
        <v>0</v>
      </c>
      <c r="X273" s="82" t="str">
        <f t="shared" si="8"/>
        <v>Trappertje</v>
      </c>
      <c r="Y273" s="86" t="str">
        <f t="shared" si="9"/>
        <v>https://www.munzee.com/m/Trappertje/7402/</v>
      </c>
    </row>
    <row r="274" hidden="1" outlineLevel="1">
      <c r="A274" s="76" t="s">
        <v>682</v>
      </c>
      <c r="B274" s="77">
        <v>28.0</v>
      </c>
      <c r="C274" s="77">
        <v>8.0</v>
      </c>
      <c r="D274" s="64">
        <v>52.118561</v>
      </c>
      <c r="E274" s="64">
        <v>5.38235</v>
      </c>
      <c r="F274" s="78" t="s">
        <v>78</v>
      </c>
      <c r="G274" s="78" t="s">
        <v>79</v>
      </c>
      <c r="H274" s="66" t="str">
        <f>IF(X274=" ",X274,'Flamingo @ DenTreek'!H272)</f>
        <v>Anetzet</v>
      </c>
      <c r="I274" s="79" t="str">
        <f>'Flamingo @ DenTreek'!I272</f>
        <v>https://www.munzee.com/m/Anetzet/7655/</v>
      </c>
      <c r="J274" s="80"/>
      <c r="K274" s="78" t="b">
        <v>1</v>
      </c>
      <c r="L274" s="66" t="str">
        <f t="shared" si="2"/>
        <v/>
      </c>
      <c r="M274" s="81" t="str">
        <f>IFERROR(__xludf.DUMMYFUNCTION("IF(W274=1,IFERROR(IMPORTXML(I274, ""//p[@class='status-date']""), ""Not deployed""),"""")"),"")</f>
        <v/>
      </c>
      <c r="N274" s="82"/>
      <c r="O274" s="66"/>
      <c r="P274" s="66"/>
      <c r="Q274" s="66"/>
      <c r="R274" s="83" t="str">
        <f t="shared" si="3"/>
        <v/>
      </c>
      <c r="S274" s="84" t="str">
        <f t="shared" si="4"/>
        <v/>
      </c>
      <c r="T274" s="85"/>
      <c r="U274" s="82">
        <f t="shared" si="5"/>
        <v>0</v>
      </c>
      <c r="V274" s="66">
        <f t="shared" si="6"/>
        <v>0</v>
      </c>
      <c r="W274" s="81">
        <f t="shared" si="7"/>
        <v>0</v>
      </c>
      <c r="X274" s="82" t="str">
        <f t="shared" si="8"/>
        <v>Anetzet</v>
      </c>
      <c r="Y274" s="86" t="str">
        <f t="shared" si="9"/>
        <v>https://www.munzee.com/m/Anetzet/7655/</v>
      </c>
    </row>
    <row r="275" hidden="1" outlineLevel="1">
      <c r="A275" s="76" t="s">
        <v>683</v>
      </c>
      <c r="B275" s="77">
        <v>28.0</v>
      </c>
      <c r="C275" s="77">
        <v>9.0</v>
      </c>
      <c r="D275" s="64">
        <v>52.118561</v>
      </c>
      <c r="E275" s="64">
        <v>5.382584</v>
      </c>
      <c r="F275" s="78" t="s">
        <v>78</v>
      </c>
      <c r="G275" s="78" t="s">
        <v>79</v>
      </c>
      <c r="H275" s="78" t="s">
        <v>684</v>
      </c>
      <c r="I275" s="79" t="s">
        <v>685</v>
      </c>
      <c r="J275" s="80"/>
      <c r="K275" s="78" t="b">
        <v>1</v>
      </c>
      <c r="L275" s="66" t="str">
        <f t="shared" si="2"/>
        <v/>
      </c>
      <c r="M275" s="81" t="str">
        <f>IFERROR(__xludf.DUMMYFUNCTION("IF(W275=1,IFERROR(IMPORTXML(I275, ""//p[@class='status-date']""), ""Not deployed""),"""")"),"")</f>
        <v/>
      </c>
      <c r="N275" s="82"/>
      <c r="O275" s="66"/>
      <c r="P275" s="66"/>
      <c r="Q275" s="66"/>
      <c r="R275" s="83" t="str">
        <f t="shared" si="3"/>
        <v/>
      </c>
      <c r="S275" s="84" t="str">
        <f t="shared" si="4"/>
        <v/>
      </c>
      <c r="T275" s="85"/>
      <c r="U275" s="82">
        <f t="shared" si="5"/>
        <v>0</v>
      </c>
      <c r="V275" s="66">
        <f t="shared" si="6"/>
        <v>0</v>
      </c>
      <c r="W275" s="81">
        <f t="shared" si="7"/>
        <v>0</v>
      </c>
      <c r="X275" s="82" t="str">
        <f t="shared" si="8"/>
        <v>jm</v>
      </c>
      <c r="Y275" s="86" t="str">
        <f t="shared" si="9"/>
        <v>https://www.munzee.com/m/jm/2997/</v>
      </c>
    </row>
    <row r="276" hidden="1" outlineLevel="1">
      <c r="A276" s="76" t="s">
        <v>686</v>
      </c>
      <c r="B276" s="77">
        <v>28.0</v>
      </c>
      <c r="C276" s="77">
        <v>10.0</v>
      </c>
      <c r="D276" s="64">
        <v>52.118561</v>
      </c>
      <c r="E276" s="64">
        <v>5.382818</v>
      </c>
      <c r="F276" s="78" t="s">
        <v>78</v>
      </c>
      <c r="G276" s="78" t="s">
        <v>79</v>
      </c>
      <c r="H276" s="78" t="str">
        <f>IF(X276=" ",X276,'Flamingo @ DenTreek'!H274)</f>
        <v>Trappertje</v>
      </c>
      <c r="I276" s="79" t="str">
        <f>'Flamingo @ DenTreek'!I274</f>
        <v>https://www.munzee.com/m/Trappertje/7403/</v>
      </c>
      <c r="J276" s="80"/>
      <c r="K276" s="78" t="b">
        <v>1</v>
      </c>
      <c r="L276" s="66" t="str">
        <f t="shared" si="2"/>
        <v/>
      </c>
      <c r="M276" s="81" t="str">
        <f>IFERROR(__xludf.DUMMYFUNCTION("IF(W276=1,IFERROR(IMPORTXML(I276, ""//p[@class='status-date']""), ""Not deployed""),"""")"),"")</f>
        <v/>
      </c>
      <c r="N276" s="82"/>
      <c r="O276" s="66"/>
      <c r="P276" s="66"/>
      <c r="Q276" s="66"/>
      <c r="R276" s="83" t="str">
        <f t="shared" si="3"/>
        <v/>
      </c>
      <c r="S276" s="84" t="str">
        <f t="shared" si="4"/>
        <v/>
      </c>
      <c r="T276" s="85"/>
      <c r="U276" s="82">
        <f t="shared" si="5"/>
        <v>0</v>
      </c>
      <c r="V276" s="66">
        <f t="shared" si="6"/>
        <v>0</v>
      </c>
      <c r="W276" s="81">
        <f t="shared" si="7"/>
        <v>0</v>
      </c>
      <c r="X276" s="82" t="str">
        <f t="shared" si="8"/>
        <v>Trappertje</v>
      </c>
      <c r="Y276" s="86" t="str">
        <f t="shared" si="9"/>
        <v>https://www.munzee.com/m/Trappertje/7403/</v>
      </c>
    </row>
    <row r="277" hidden="1" outlineLevel="1">
      <c r="A277" s="76" t="s">
        <v>687</v>
      </c>
      <c r="B277" s="77">
        <v>28.0</v>
      </c>
      <c r="C277" s="77">
        <v>11.0</v>
      </c>
      <c r="D277" s="64">
        <v>52.118561</v>
      </c>
      <c r="E277" s="64">
        <v>5.383052</v>
      </c>
      <c r="F277" s="78" t="s">
        <v>78</v>
      </c>
      <c r="G277" s="78" t="s">
        <v>79</v>
      </c>
      <c r="H277" s="78" t="s">
        <v>688</v>
      </c>
      <c r="I277" s="79" t="s">
        <v>689</v>
      </c>
      <c r="J277" s="80"/>
      <c r="K277" s="78" t="b">
        <v>1</v>
      </c>
      <c r="L277" s="66" t="str">
        <f t="shared" si="2"/>
        <v/>
      </c>
      <c r="M277" s="81" t="str">
        <f>IFERROR(__xludf.DUMMYFUNCTION("IF(W277=1,IFERROR(IMPORTXML(I277, ""//p[@class='status-date']""), ""Not deployed""),"""")"),"")</f>
        <v/>
      </c>
      <c r="N277" s="82"/>
      <c r="O277" s="66"/>
      <c r="P277" s="66"/>
      <c r="Q277" s="66"/>
      <c r="R277" s="83" t="str">
        <f t="shared" si="3"/>
        <v/>
      </c>
      <c r="S277" s="84" t="str">
        <f t="shared" si="4"/>
        <v/>
      </c>
      <c r="T277" s="85"/>
      <c r="U277" s="82">
        <f t="shared" si="5"/>
        <v>0</v>
      </c>
      <c r="V277" s="66">
        <f t="shared" si="6"/>
        <v>0</v>
      </c>
      <c r="W277" s="81">
        <f t="shared" si="7"/>
        <v>0</v>
      </c>
      <c r="X277" s="82" t="str">
        <f t="shared" si="8"/>
        <v>Sikko</v>
      </c>
      <c r="Y277" s="86" t="str">
        <f t="shared" si="9"/>
        <v>https://www.munzee.com/m/Sikko/5366/</v>
      </c>
    </row>
    <row r="278" hidden="1" outlineLevel="1">
      <c r="A278" s="76" t="s">
        <v>690</v>
      </c>
      <c r="B278" s="77">
        <v>28.0</v>
      </c>
      <c r="C278" s="77">
        <v>12.0</v>
      </c>
      <c r="D278" s="64">
        <v>52.118561</v>
      </c>
      <c r="E278" s="64">
        <v>5.383286</v>
      </c>
      <c r="F278" s="78" t="s">
        <v>125</v>
      </c>
      <c r="G278" s="78" t="s">
        <v>126</v>
      </c>
      <c r="H278" s="78" t="s">
        <v>691</v>
      </c>
      <c r="I278" s="79" t="s">
        <v>692</v>
      </c>
      <c r="J278" s="80"/>
      <c r="K278" s="78" t="b">
        <v>1</v>
      </c>
      <c r="L278" s="66" t="str">
        <f t="shared" si="2"/>
        <v/>
      </c>
      <c r="M278" s="81" t="str">
        <f>IFERROR(__xludf.DUMMYFUNCTION("IF(W278=1,IFERROR(IMPORTXML(#REF!, ""//p[@class='status-date']""), ""Not deployed""),"""")"),"")</f>
        <v/>
      </c>
      <c r="N278" s="82"/>
      <c r="O278" s="66"/>
      <c r="P278" s="66"/>
      <c r="Q278" s="66"/>
      <c r="R278" s="83" t="str">
        <f t="shared" si="3"/>
        <v/>
      </c>
      <c r="S278" s="84" t="str">
        <f t="shared" si="4"/>
        <v/>
      </c>
      <c r="T278" s="85"/>
      <c r="U278" s="82">
        <f t="shared" si="5"/>
        <v>0</v>
      </c>
      <c r="V278" s="66">
        <f t="shared" si="6"/>
        <v>0</v>
      </c>
      <c r="W278" s="81">
        <f t="shared" si="7"/>
        <v>0</v>
      </c>
      <c r="X278" s="82" t="str">
        <f t="shared" si="8"/>
        <v>TheOneWhoScans</v>
      </c>
      <c r="Y278" s="86" t="str">
        <f t="shared" si="9"/>
        <v>https://www.munzee.com/m/TheOneWhoScans/10891/</v>
      </c>
    </row>
    <row r="279" hidden="1" outlineLevel="1">
      <c r="A279" s="76" t="s">
        <v>693</v>
      </c>
      <c r="B279" s="77">
        <v>28.0</v>
      </c>
      <c r="C279" s="77">
        <v>13.0</v>
      </c>
      <c r="D279" s="64">
        <v>52.118561</v>
      </c>
      <c r="E279" s="64">
        <v>5.38352</v>
      </c>
      <c r="F279" s="78" t="s">
        <v>125</v>
      </c>
      <c r="G279" s="78" t="s">
        <v>126</v>
      </c>
      <c r="H279" s="78" t="str">
        <f>IF(X279=" ",X279,'Flamingo @ DenTreek'!H277)</f>
        <v>Trappertje</v>
      </c>
      <c r="I279" s="79" t="str">
        <f>'Flamingo @ DenTreek'!I277</f>
        <v>https://www.munzee.com/m/Trappertje/7404/</v>
      </c>
      <c r="J279" s="80"/>
      <c r="K279" s="78" t="b">
        <v>1</v>
      </c>
      <c r="L279" s="66" t="str">
        <f t="shared" si="2"/>
        <v/>
      </c>
      <c r="M279" s="81" t="str">
        <f>IFERROR(__xludf.DUMMYFUNCTION("IF(W279=1,IFERROR(IMPORTXML(I279, ""//p[@class='status-date']""), ""Not deployed""),"""")"),"")</f>
        <v/>
      </c>
      <c r="N279" s="82"/>
      <c r="O279" s="66"/>
      <c r="P279" s="66"/>
      <c r="Q279" s="66"/>
      <c r="R279" s="83" t="str">
        <f t="shared" si="3"/>
        <v/>
      </c>
      <c r="S279" s="84" t="str">
        <f t="shared" si="4"/>
        <v/>
      </c>
      <c r="T279" s="85"/>
      <c r="U279" s="82">
        <f t="shared" si="5"/>
        <v>0</v>
      </c>
      <c r="V279" s="66">
        <f t="shared" si="6"/>
        <v>0</v>
      </c>
      <c r="W279" s="81">
        <f t="shared" si="7"/>
        <v>0</v>
      </c>
      <c r="X279" s="82" t="str">
        <f t="shared" si="8"/>
        <v>Trappertje</v>
      </c>
      <c r="Y279" s="86" t="str">
        <f t="shared" si="9"/>
        <v>https://www.munzee.com/m/Trappertje/7404/</v>
      </c>
    </row>
    <row r="280" hidden="1" outlineLevel="1">
      <c r="A280" s="76" t="s">
        <v>694</v>
      </c>
      <c r="B280" s="77">
        <v>28.0</v>
      </c>
      <c r="C280" s="77">
        <v>14.0</v>
      </c>
      <c r="D280" s="64">
        <v>52.118561</v>
      </c>
      <c r="E280" s="64">
        <v>5.383754</v>
      </c>
      <c r="F280" s="78" t="s">
        <v>51</v>
      </c>
      <c r="G280" s="78" t="s">
        <v>52</v>
      </c>
      <c r="H280" s="78" t="s">
        <v>94</v>
      </c>
      <c r="I280" s="79" t="s">
        <v>695</v>
      </c>
      <c r="J280" s="80"/>
      <c r="K280" s="78" t="b">
        <v>1</v>
      </c>
      <c r="L280" s="66" t="str">
        <f t="shared" si="2"/>
        <v/>
      </c>
      <c r="M280" s="81" t="str">
        <f>IFERROR(__xludf.DUMMYFUNCTION("IF(W280=1,IFERROR(IMPORTXML(I280, ""//p[@class='status-date']""), ""Not deployed""),"""")"),"")</f>
        <v/>
      </c>
      <c r="N280" s="82"/>
      <c r="O280" s="66"/>
      <c r="P280" s="66"/>
      <c r="Q280" s="66"/>
      <c r="R280" s="83" t="str">
        <f t="shared" si="3"/>
        <v/>
      </c>
      <c r="S280" s="84" t="str">
        <f t="shared" si="4"/>
        <v/>
      </c>
      <c r="T280" s="85"/>
      <c r="U280" s="82">
        <f t="shared" si="5"/>
        <v>0</v>
      </c>
      <c r="V280" s="66">
        <f t="shared" si="6"/>
        <v>0</v>
      </c>
      <c r="W280" s="81">
        <f t="shared" si="7"/>
        <v>0</v>
      </c>
      <c r="X280" s="82" t="str">
        <f t="shared" si="8"/>
        <v>paulus2012</v>
      </c>
      <c r="Y280" s="86" t="str">
        <f t="shared" si="9"/>
        <v>https://www.munzee.com/m/paulus2012/8375/</v>
      </c>
    </row>
    <row r="281" hidden="1" outlineLevel="1">
      <c r="A281" s="76" t="s">
        <v>696</v>
      </c>
      <c r="B281" s="77">
        <v>28.0</v>
      </c>
      <c r="C281" s="77">
        <v>15.0</v>
      </c>
      <c r="D281" s="64">
        <v>52.118561</v>
      </c>
      <c r="E281" s="64">
        <v>5.383988</v>
      </c>
      <c r="F281" s="78" t="s">
        <v>70</v>
      </c>
      <c r="G281" s="78" t="s">
        <v>71</v>
      </c>
      <c r="H281" s="78" t="s">
        <v>538</v>
      </c>
      <c r="I281" s="79" t="s">
        <v>697</v>
      </c>
      <c r="J281" s="80"/>
      <c r="K281" s="78" t="b">
        <v>1</v>
      </c>
      <c r="L281" s="66" t="str">
        <f t="shared" si="2"/>
        <v/>
      </c>
      <c r="M281" s="81" t="str">
        <f>IFERROR(__xludf.DUMMYFUNCTION("IF(W281=1,IFERROR(IMPORTXML(I281, ""//p[@class='status-date']""), ""Not deployed""),"""")"),"")</f>
        <v/>
      </c>
      <c r="N281" s="82"/>
      <c r="O281" s="66"/>
      <c r="P281" s="66"/>
      <c r="Q281" s="66"/>
      <c r="R281" s="83" t="str">
        <f t="shared" si="3"/>
        <v/>
      </c>
      <c r="S281" s="84" t="str">
        <f t="shared" si="4"/>
        <v/>
      </c>
      <c r="T281" s="85"/>
      <c r="U281" s="82">
        <f t="shared" si="5"/>
        <v>0</v>
      </c>
      <c r="V281" s="66">
        <f t="shared" si="6"/>
        <v>0</v>
      </c>
      <c r="W281" s="81">
        <f t="shared" si="7"/>
        <v>0</v>
      </c>
      <c r="X281" s="82" t="str">
        <f t="shared" si="8"/>
        <v>ahagmann</v>
      </c>
      <c r="Y281" s="86" t="str">
        <f t="shared" si="9"/>
        <v>https://www.munzee.com/m/ahagmann/12063/</v>
      </c>
    </row>
    <row r="282" hidden="1" outlineLevel="1">
      <c r="A282" s="76" t="s">
        <v>698</v>
      </c>
      <c r="B282" s="77">
        <v>28.0</v>
      </c>
      <c r="C282" s="77">
        <v>16.0</v>
      </c>
      <c r="D282" s="64">
        <v>52.118561</v>
      </c>
      <c r="E282" s="64">
        <v>5.384222</v>
      </c>
      <c r="F282" s="78" t="s">
        <v>78</v>
      </c>
      <c r="G282" s="78" t="s">
        <v>79</v>
      </c>
      <c r="H282" s="78" t="str">
        <f>IF(X282=" ",X282,'Flamingo @ DenTreek'!H280)</f>
        <v>Trappertje</v>
      </c>
      <c r="I282" s="79" t="str">
        <f>'Flamingo @ DenTreek'!I280</f>
        <v>https://www.munzee.com/m/Trappertje/7405/</v>
      </c>
      <c r="J282" s="80"/>
      <c r="K282" s="78" t="b">
        <v>1</v>
      </c>
      <c r="L282" s="66" t="str">
        <f t="shared" si="2"/>
        <v/>
      </c>
      <c r="M282" s="81" t="str">
        <f>IFERROR(__xludf.DUMMYFUNCTION("IF(W282=1,IFERROR(IMPORTXML(I282, ""//p[@class='status-date']""), ""Not deployed""),"""")"),"")</f>
        <v/>
      </c>
      <c r="N282" s="82"/>
      <c r="O282" s="66"/>
      <c r="P282" s="66"/>
      <c r="Q282" s="66"/>
      <c r="R282" s="83" t="str">
        <f t="shared" si="3"/>
        <v/>
      </c>
      <c r="S282" s="84" t="str">
        <f t="shared" si="4"/>
        <v/>
      </c>
      <c r="T282" s="85"/>
      <c r="U282" s="82">
        <f t="shared" si="5"/>
        <v>0</v>
      </c>
      <c r="V282" s="66">
        <f t="shared" si="6"/>
        <v>0</v>
      </c>
      <c r="W282" s="81">
        <f t="shared" si="7"/>
        <v>0</v>
      </c>
      <c r="X282" s="82" t="str">
        <f t="shared" si="8"/>
        <v>Trappertje</v>
      </c>
      <c r="Y282" s="86" t="str">
        <f t="shared" si="9"/>
        <v>https://www.munzee.com/m/Trappertje/7405/</v>
      </c>
    </row>
    <row r="283" hidden="1" outlineLevel="1">
      <c r="A283" s="76" t="s">
        <v>699</v>
      </c>
      <c r="B283" s="77">
        <v>28.0</v>
      </c>
      <c r="C283" s="77">
        <v>17.0</v>
      </c>
      <c r="D283" s="64">
        <v>52.118561</v>
      </c>
      <c r="E283" s="64">
        <v>5.384456</v>
      </c>
      <c r="F283" s="78" t="s">
        <v>51</v>
      </c>
      <c r="G283" s="78" t="s">
        <v>52</v>
      </c>
      <c r="H283" s="78" t="s">
        <v>94</v>
      </c>
      <c r="I283" s="79" t="s">
        <v>700</v>
      </c>
      <c r="J283" s="80"/>
      <c r="K283" s="78" t="b">
        <v>1</v>
      </c>
      <c r="L283" s="66" t="str">
        <f t="shared" si="2"/>
        <v/>
      </c>
      <c r="M283" s="81" t="str">
        <f>IFERROR(__xludf.DUMMYFUNCTION("IF(W283=1,IFERROR(IMPORTXML(I283, ""//p[@class='status-date']""), ""Not deployed""),"""")"),"")</f>
        <v/>
      </c>
      <c r="N283" s="82"/>
      <c r="O283" s="66"/>
      <c r="P283" s="66"/>
      <c r="Q283" s="66"/>
      <c r="R283" s="83" t="str">
        <f t="shared" si="3"/>
        <v/>
      </c>
      <c r="S283" s="84" t="str">
        <f t="shared" si="4"/>
        <v/>
      </c>
      <c r="T283" s="85"/>
      <c r="U283" s="82">
        <f t="shared" si="5"/>
        <v>0</v>
      </c>
      <c r="V283" s="66">
        <f t="shared" si="6"/>
        <v>0</v>
      </c>
      <c r="W283" s="81">
        <f t="shared" si="7"/>
        <v>0</v>
      </c>
      <c r="X283" s="82" t="str">
        <f t="shared" si="8"/>
        <v>paulus2012</v>
      </c>
      <c r="Y283" s="86" t="str">
        <f t="shared" si="9"/>
        <v>https://www.munzee.com/m/paulus2012/8371/</v>
      </c>
    </row>
    <row r="284" hidden="1" outlineLevel="1">
      <c r="A284" s="76" t="s">
        <v>701</v>
      </c>
      <c r="B284" s="77">
        <v>28.0</v>
      </c>
      <c r="C284" s="77">
        <v>18.0</v>
      </c>
      <c r="D284" s="64">
        <v>52.118561</v>
      </c>
      <c r="E284" s="64">
        <v>5.384691</v>
      </c>
      <c r="F284" s="78" t="s">
        <v>51</v>
      </c>
      <c r="G284" s="78" t="s">
        <v>52</v>
      </c>
      <c r="H284" s="66" t="str">
        <f>IF(ISTEXT(X284),X284,"")</f>
        <v>anni56</v>
      </c>
      <c r="I284" s="79" t="s">
        <v>702</v>
      </c>
      <c r="J284" s="80"/>
      <c r="K284" s="78" t="b">
        <v>1</v>
      </c>
      <c r="L284" s="66" t="str">
        <f t="shared" si="2"/>
        <v/>
      </c>
      <c r="M284" s="81" t="str">
        <f>IFERROR(__xludf.DUMMYFUNCTION("IF(W284=1,IFERROR(IMPORTXML(I284, ""//p[@class='status-date']""), ""Not deployed""),"""")"),"")</f>
        <v/>
      </c>
      <c r="N284" s="82"/>
      <c r="O284" s="66"/>
      <c r="P284" s="66"/>
      <c r="Q284" s="66"/>
      <c r="R284" s="83" t="str">
        <f t="shared" si="3"/>
        <v/>
      </c>
      <c r="S284" s="84" t="str">
        <f t="shared" si="4"/>
        <v/>
      </c>
      <c r="T284" s="85"/>
      <c r="U284" s="82">
        <f t="shared" si="5"/>
        <v>0</v>
      </c>
      <c r="V284" s="66">
        <f t="shared" si="6"/>
        <v>0</v>
      </c>
      <c r="W284" s="81">
        <f t="shared" si="7"/>
        <v>0</v>
      </c>
      <c r="X284" s="82" t="str">
        <f t="shared" si="8"/>
        <v>anni56</v>
      </c>
      <c r="Y284" s="86" t="str">
        <f t="shared" si="9"/>
        <v>https://www.munzee.com/m/anni56/23030/</v>
      </c>
    </row>
    <row r="285" hidden="1" outlineLevel="1">
      <c r="A285" s="76" t="s">
        <v>703</v>
      </c>
      <c r="B285" s="77">
        <v>28.0</v>
      </c>
      <c r="C285" s="77">
        <v>19.0</v>
      </c>
      <c r="D285" s="64">
        <v>52.118561</v>
      </c>
      <c r="E285" s="64">
        <v>5.384925</v>
      </c>
      <c r="F285" s="78" t="s">
        <v>125</v>
      </c>
      <c r="G285" s="78" t="s">
        <v>126</v>
      </c>
      <c r="H285" s="78" t="str">
        <f>IF(X285=" ",X285,'Flamingo @ DenTreek'!H283)</f>
        <v>Trappertje</v>
      </c>
      <c r="I285" s="79" t="str">
        <f>'Flamingo @ DenTreek'!I283</f>
        <v>https://www.munzee.com/m/Trappertje/7446/</v>
      </c>
      <c r="J285" s="80"/>
      <c r="K285" s="78" t="b">
        <v>1</v>
      </c>
      <c r="L285" s="66" t="str">
        <f t="shared" si="2"/>
        <v/>
      </c>
      <c r="M285" s="81" t="str">
        <f>IFERROR(__xludf.DUMMYFUNCTION("IF(W285=1,IFERROR(IMPORTXML(I285, ""//p[@class='status-date']""), ""Not deployed""),"""")"),"")</f>
        <v/>
      </c>
      <c r="N285" s="82"/>
      <c r="O285" s="66"/>
      <c r="P285" s="66"/>
      <c r="Q285" s="66"/>
      <c r="R285" s="83" t="str">
        <f t="shared" si="3"/>
        <v/>
      </c>
      <c r="S285" s="84" t="str">
        <f t="shared" si="4"/>
        <v/>
      </c>
      <c r="T285" s="85"/>
      <c r="U285" s="82">
        <f t="shared" si="5"/>
        <v>0</v>
      </c>
      <c r="V285" s="66">
        <f t="shared" si="6"/>
        <v>0</v>
      </c>
      <c r="W285" s="81">
        <f t="shared" si="7"/>
        <v>0</v>
      </c>
      <c r="X285" s="82" t="str">
        <f t="shared" si="8"/>
        <v>Trappertje</v>
      </c>
      <c r="Y285" s="86" t="str">
        <f t="shared" si="9"/>
        <v>https://www.munzee.com/m/Trappertje/7446/</v>
      </c>
    </row>
    <row r="286" hidden="1" outlineLevel="1">
      <c r="A286" s="76" t="s">
        <v>704</v>
      </c>
      <c r="B286" s="77">
        <v>28.0</v>
      </c>
      <c r="C286" s="77">
        <v>20.0</v>
      </c>
      <c r="D286" s="64">
        <v>52.118561</v>
      </c>
      <c r="E286" s="64">
        <v>5.385159</v>
      </c>
      <c r="F286" s="78" t="s">
        <v>51</v>
      </c>
      <c r="G286" s="78" t="s">
        <v>52</v>
      </c>
      <c r="H286" s="78" t="s">
        <v>94</v>
      </c>
      <c r="I286" s="79" t="s">
        <v>705</v>
      </c>
      <c r="J286" s="80"/>
      <c r="K286" s="78" t="b">
        <v>1</v>
      </c>
      <c r="L286" s="66" t="str">
        <f t="shared" si="2"/>
        <v/>
      </c>
      <c r="M286" s="81" t="str">
        <f>IFERROR(__xludf.DUMMYFUNCTION("IF(W286=1,IFERROR(IMPORTXML(I286, ""//p[@class='status-date']""), ""Not deployed""),"""")"),"")</f>
        <v/>
      </c>
      <c r="N286" s="82"/>
      <c r="O286" s="66"/>
      <c r="P286" s="66"/>
      <c r="Q286" s="66"/>
      <c r="R286" s="83" t="str">
        <f t="shared" si="3"/>
        <v/>
      </c>
      <c r="S286" s="84" t="str">
        <f t="shared" si="4"/>
        <v/>
      </c>
      <c r="T286" s="85"/>
      <c r="U286" s="82">
        <f t="shared" si="5"/>
        <v>0</v>
      </c>
      <c r="V286" s="66">
        <f t="shared" si="6"/>
        <v>0</v>
      </c>
      <c r="W286" s="81">
        <f t="shared" si="7"/>
        <v>0</v>
      </c>
      <c r="X286" s="82" t="str">
        <f t="shared" si="8"/>
        <v>paulus2012</v>
      </c>
      <c r="Y286" s="86" t="str">
        <f t="shared" si="9"/>
        <v>https://www.munzee.com/m/paulus2012/8370/</v>
      </c>
    </row>
    <row r="287" hidden="1" outlineLevel="1">
      <c r="A287" s="76" t="s">
        <v>706</v>
      </c>
      <c r="B287" s="77">
        <v>28.0</v>
      </c>
      <c r="C287" s="77">
        <v>21.0</v>
      </c>
      <c r="D287" s="64">
        <v>52.118561</v>
      </c>
      <c r="E287" s="64">
        <v>5.385393</v>
      </c>
      <c r="F287" s="78" t="s">
        <v>125</v>
      </c>
      <c r="G287" s="78" t="s">
        <v>126</v>
      </c>
      <c r="H287" s="66" t="str">
        <f>IF(ISTEXT(X287),X287,"")</f>
        <v>anni56</v>
      </c>
      <c r="I287" s="79" t="s">
        <v>707</v>
      </c>
      <c r="J287" s="88"/>
      <c r="K287" s="78" t="b">
        <v>1</v>
      </c>
      <c r="L287" s="66" t="str">
        <f t="shared" si="2"/>
        <v/>
      </c>
      <c r="M287" s="81" t="str">
        <f>IFERROR(__xludf.DUMMYFUNCTION("IF(W287=1,IFERROR(IMPORTXML(I287, ""//p[@class='status-date']""), ""Not deployed""),"""")"),"")</f>
        <v/>
      </c>
      <c r="N287" s="82"/>
      <c r="O287" s="66"/>
      <c r="P287" s="66"/>
      <c r="Q287" s="66"/>
      <c r="R287" s="83" t="str">
        <f t="shared" si="3"/>
        <v/>
      </c>
      <c r="S287" s="84" t="str">
        <f t="shared" si="4"/>
        <v/>
      </c>
      <c r="T287" s="85"/>
      <c r="U287" s="82">
        <f t="shared" si="5"/>
        <v>0</v>
      </c>
      <c r="V287" s="66">
        <f t="shared" si="6"/>
        <v>0</v>
      </c>
      <c r="W287" s="81">
        <f t="shared" si="7"/>
        <v>0</v>
      </c>
      <c r="X287" s="82" t="str">
        <f t="shared" si="8"/>
        <v>anni56</v>
      </c>
      <c r="Y287" s="86" t="str">
        <f t="shared" si="9"/>
        <v>https://www.munzee.com/m/anni56/21161/</v>
      </c>
    </row>
    <row r="288" hidden="1" outlineLevel="1">
      <c r="A288" s="76" t="s">
        <v>708</v>
      </c>
      <c r="B288" s="77">
        <v>28.0</v>
      </c>
      <c r="C288" s="77">
        <v>22.0</v>
      </c>
      <c r="D288" s="64">
        <v>52.118561</v>
      </c>
      <c r="E288" s="64">
        <v>5.385627</v>
      </c>
      <c r="F288" s="78" t="s">
        <v>78</v>
      </c>
      <c r="G288" s="78" t="s">
        <v>79</v>
      </c>
      <c r="H288" s="78" t="str">
        <f>IF(X288=" ",X288,'Flamingo @ DenTreek'!H286)</f>
        <v>Trappertje</v>
      </c>
      <c r="I288" s="79" t="str">
        <f>'Flamingo @ DenTreek'!I286</f>
        <v>https://www.munzee.com/m/Trappertje/7708/</v>
      </c>
      <c r="J288" s="80"/>
      <c r="K288" s="78" t="b">
        <v>1</v>
      </c>
      <c r="L288" s="66" t="str">
        <f t="shared" si="2"/>
        <v/>
      </c>
      <c r="M288" s="81" t="str">
        <f>IFERROR(__xludf.DUMMYFUNCTION("IF(W288=1,IFERROR(IMPORTXML(I288, ""//p[@class='status-date']""), ""Not deployed""),"""")"),"")</f>
        <v/>
      </c>
      <c r="N288" s="82"/>
      <c r="O288" s="66"/>
      <c r="P288" s="66"/>
      <c r="Q288" s="66"/>
      <c r="R288" s="83" t="str">
        <f t="shared" si="3"/>
        <v/>
      </c>
      <c r="S288" s="84" t="str">
        <f t="shared" si="4"/>
        <v/>
      </c>
      <c r="T288" s="85"/>
      <c r="U288" s="82">
        <f t="shared" si="5"/>
        <v>0</v>
      </c>
      <c r="V288" s="66">
        <f t="shared" si="6"/>
        <v>0</v>
      </c>
      <c r="W288" s="81">
        <f t="shared" si="7"/>
        <v>0</v>
      </c>
      <c r="X288" s="82" t="str">
        <f t="shared" si="8"/>
        <v>Trappertje</v>
      </c>
      <c r="Y288" s="86" t="str">
        <f t="shared" si="9"/>
        <v>https://www.munzee.com/m/Trappertje/7708/</v>
      </c>
    </row>
    <row r="289" hidden="1" outlineLevel="1">
      <c r="A289" s="76" t="s">
        <v>709</v>
      </c>
      <c r="B289" s="77">
        <v>28.0</v>
      </c>
      <c r="C289" s="77">
        <v>23.0</v>
      </c>
      <c r="D289" s="64">
        <v>52.118561</v>
      </c>
      <c r="E289" s="64">
        <v>5.385861</v>
      </c>
      <c r="F289" s="78" t="s">
        <v>125</v>
      </c>
      <c r="G289" s="78" t="s">
        <v>126</v>
      </c>
      <c r="H289" s="78" t="s">
        <v>94</v>
      </c>
      <c r="I289" s="79" t="s">
        <v>710</v>
      </c>
      <c r="J289" s="80"/>
      <c r="K289" s="78" t="b">
        <v>1</v>
      </c>
      <c r="L289" s="66" t="str">
        <f t="shared" si="2"/>
        <v/>
      </c>
      <c r="M289" s="81" t="str">
        <f>IFERROR(__xludf.DUMMYFUNCTION("IF(W289=1,IFERROR(IMPORTXML(I289, ""//p[@class='status-date']""), ""Not deployed""),"""")"),"")</f>
        <v/>
      </c>
      <c r="N289" s="82"/>
      <c r="O289" s="66"/>
      <c r="P289" s="66"/>
      <c r="Q289" s="66"/>
      <c r="R289" s="83" t="str">
        <f t="shared" si="3"/>
        <v/>
      </c>
      <c r="S289" s="84" t="str">
        <f t="shared" si="4"/>
        <v/>
      </c>
      <c r="T289" s="85"/>
      <c r="U289" s="82">
        <f t="shared" si="5"/>
        <v>0</v>
      </c>
      <c r="V289" s="66">
        <f t="shared" si="6"/>
        <v>0</v>
      </c>
      <c r="W289" s="81">
        <f t="shared" si="7"/>
        <v>0</v>
      </c>
      <c r="X289" s="82" t="str">
        <f t="shared" si="8"/>
        <v>paulus2012</v>
      </c>
      <c r="Y289" s="86" t="str">
        <f t="shared" si="9"/>
        <v>https://www.munzee.com/m/paulus2012/8369/</v>
      </c>
    </row>
    <row r="290" hidden="1" outlineLevel="1">
      <c r="A290" s="76" t="s">
        <v>711</v>
      </c>
      <c r="B290" s="77">
        <v>28.0</v>
      </c>
      <c r="C290" s="77">
        <v>24.0</v>
      </c>
      <c r="D290" s="64">
        <v>52.118561</v>
      </c>
      <c r="E290" s="64">
        <v>5.386095</v>
      </c>
      <c r="F290" s="78" t="s">
        <v>57</v>
      </c>
      <c r="G290" s="78" t="s">
        <v>58</v>
      </c>
      <c r="H290" s="66" t="str">
        <f>IF(ISTEXT(X290),X290,"")</f>
        <v>anni56</v>
      </c>
      <c r="I290" s="79" t="s">
        <v>712</v>
      </c>
      <c r="J290" s="80"/>
      <c r="K290" s="78" t="b">
        <v>1</v>
      </c>
      <c r="L290" s="66" t="str">
        <f t="shared" si="2"/>
        <v/>
      </c>
      <c r="M290" s="81" t="str">
        <f>IFERROR(__xludf.DUMMYFUNCTION("IF(W290=1,IFERROR(IMPORTXML(I290, ""//p[@class='status-date']""), ""Not deployed""),"""")"),"")</f>
        <v/>
      </c>
      <c r="N290" s="82"/>
      <c r="O290" s="66"/>
      <c r="P290" s="66"/>
      <c r="Q290" s="66"/>
      <c r="R290" s="83" t="str">
        <f t="shared" si="3"/>
        <v/>
      </c>
      <c r="S290" s="84" t="str">
        <f t="shared" si="4"/>
        <v/>
      </c>
      <c r="T290" s="85"/>
      <c r="U290" s="82">
        <f t="shared" si="5"/>
        <v>0</v>
      </c>
      <c r="V290" s="66">
        <f t="shared" si="6"/>
        <v>0</v>
      </c>
      <c r="W290" s="81">
        <f t="shared" si="7"/>
        <v>0</v>
      </c>
      <c r="X290" s="82" t="str">
        <f t="shared" si="8"/>
        <v>anni56</v>
      </c>
      <c r="Y290" s="86" t="str">
        <f t="shared" si="9"/>
        <v>https://www.munzee.com/m/anni56/22735/</v>
      </c>
    </row>
    <row r="291" hidden="1" outlineLevel="1">
      <c r="A291" s="76" t="s">
        <v>713</v>
      </c>
      <c r="B291" s="77">
        <v>28.0</v>
      </c>
      <c r="C291" s="77">
        <v>25.0</v>
      </c>
      <c r="D291" s="64">
        <v>52.118561</v>
      </c>
      <c r="E291" s="64">
        <v>5.386329</v>
      </c>
      <c r="F291" s="78" t="s">
        <v>125</v>
      </c>
      <c r="G291" s="78" t="s">
        <v>126</v>
      </c>
      <c r="H291" s="78" t="str">
        <f>IF(X291=" ",X291,'Flamingo @ DenTreek'!H289)</f>
        <v>Trappertje</v>
      </c>
      <c r="I291" s="79" t="str">
        <f>'Flamingo @ DenTreek'!I289</f>
        <v>https://www.munzee.com/m/Trappertje/7810/</v>
      </c>
      <c r="J291" s="80"/>
      <c r="K291" s="78" t="b">
        <v>1</v>
      </c>
      <c r="L291" s="66" t="str">
        <f t="shared" si="2"/>
        <v/>
      </c>
      <c r="M291" s="81" t="str">
        <f>IFERROR(__xludf.DUMMYFUNCTION("IF(W291=1,IFERROR(IMPORTXML(I291, ""//p[@class='status-date']""), ""Not deployed""),"""")"),"")</f>
        <v/>
      </c>
      <c r="N291" s="82"/>
      <c r="O291" s="66"/>
      <c r="P291" s="66"/>
      <c r="Q291" s="66"/>
      <c r="R291" s="83" t="str">
        <f t="shared" si="3"/>
        <v/>
      </c>
      <c r="S291" s="84" t="str">
        <f t="shared" si="4"/>
        <v/>
      </c>
      <c r="T291" s="85"/>
      <c r="U291" s="82">
        <f t="shared" si="5"/>
        <v>0</v>
      </c>
      <c r="V291" s="66">
        <f t="shared" si="6"/>
        <v>0</v>
      </c>
      <c r="W291" s="81">
        <f t="shared" si="7"/>
        <v>0</v>
      </c>
      <c r="X291" s="82" t="str">
        <f t="shared" si="8"/>
        <v>Trappertje</v>
      </c>
      <c r="Y291" s="86" t="str">
        <f t="shared" si="9"/>
        <v>https://www.munzee.com/m/Trappertje/7810/</v>
      </c>
    </row>
    <row r="292" hidden="1" outlineLevel="1">
      <c r="A292" s="76" t="s">
        <v>714</v>
      </c>
      <c r="B292" s="77">
        <v>28.0</v>
      </c>
      <c r="C292" s="77">
        <v>26.0</v>
      </c>
      <c r="D292" s="64">
        <v>52.118561</v>
      </c>
      <c r="E292" s="64">
        <v>5.386563</v>
      </c>
      <c r="F292" s="78" t="s">
        <v>78</v>
      </c>
      <c r="G292" s="78" t="s">
        <v>79</v>
      </c>
      <c r="H292" s="66" t="str">
        <f t="shared" ref="H292:H293" si="24">IF(ISTEXT(X292),X292,"")</f>
        <v>Maattmoo</v>
      </c>
      <c r="I292" s="79" t="s">
        <v>715</v>
      </c>
      <c r="J292" s="80"/>
      <c r="K292" s="78" t="b">
        <v>1</v>
      </c>
      <c r="L292" s="66" t="str">
        <f t="shared" si="2"/>
        <v/>
      </c>
      <c r="M292" s="81" t="str">
        <f>IFERROR(__xludf.DUMMYFUNCTION("IF(W292=1,IFERROR(IMPORTXML(I292, ""//p[@class='status-date']""), ""Not deployed""),"""")"),"")</f>
        <v/>
      </c>
      <c r="N292" s="82"/>
      <c r="O292" s="66"/>
      <c r="P292" s="66"/>
      <c r="Q292" s="66"/>
      <c r="R292" s="83" t="str">
        <f t="shared" si="3"/>
        <v/>
      </c>
      <c r="S292" s="84" t="str">
        <f t="shared" si="4"/>
        <v/>
      </c>
      <c r="T292" s="85"/>
      <c r="U292" s="82">
        <f t="shared" si="5"/>
        <v>0</v>
      </c>
      <c r="V292" s="66">
        <f t="shared" si="6"/>
        <v>0</v>
      </c>
      <c r="W292" s="81">
        <f t="shared" si="7"/>
        <v>0</v>
      </c>
      <c r="X292" s="82" t="str">
        <f t="shared" si="8"/>
        <v>Maattmoo</v>
      </c>
      <c r="Y292" s="86" t="str">
        <f t="shared" si="9"/>
        <v>https://www.munzee.com/m/Maattmoo/11578/</v>
      </c>
    </row>
    <row r="293" hidden="1" outlineLevel="1">
      <c r="A293" s="76" t="s">
        <v>716</v>
      </c>
      <c r="B293" s="77">
        <v>28.0</v>
      </c>
      <c r="C293" s="77">
        <v>27.0</v>
      </c>
      <c r="D293" s="64">
        <v>52.118561</v>
      </c>
      <c r="E293" s="64">
        <v>5.386797</v>
      </c>
      <c r="F293" s="78" t="s">
        <v>125</v>
      </c>
      <c r="G293" s="78" t="s">
        <v>126</v>
      </c>
      <c r="H293" s="66" t="str">
        <f t="shared" si="24"/>
        <v>anni56</v>
      </c>
      <c r="I293" s="79" t="s">
        <v>717</v>
      </c>
      <c r="J293" s="80"/>
      <c r="K293" s="78" t="b">
        <v>1</v>
      </c>
      <c r="L293" s="66" t="str">
        <f t="shared" si="2"/>
        <v/>
      </c>
      <c r="M293" s="81" t="str">
        <f>IFERROR(__xludf.DUMMYFUNCTION("IF(W293=1,IFERROR(IMPORTXML(I293, ""//p[@class='status-date']""), ""Not deployed""),"""")"),"")</f>
        <v/>
      </c>
      <c r="N293" s="82"/>
      <c r="O293" s="66"/>
      <c r="P293" s="66"/>
      <c r="Q293" s="66"/>
      <c r="R293" s="83" t="str">
        <f t="shared" si="3"/>
        <v/>
      </c>
      <c r="S293" s="84" t="str">
        <f t="shared" si="4"/>
        <v/>
      </c>
      <c r="T293" s="85"/>
      <c r="U293" s="82">
        <f t="shared" si="5"/>
        <v>0</v>
      </c>
      <c r="V293" s="66">
        <f t="shared" si="6"/>
        <v>0</v>
      </c>
      <c r="W293" s="81">
        <f t="shared" si="7"/>
        <v>0</v>
      </c>
      <c r="X293" s="82" t="str">
        <f t="shared" si="8"/>
        <v>anni56</v>
      </c>
      <c r="Y293" s="86" t="str">
        <f t="shared" si="9"/>
        <v>https://www.munzee.com/m/anni56/21113/</v>
      </c>
    </row>
    <row r="294" hidden="1" outlineLevel="1">
      <c r="A294" s="76" t="s">
        <v>718</v>
      </c>
      <c r="B294" s="77">
        <v>28.0</v>
      </c>
      <c r="C294" s="77">
        <v>28.0</v>
      </c>
      <c r="D294" s="64">
        <v>52.118561</v>
      </c>
      <c r="E294" s="64">
        <v>5.387031</v>
      </c>
      <c r="F294" s="78" t="s">
        <v>70</v>
      </c>
      <c r="G294" s="78" t="s">
        <v>71</v>
      </c>
      <c r="H294" s="78" t="str">
        <f>IF(X294=" ",X294,'Flamingo @ DenTreek'!H292)</f>
        <v>Trappertje</v>
      </c>
      <c r="I294" s="79" t="str">
        <f>'Flamingo @ DenTreek'!I292</f>
        <v>https://www.munzee.com/m/Trappertje/7839/</v>
      </c>
      <c r="J294" s="80"/>
      <c r="K294" s="78" t="b">
        <v>1</v>
      </c>
      <c r="L294" s="66" t="str">
        <f t="shared" si="2"/>
        <v/>
      </c>
      <c r="M294" s="81" t="str">
        <f>IFERROR(__xludf.DUMMYFUNCTION("IF(W294=1,IFERROR(IMPORTXML(I294, ""//p[@class='status-date']""), ""Not deployed""),"""")"),"")</f>
        <v/>
      </c>
      <c r="N294" s="82"/>
      <c r="O294" s="66"/>
      <c r="P294" s="66"/>
      <c r="Q294" s="66"/>
      <c r="R294" s="83" t="str">
        <f t="shared" si="3"/>
        <v/>
      </c>
      <c r="S294" s="84" t="str">
        <f t="shared" si="4"/>
        <v/>
      </c>
      <c r="T294" s="85"/>
      <c r="U294" s="82">
        <f t="shared" si="5"/>
        <v>0</v>
      </c>
      <c r="V294" s="66">
        <f t="shared" si="6"/>
        <v>0</v>
      </c>
      <c r="W294" s="81">
        <f t="shared" si="7"/>
        <v>0</v>
      </c>
      <c r="X294" s="82" t="str">
        <f t="shared" si="8"/>
        <v>Trappertje</v>
      </c>
      <c r="Y294" s="86" t="str">
        <f t="shared" si="9"/>
        <v>https://www.munzee.com/m/Trappertje/7839/</v>
      </c>
    </row>
    <row r="295" hidden="1" outlineLevel="1">
      <c r="A295" s="76" t="s">
        <v>719</v>
      </c>
      <c r="B295" s="77">
        <v>28.0</v>
      </c>
      <c r="C295" s="77">
        <v>29.0</v>
      </c>
      <c r="D295" s="64">
        <v>52.118561</v>
      </c>
      <c r="E295" s="64">
        <v>5.387265</v>
      </c>
      <c r="F295" s="78" t="s">
        <v>125</v>
      </c>
      <c r="G295" s="78" t="s">
        <v>126</v>
      </c>
      <c r="H295" s="78" t="s">
        <v>94</v>
      </c>
      <c r="I295" s="79" t="s">
        <v>720</v>
      </c>
      <c r="J295" s="80"/>
      <c r="K295" s="78" t="b">
        <v>1</v>
      </c>
      <c r="L295" s="66" t="str">
        <f t="shared" si="2"/>
        <v/>
      </c>
      <c r="M295" s="81" t="str">
        <f>IFERROR(__xludf.DUMMYFUNCTION("IF(W295=1,IFERROR(IMPORTXML(I295, ""//p[@class='status-date']""), ""Not deployed""),"""")"),"")</f>
        <v/>
      </c>
      <c r="N295" s="82"/>
      <c r="O295" s="66"/>
      <c r="P295" s="66"/>
      <c r="Q295" s="66"/>
      <c r="R295" s="83" t="str">
        <f t="shared" si="3"/>
        <v/>
      </c>
      <c r="S295" s="84" t="str">
        <f t="shared" si="4"/>
        <v/>
      </c>
      <c r="T295" s="85"/>
      <c r="U295" s="82">
        <f t="shared" si="5"/>
        <v>0</v>
      </c>
      <c r="V295" s="66">
        <f t="shared" si="6"/>
        <v>0</v>
      </c>
      <c r="W295" s="81">
        <f t="shared" si="7"/>
        <v>0</v>
      </c>
      <c r="X295" s="82" t="str">
        <f t="shared" si="8"/>
        <v>paulus2012</v>
      </c>
      <c r="Y295" s="86" t="str">
        <f t="shared" si="9"/>
        <v>https://www.munzee.com/m/paulus2012/8367/</v>
      </c>
    </row>
    <row r="296" hidden="1" outlineLevel="1">
      <c r="A296" s="76" t="s">
        <v>721</v>
      </c>
      <c r="B296" s="77">
        <v>28.0</v>
      </c>
      <c r="C296" s="77">
        <v>30.0</v>
      </c>
      <c r="D296" s="64">
        <v>52.118561</v>
      </c>
      <c r="E296" s="64">
        <v>5.387499</v>
      </c>
      <c r="F296" s="78" t="s">
        <v>57</v>
      </c>
      <c r="G296" s="78" t="s">
        <v>58</v>
      </c>
      <c r="H296" s="78" t="s">
        <v>323</v>
      </c>
      <c r="I296" s="79" t="s">
        <v>722</v>
      </c>
      <c r="J296" s="80"/>
      <c r="K296" s="78" t="b">
        <v>1</v>
      </c>
      <c r="L296" s="66" t="str">
        <f t="shared" si="2"/>
        <v/>
      </c>
      <c r="M296" s="81" t="str">
        <f>IFERROR(__xludf.DUMMYFUNCTION("IF(W296=1,IFERROR(IMPORTXML(I296, ""//p[@class='status-date']""), ""Not deployed""),"""")"),"")</f>
        <v/>
      </c>
      <c r="N296" s="82"/>
      <c r="O296" s="66"/>
      <c r="P296" s="66"/>
      <c r="Q296" s="66"/>
      <c r="R296" s="83" t="str">
        <f t="shared" si="3"/>
        <v/>
      </c>
      <c r="S296" s="84" t="str">
        <f t="shared" si="4"/>
        <v/>
      </c>
      <c r="T296" s="85"/>
      <c r="U296" s="82">
        <f t="shared" si="5"/>
        <v>0</v>
      </c>
      <c r="V296" s="66">
        <f t="shared" si="6"/>
        <v>0</v>
      </c>
      <c r="W296" s="81">
        <f t="shared" si="7"/>
        <v>0</v>
      </c>
      <c r="X296" s="82" t="str">
        <f t="shared" si="8"/>
        <v>theLuckyFinders</v>
      </c>
      <c r="Y296" s="86" t="str">
        <f t="shared" si="9"/>
        <v>https://www.munzee.com/m/theLuckyFinders/3965/</v>
      </c>
    </row>
    <row r="297" hidden="1" outlineLevel="1">
      <c r="A297" s="76" t="s">
        <v>723</v>
      </c>
      <c r="B297" s="77">
        <v>28.0</v>
      </c>
      <c r="C297" s="77">
        <v>31.0</v>
      </c>
      <c r="D297" s="64">
        <v>52.118561</v>
      </c>
      <c r="E297" s="64">
        <v>5.387734</v>
      </c>
      <c r="F297" s="78" t="s">
        <v>57</v>
      </c>
      <c r="G297" s="78" t="s">
        <v>58</v>
      </c>
      <c r="H297" s="78" t="str">
        <f>IF(X297=" ",X297,'Flamingo @ DenTreek'!H295)</f>
        <v>Trappertje</v>
      </c>
      <c r="I297" s="79" t="str">
        <f>'Flamingo @ DenTreek'!I295</f>
        <v>https://www.munzee.com/m/Trappertje/7854/</v>
      </c>
      <c r="J297" s="80"/>
      <c r="K297" s="78" t="b">
        <v>1</v>
      </c>
      <c r="L297" s="66" t="str">
        <f t="shared" si="2"/>
        <v/>
      </c>
      <c r="M297" s="81" t="str">
        <f>IFERROR(__xludf.DUMMYFUNCTION("IF(W297=1,IFERROR(IMPORTXML(I297, ""//p[@class='status-date']""), ""Not deployed""),"""")"),"")</f>
        <v/>
      </c>
      <c r="N297" s="82"/>
      <c r="O297" s="66"/>
      <c r="P297" s="66"/>
      <c r="Q297" s="66"/>
      <c r="R297" s="83" t="str">
        <f t="shared" si="3"/>
        <v/>
      </c>
      <c r="S297" s="84" t="str">
        <f t="shared" si="4"/>
        <v/>
      </c>
      <c r="T297" s="85"/>
      <c r="U297" s="82">
        <f t="shared" si="5"/>
        <v>0</v>
      </c>
      <c r="V297" s="66">
        <f t="shared" si="6"/>
        <v>0</v>
      </c>
      <c r="W297" s="81">
        <f t="shared" si="7"/>
        <v>0</v>
      </c>
      <c r="X297" s="82" t="str">
        <f t="shared" si="8"/>
        <v>Trappertje</v>
      </c>
      <c r="Y297" s="86" t="str">
        <f t="shared" si="9"/>
        <v>https://www.munzee.com/m/Trappertje/7854/</v>
      </c>
    </row>
    <row r="298" hidden="1" outlineLevel="1">
      <c r="A298" s="76" t="s">
        <v>724</v>
      </c>
      <c r="B298" s="77">
        <v>28.0</v>
      </c>
      <c r="C298" s="77">
        <v>32.0</v>
      </c>
      <c r="D298" s="64">
        <v>52.118561</v>
      </c>
      <c r="E298" s="64">
        <v>5.387968</v>
      </c>
      <c r="F298" s="78" t="s">
        <v>128</v>
      </c>
      <c r="G298" s="78" t="s">
        <v>129</v>
      </c>
      <c r="H298" s="78" t="s">
        <v>86</v>
      </c>
      <c r="I298" s="79" t="s">
        <v>725</v>
      </c>
      <c r="J298" s="80"/>
      <c r="K298" s="78" t="b">
        <v>1</v>
      </c>
      <c r="L298" s="66" t="str">
        <f t="shared" si="2"/>
        <v/>
      </c>
      <c r="M298" s="81" t="str">
        <f>IFERROR(__xludf.DUMMYFUNCTION("IF(W298=1,IFERROR(IMPORTXML(I298, ""//p[@class='status-date']""), ""Not deployed""),"""")"),"")</f>
        <v/>
      </c>
      <c r="N298" s="82"/>
      <c r="O298" s="66"/>
      <c r="P298" s="66"/>
      <c r="Q298" s="66"/>
      <c r="R298" s="83" t="str">
        <f t="shared" si="3"/>
        <v/>
      </c>
      <c r="S298" s="84" t="str">
        <f t="shared" si="4"/>
        <v/>
      </c>
      <c r="T298" s="85"/>
      <c r="U298" s="82">
        <f t="shared" si="5"/>
        <v>0</v>
      </c>
      <c r="V298" s="66">
        <f t="shared" si="6"/>
        <v>0</v>
      </c>
      <c r="W298" s="81">
        <f t="shared" si="7"/>
        <v>0</v>
      </c>
      <c r="X298" s="82" t="str">
        <f t="shared" si="8"/>
        <v>Alroso</v>
      </c>
      <c r="Y298" s="86" t="str">
        <f t="shared" si="9"/>
        <v>https://www.munzee.com/m/Alroso/2584/</v>
      </c>
    </row>
    <row r="299" hidden="1" outlineLevel="1">
      <c r="A299" s="76" t="s">
        <v>726</v>
      </c>
      <c r="B299" s="77">
        <v>29.0</v>
      </c>
      <c r="C299" s="77">
        <v>6.0</v>
      </c>
      <c r="D299" s="64">
        <v>52.118417</v>
      </c>
      <c r="E299" s="64">
        <v>5.381882</v>
      </c>
      <c r="F299" s="78" t="s">
        <v>100</v>
      </c>
      <c r="G299" s="78" t="s">
        <v>101</v>
      </c>
      <c r="H299" s="78" t="s">
        <v>59</v>
      </c>
      <c r="I299" s="79" t="s">
        <v>727</v>
      </c>
      <c r="J299" s="80"/>
      <c r="K299" s="78" t="b">
        <v>1</v>
      </c>
      <c r="L299" s="66" t="str">
        <f t="shared" si="2"/>
        <v/>
      </c>
      <c r="M299" s="81" t="str">
        <f>IFERROR(__xludf.DUMMYFUNCTION("IF(W299=1,IFERROR(IMPORTXML(I299, ""//p[@class='status-date']""), ""Not deployed""),"""")"),"")</f>
        <v/>
      </c>
      <c r="N299" s="82"/>
      <c r="O299" s="66"/>
      <c r="P299" s="66"/>
      <c r="Q299" s="66"/>
      <c r="R299" s="83" t="str">
        <f t="shared" si="3"/>
        <v/>
      </c>
      <c r="S299" s="84" t="str">
        <f t="shared" si="4"/>
        <v/>
      </c>
      <c r="T299" s="85"/>
      <c r="U299" s="82">
        <f t="shared" si="5"/>
        <v>0</v>
      </c>
      <c r="V299" s="66">
        <f t="shared" si="6"/>
        <v>0</v>
      </c>
      <c r="W299" s="81">
        <f t="shared" si="7"/>
        <v>0</v>
      </c>
      <c r="X299" s="82" t="str">
        <f t="shared" si="8"/>
        <v>DeLeeuwen</v>
      </c>
      <c r="Y299" s="86" t="str">
        <f t="shared" si="9"/>
        <v>https://www.munzee.com/m/DeLeeuwen/3383/</v>
      </c>
    </row>
    <row r="300" hidden="1" outlineLevel="1">
      <c r="A300" s="76" t="s">
        <v>728</v>
      </c>
      <c r="B300" s="77">
        <v>29.0</v>
      </c>
      <c r="C300" s="77">
        <v>7.0</v>
      </c>
      <c r="D300" s="64">
        <v>52.118417</v>
      </c>
      <c r="E300" s="64">
        <v>5.382116</v>
      </c>
      <c r="F300" s="78" t="s">
        <v>125</v>
      </c>
      <c r="G300" s="78" t="s">
        <v>126</v>
      </c>
      <c r="H300" s="78" t="s">
        <v>633</v>
      </c>
      <c r="I300" s="96" t="s">
        <v>729</v>
      </c>
      <c r="J300" s="80"/>
      <c r="K300" s="78" t="b">
        <v>1</v>
      </c>
      <c r="L300" s="66" t="str">
        <f t="shared" si="2"/>
        <v/>
      </c>
      <c r="M300" s="81" t="str">
        <f>IFERROR(__xludf.DUMMYFUNCTION("IF(W300=1,IFERROR(IMPORTXML(I278, ""//p[@class='status-date']""), ""Not deployed""),"""")"),"")</f>
        <v/>
      </c>
      <c r="N300" s="82"/>
      <c r="O300" s="66"/>
      <c r="P300" s="66"/>
      <c r="Q300" s="66"/>
      <c r="R300" s="83" t="str">
        <f>IF(K300=TRUE,"",IF(I278&lt;&gt;"",T300,""))</f>
        <v/>
      </c>
      <c r="S300" s="84" t="str">
        <f t="shared" si="4"/>
        <v/>
      </c>
      <c r="T300" s="85"/>
      <c r="U300" s="82">
        <f t="shared" si="5"/>
        <v>0</v>
      </c>
      <c r="V300" s="66">
        <f t="shared" si="6"/>
        <v>0</v>
      </c>
      <c r="W300" s="81">
        <f t="shared" si="7"/>
        <v>0</v>
      </c>
      <c r="X300" s="82" t="str">
        <f t="shared" si="8"/>
        <v>Eskiss</v>
      </c>
      <c r="Y300" s="86" t="str">
        <f t="shared" si="9"/>
        <v>https://www.munzee.com/m/Eskiss/5801/</v>
      </c>
    </row>
    <row r="301" hidden="1" outlineLevel="1">
      <c r="A301" s="76" t="s">
        <v>730</v>
      </c>
      <c r="B301" s="77">
        <v>29.0</v>
      </c>
      <c r="C301" s="77">
        <v>8.0</v>
      </c>
      <c r="D301" s="64">
        <v>52.118417</v>
      </c>
      <c r="E301" s="64">
        <v>5.38235</v>
      </c>
      <c r="F301" s="78" t="s">
        <v>78</v>
      </c>
      <c r="G301" s="78" t="s">
        <v>79</v>
      </c>
      <c r="H301" s="78" t="s">
        <v>731</v>
      </c>
      <c r="I301" s="79" t="s">
        <v>732</v>
      </c>
      <c r="J301" s="80"/>
      <c r="K301" s="78" t="b">
        <v>1</v>
      </c>
      <c r="L301" s="66" t="str">
        <f t="shared" si="2"/>
        <v/>
      </c>
      <c r="M301" s="81" t="str">
        <f>IFERROR(__xludf.DUMMYFUNCTION("IF(W301=1,IFERROR(IMPORTXML(I301, ""//p[@class='status-date']""), ""Not deployed""),"""")"),"")</f>
        <v/>
      </c>
      <c r="N301" s="82"/>
      <c r="O301" s="66"/>
      <c r="P301" s="66"/>
      <c r="Q301" s="66"/>
      <c r="R301" s="83" t="str">
        <f t="shared" ref="R301:R576" si="25">IF(K301=TRUE,"",IF(I301&lt;&gt;"",T301,""))</f>
        <v/>
      </c>
      <c r="S301" s="84" t="str">
        <f t="shared" si="4"/>
        <v/>
      </c>
      <c r="T301" s="85"/>
      <c r="U301" s="82">
        <f t="shared" si="5"/>
        <v>0</v>
      </c>
      <c r="V301" s="66">
        <f t="shared" si="6"/>
        <v>0</v>
      </c>
      <c r="W301" s="81">
        <f t="shared" si="7"/>
        <v>0</v>
      </c>
      <c r="X301" s="82" t="str">
        <f t="shared" si="8"/>
        <v>knightwood</v>
      </c>
      <c r="Y301" s="86" t="str">
        <f t="shared" si="9"/>
        <v>https://www.munzee.com/m/knightwood/9039/</v>
      </c>
    </row>
    <row r="302" hidden="1" outlineLevel="1">
      <c r="A302" s="76" t="s">
        <v>733</v>
      </c>
      <c r="B302" s="77">
        <v>29.0</v>
      </c>
      <c r="C302" s="77">
        <v>9.0</v>
      </c>
      <c r="D302" s="64">
        <v>52.118417</v>
      </c>
      <c r="E302" s="64">
        <v>5.382584</v>
      </c>
      <c r="F302" s="78" t="s">
        <v>78</v>
      </c>
      <c r="G302" s="78" t="s">
        <v>79</v>
      </c>
      <c r="H302" s="78" t="s">
        <v>734</v>
      </c>
      <c r="I302" s="79" t="s">
        <v>735</v>
      </c>
      <c r="J302" s="80"/>
      <c r="K302" s="78" t="b">
        <v>1</v>
      </c>
      <c r="L302" s="66" t="str">
        <f t="shared" si="2"/>
        <v/>
      </c>
      <c r="M302" s="81" t="str">
        <f>IFERROR(__xludf.DUMMYFUNCTION("IF(W302=1,IFERROR(IMPORTXML(I302, ""//p[@class='status-date']""), ""Not deployed""),"""")"),"")</f>
        <v/>
      </c>
      <c r="N302" s="82"/>
      <c r="O302" s="66"/>
      <c r="P302" s="66"/>
      <c r="Q302" s="66"/>
      <c r="R302" s="83" t="str">
        <f t="shared" si="25"/>
        <v/>
      </c>
      <c r="S302" s="84" t="str">
        <f t="shared" si="4"/>
        <v/>
      </c>
      <c r="T302" s="85"/>
      <c r="U302" s="82">
        <f t="shared" si="5"/>
        <v>0</v>
      </c>
      <c r="V302" s="66">
        <f t="shared" si="6"/>
        <v>0</v>
      </c>
      <c r="W302" s="81">
        <f t="shared" si="7"/>
        <v>0</v>
      </c>
      <c r="X302" s="82" t="str">
        <f t="shared" si="8"/>
        <v>twohoots</v>
      </c>
      <c r="Y302" s="86" t="str">
        <f t="shared" si="9"/>
        <v>https://www.munzee.com/m/twohoots/9314/</v>
      </c>
    </row>
    <row r="303" hidden="1" outlineLevel="1">
      <c r="A303" s="76" t="s">
        <v>736</v>
      </c>
      <c r="B303" s="77">
        <v>29.0</v>
      </c>
      <c r="C303" s="77">
        <v>10.0</v>
      </c>
      <c r="D303" s="64">
        <v>52.118417</v>
      </c>
      <c r="E303" s="64">
        <v>5.382818</v>
      </c>
      <c r="F303" s="78" t="s">
        <v>78</v>
      </c>
      <c r="G303" s="78" t="s">
        <v>79</v>
      </c>
      <c r="H303" s="78" t="s">
        <v>737</v>
      </c>
      <c r="I303" s="79" t="s">
        <v>738</v>
      </c>
      <c r="J303" s="80"/>
      <c r="K303" s="78" t="b">
        <v>1</v>
      </c>
      <c r="L303" s="66" t="str">
        <f t="shared" si="2"/>
        <v/>
      </c>
      <c r="M303" s="81" t="str">
        <f>IFERROR(__xludf.DUMMYFUNCTION("IF(W303=1,IFERROR(IMPORTXML(I303, ""//p[@class='status-date']""), ""Not deployed""),"""")"),"")</f>
        <v/>
      </c>
      <c r="N303" s="82"/>
      <c r="O303" s="66"/>
      <c r="P303" s="66"/>
      <c r="Q303" s="66"/>
      <c r="R303" s="83" t="str">
        <f t="shared" si="25"/>
        <v/>
      </c>
      <c r="S303" s="84" t="str">
        <f t="shared" si="4"/>
        <v/>
      </c>
      <c r="T303" s="85"/>
      <c r="U303" s="82">
        <f t="shared" si="5"/>
        <v>0</v>
      </c>
      <c r="V303" s="66">
        <f t="shared" si="6"/>
        <v>0</v>
      </c>
      <c r="W303" s="81">
        <f t="shared" si="7"/>
        <v>0</v>
      </c>
      <c r="X303" s="82" t="str">
        <f t="shared" si="8"/>
        <v>newtwo</v>
      </c>
      <c r="Y303" s="86" t="str">
        <f t="shared" si="9"/>
        <v>https://www.munzee.com/m/newtwo/7396/</v>
      </c>
    </row>
    <row r="304" hidden="1" outlineLevel="1">
      <c r="A304" s="76" t="s">
        <v>739</v>
      </c>
      <c r="B304" s="77">
        <v>29.0</v>
      </c>
      <c r="C304" s="77">
        <v>11.0</v>
      </c>
      <c r="D304" s="64">
        <v>52.118417</v>
      </c>
      <c r="E304" s="64">
        <v>5.383052</v>
      </c>
      <c r="F304" s="78" t="s">
        <v>78</v>
      </c>
      <c r="G304" s="78" t="s">
        <v>79</v>
      </c>
      <c r="H304" s="78" t="s">
        <v>740</v>
      </c>
      <c r="I304" s="101" t="s">
        <v>741</v>
      </c>
      <c r="J304" s="80"/>
      <c r="K304" s="78" t="b">
        <v>1</v>
      </c>
      <c r="L304" s="66" t="str">
        <f t="shared" si="2"/>
        <v/>
      </c>
      <c r="M304" s="81" t="str">
        <f>IFERROR(__xludf.DUMMYFUNCTION("IF(W304=1,IFERROR(IMPORTXML(I304, ""//p[@class='status-date']""), ""Not deployed""),"""")"),"")</f>
        <v/>
      </c>
      <c r="N304" s="82"/>
      <c r="O304" s="66"/>
      <c r="P304" s="66"/>
      <c r="Q304" s="66"/>
      <c r="R304" s="83" t="str">
        <f t="shared" si="25"/>
        <v/>
      </c>
      <c r="S304" s="84" t="str">
        <f t="shared" si="4"/>
        <v/>
      </c>
      <c r="T304" s="85"/>
      <c r="U304" s="82">
        <f t="shared" si="5"/>
        <v>0</v>
      </c>
      <c r="V304" s="66">
        <f t="shared" si="6"/>
        <v>0</v>
      </c>
      <c r="W304" s="81">
        <f t="shared" si="7"/>
        <v>0</v>
      </c>
      <c r="X304" s="82" t="str">
        <f t="shared" si="8"/>
        <v>LittleMeggie</v>
      </c>
      <c r="Y304" s="86" t="str">
        <f t="shared" si="9"/>
        <v>https://www.munzee.com/m/LittleMeggie/1534/</v>
      </c>
    </row>
    <row r="305" hidden="1" outlineLevel="1">
      <c r="A305" s="76" t="s">
        <v>742</v>
      </c>
      <c r="B305" s="77">
        <v>29.0</v>
      </c>
      <c r="C305" s="77">
        <v>12.0</v>
      </c>
      <c r="D305" s="64">
        <v>52.118417</v>
      </c>
      <c r="E305" s="64">
        <v>5.383286</v>
      </c>
      <c r="F305" s="78" t="s">
        <v>125</v>
      </c>
      <c r="G305" s="78" t="s">
        <v>126</v>
      </c>
      <c r="H305" s="78" t="s">
        <v>743</v>
      </c>
      <c r="I305" s="79" t="s">
        <v>744</v>
      </c>
      <c r="J305" s="80"/>
      <c r="K305" s="78" t="b">
        <v>1</v>
      </c>
      <c r="L305" s="66" t="str">
        <f t="shared" si="2"/>
        <v/>
      </c>
      <c r="M305" s="81" t="str">
        <f>IFERROR(__xludf.DUMMYFUNCTION("IF(W305=1,IFERROR(IMPORTXML(I305, ""//p[@class='status-date']""), ""Not deployed""),"""")"),"")</f>
        <v/>
      </c>
      <c r="N305" s="82"/>
      <c r="O305" s="66"/>
      <c r="P305" s="66"/>
      <c r="Q305" s="66"/>
      <c r="R305" s="83" t="str">
        <f t="shared" si="25"/>
        <v/>
      </c>
      <c r="S305" s="84" t="str">
        <f t="shared" si="4"/>
        <v/>
      </c>
      <c r="T305" s="85"/>
      <c r="U305" s="82">
        <f t="shared" si="5"/>
        <v>0</v>
      </c>
      <c r="V305" s="66">
        <f t="shared" si="6"/>
        <v>0</v>
      </c>
      <c r="W305" s="81">
        <f t="shared" si="7"/>
        <v>0</v>
      </c>
      <c r="X305" s="82" t="str">
        <f t="shared" si="8"/>
        <v>sidekicks</v>
      </c>
      <c r="Y305" s="86" t="str">
        <f t="shared" si="9"/>
        <v>https://www.munzee.com/m/sidekicks/7911/</v>
      </c>
    </row>
    <row r="306" hidden="1" outlineLevel="1">
      <c r="A306" s="76" t="s">
        <v>745</v>
      </c>
      <c r="B306" s="77">
        <v>29.0</v>
      </c>
      <c r="C306" s="77">
        <v>13.0</v>
      </c>
      <c r="D306" s="64">
        <v>52.118417</v>
      </c>
      <c r="E306" s="64">
        <v>5.38352</v>
      </c>
      <c r="F306" s="78" t="s">
        <v>125</v>
      </c>
      <c r="G306" s="78" t="s">
        <v>126</v>
      </c>
      <c r="H306" s="66" t="str">
        <f>IF(ISTEXT(X306),X306,"")</f>
        <v>anni56</v>
      </c>
      <c r="I306" s="79" t="s">
        <v>746</v>
      </c>
      <c r="J306" s="80"/>
      <c r="K306" s="78" t="b">
        <v>1</v>
      </c>
      <c r="L306" s="66" t="str">
        <f t="shared" si="2"/>
        <v/>
      </c>
      <c r="M306" s="81" t="str">
        <f>IFERROR(__xludf.DUMMYFUNCTION("IF(W306=1,IFERROR(IMPORTXML(I306, ""//p[@class='status-date']""), ""Not deployed""),"""")"),"")</f>
        <v/>
      </c>
      <c r="N306" s="82"/>
      <c r="O306" s="66"/>
      <c r="P306" s="66"/>
      <c r="Q306" s="66"/>
      <c r="R306" s="83" t="str">
        <f t="shared" si="25"/>
        <v/>
      </c>
      <c r="S306" s="84" t="str">
        <f t="shared" si="4"/>
        <v/>
      </c>
      <c r="T306" s="85"/>
      <c r="U306" s="82">
        <f t="shared" si="5"/>
        <v>0</v>
      </c>
      <c r="V306" s="66">
        <f t="shared" si="6"/>
        <v>0</v>
      </c>
      <c r="W306" s="81">
        <f t="shared" si="7"/>
        <v>0</v>
      </c>
      <c r="X306" s="82" t="str">
        <f t="shared" si="8"/>
        <v>anni56</v>
      </c>
      <c r="Y306" s="86" t="str">
        <f t="shared" si="9"/>
        <v>https://www.munzee.com/m/anni56/21112/</v>
      </c>
    </row>
    <row r="307" hidden="1" outlineLevel="1">
      <c r="A307" s="76" t="s">
        <v>747</v>
      </c>
      <c r="B307" s="77">
        <v>29.0</v>
      </c>
      <c r="C307" s="77">
        <v>14.0</v>
      </c>
      <c r="D307" s="64">
        <v>52.118417</v>
      </c>
      <c r="E307" s="64">
        <v>5.383754</v>
      </c>
      <c r="F307" s="78" t="s">
        <v>125</v>
      </c>
      <c r="G307" s="78" t="s">
        <v>126</v>
      </c>
      <c r="H307" s="78" t="s">
        <v>80</v>
      </c>
      <c r="I307" s="79" t="s">
        <v>748</v>
      </c>
      <c r="J307" s="80"/>
      <c r="K307" s="78" t="b">
        <v>1</v>
      </c>
      <c r="L307" s="66" t="str">
        <f t="shared" si="2"/>
        <v/>
      </c>
      <c r="M307" s="81" t="str">
        <f>IFERROR(__xludf.DUMMYFUNCTION("IF(W307=1,IFERROR(IMPORTXML(I307, ""//p[@class='status-date']""), ""Not deployed""),"""")"),"")</f>
        <v/>
      </c>
      <c r="N307" s="82"/>
      <c r="O307" s="66"/>
      <c r="P307" s="66"/>
      <c r="Q307" s="66"/>
      <c r="R307" s="83" t="str">
        <f t="shared" si="25"/>
        <v/>
      </c>
      <c r="S307" s="84" t="str">
        <f t="shared" si="4"/>
        <v/>
      </c>
      <c r="T307" s="85"/>
      <c r="U307" s="82">
        <f t="shared" si="5"/>
        <v>0</v>
      </c>
      <c r="V307" s="66">
        <f t="shared" si="6"/>
        <v>0</v>
      </c>
      <c r="W307" s="81">
        <f t="shared" si="7"/>
        <v>0</v>
      </c>
      <c r="X307" s="82" t="str">
        <f t="shared" si="8"/>
        <v>albman</v>
      </c>
      <c r="Y307" s="86" t="str">
        <f t="shared" si="9"/>
        <v>https://www.munzee.com/m/albman/210/</v>
      </c>
    </row>
    <row r="308" hidden="1" outlineLevel="1">
      <c r="A308" s="76" t="s">
        <v>749</v>
      </c>
      <c r="B308" s="77">
        <v>29.0</v>
      </c>
      <c r="C308" s="77">
        <v>15.0</v>
      </c>
      <c r="D308" s="64">
        <v>52.118417</v>
      </c>
      <c r="E308" s="64">
        <v>5.383988</v>
      </c>
      <c r="F308" s="78" t="s">
        <v>125</v>
      </c>
      <c r="G308" s="78" t="s">
        <v>126</v>
      </c>
      <c r="H308" s="78" t="s">
        <v>750</v>
      </c>
      <c r="I308" s="79" t="s">
        <v>751</v>
      </c>
      <c r="J308" s="80"/>
      <c r="K308" s="78" t="b">
        <v>1</v>
      </c>
      <c r="L308" s="66" t="str">
        <f t="shared" si="2"/>
        <v/>
      </c>
      <c r="M308" s="81" t="str">
        <f>IFERROR(__xludf.DUMMYFUNCTION("IF(W308=1,IFERROR(IMPORTXML(I308, ""//p[@class='status-date']""), ""Not deployed""),"""")"),"")</f>
        <v/>
      </c>
      <c r="N308" s="82"/>
      <c r="O308" s="66"/>
      <c r="P308" s="66"/>
      <c r="Q308" s="66"/>
      <c r="R308" s="83" t="str">
        <f t="shared" si="25"/>
        <v/>
      </c>
      <c r="S308" s="84" t="str">
        <f t="shared" si="4"/>
        <v/>
      </c>
      <c r="T308" s="85"/>
      <c r="U308" s="82">
        <f t="shared" si="5"/>
        <v>0</v>
      </c>
      <c r="V308" s="66">
        <f t="shared" si="6"/>
        <v>0</v>
      </c>
      <c r="W308" s="81">
        <f t="shared" si="7"/>
        <v>0</v>
      </c>
      <c r="X308" s="82" t="str">
        <f t="shared" si="8"/>
        <v>Warriors</v>
      </c>
      <c r="Y308" s="86" t="str">
        <f t="shared" si="9"/>
        <v>https://www.munzee.com/m/Warriors/6543/</v>
      </c>
    </row>
    <row r="309" hidden="1" outlineLevel="1">
      <c r="A309" s="76" t="s">
        <v>752</v>
      </c>
      <c r="B309" s="77">
        <v>29.0</v>
      </c>
      <c r="C309" s="77">
        <v>16.0</v>
      </c>
      <c r="D309" s="64">
        <v>52.118417</v>
      </c>
      <c r="E309" s="64">
        <v>5.384222</v>
      </c>
      <c r="F309" s="78" t="s">
        <v>100</v>
      </c>
      <c r="G309" s="78" t="s">
        <v>101</v>
      </c>
      <c r="H309" s="78" t="s">
        <v>743</v>
      </c>
      <c r="I309" s="79" t="s">
        <v>753</v>
      </c>
      <c r="J309" s="80"/>
      <c r="K309" s="78" t="b">
        <v>1</v>
      </c>
      <c r="L309" s="66" t="str">
        <f t="shared" si="2"/>
        <v/>
      </c>
      <c r="M309" s="81" t="str">
        <f>IFERROR(__xludf.DUMMYFUNCTION("IF(W309=1,IFERROR(IMPORTXML(I309, ""//p[@class='status-date']""), ""Not deployed""),"""")"),"")</f>
        <v/>
      </c>
      <c r="N309" s="82"/>
      <c r="O309" s="66"/>
      <c r="P309" s="66"/>
      <c r="Q309" s="66"/>
      <c r="R309" s="83" t="str">
        <f t="shared" si="25"/>
        <v/>
      </c>
      <c r="S309" s="84" t="str">
        <f t="shared" si="4"/>
        <v/>
      </c>
      <c r="T309" s="85"/>
      <c r="U309" s="82">
        <f t="shared" si="5"/>
        <v>0</v>
      </c>
      <c r="V309" s="66">
        <f t="shared" si="6"/>
        <v>0</v>
      </c>
      <c r="W309" s="81">
        <f t="shared" si="7"/>
        <v>0</v>
      </c>
      <c r="X309" s="82" t="str">
        <f t="shared" si="8"/>
        <v>sidekicks</v>
      </c>
      <c r="Y309" s="86" t="str">
        <f t="shared" si="9"/>
        <v>https://www.munzee.com/m/sidekicks/7912/</v>
      </c>
    </row>
    <row r="310" hidden="1" outlineLevel="1">
      <c r="A310" s="76" t="s">
        <v>754</v>
      </c>
      <c r="B310" s="77">
        <v>29.0</v>
      </c>
      <c r="C310" s="77">
        <v>17.0</v>
      </c>
      <c r="D310" s="64">
        <v>52.118417</v>
      </c>
      <c r="E310" s="64">
        <v>5.384456</v>
      </c>
      <c r="F310" s="78" t="s">
        <v>125</v>
      </c>
      <c r="G310" s="78" t="s">
        <v>126</v>
      </c>
      <c r="H310" s="78" t="s">
        <v>323</v>
      </c>
      <c r="I310" s="79" t="s">
        <v>755</v>
      </c>
      <c r="J310" s="80"/>
      <c r="K310" s="78" t="b">
        <v>1</v>
      </c>
      <c r="L310" s="66" t="str">
        <f t="shared" si="2"/>
        <v/>
      </c>
      <c r="M310" s="81" t="str">
        <f>IFERROR(__xludf.DUMMYFUNCTION("IF(W310=1,IFERROR(IMPORTXML(I310, ""//p[@class='status-date']""), ""Not deployed""),"""")"),"")</f>
        <v/>
      </c>
      <c r="N310" s="82"/>
      <c r="O310" s="66"/>
      <c r="P310" s="66"/>
      <c r="Q310" s="66"/>
      <c r="R310" s="83" t="str">
        <f t="shared" si="25"/>
        <v/>
      </c>
      <c r="S310" s="84" t="str">
        <f t="shared" si="4"/>
        <v/>
      </c>
      <c r="T310" s="85"/>
      <c r="U310" s="82">
        <f t="shared" si="5"/>
        <v>0</v>
      </c>
      <c r="V310" s="66">
        <f t="shared" si="6"/>
        <v>0</v>
      </c>
      <c r="W310" s="81">
        <f t="shared" si="7"/>
        <v>0</v>
      </c>
      <c r="X310" s="82" t="str">
        <f t="shared" si="8"/>
        <v>theLuckyFinders</v>
      </c>
      <c r="Y310" s="86" t="str">
        <f t="shared" si="9"/>
        <v>https://www.munzee.com/m/theLuckyFinders/4663/</v>
      </c>
    </row>
    <row r="311" hidden="1" outlineLevel="1">
      <c r="A311" s="76" t="s">
        <v>756</v>
      </c>
      <c r="B311" s="77">
        <v>29.0</v>
      </c>
      <c r="C311" s="77">
        <v>18.0</v>
      </c>
      <c r="D311" s="64">
        <v>52.118417</v>
      </c>
      <c r="E311" s="64">
        <v>5.384691</v>
      </c>
      <c r="F311" s="78" t="s">
        <v>125</v>
      </c>
      <c r="G311" s="78" t="s">
        <v>126</v>
      </c>
      <c r="H311" s="78" t="s">
        <v>757</v>
      </c>
      <c r="I311" s="79" t="s">
        <v>758</v>
      </c>
      <c r="J311" s="80"/>
      <c r="K311" s="78" t="b">
        <v>1</v>
      </c>
      <c r="L311" s="66" t="str">
        <f t="shared" si="2"/>
        <v/>
      </c>
      <c r="M311" s="81" t="str">
        <f>IFERROR(__xludf.DUMMYFUNCTION("IF(W311=1,IFERROR(IMPORTXML(I311, ""//p[@class='status-date']""), ""Not deployed""),"""")"),"")</f>
        <v/>
      </c>
      <c r="N311" s="82"/>
      <c r="O311" s="66"/>
      <c r="P311" s="66"/>
      <c r="Q311" s="66"/>
      <c r="R311" s="83" t="str">
        <f t="shared" si="25"/>
        <v/>
      </c>
      <c r="S311" s="84" t="str">
        <f t="shared" si="4"/>
        <v/>
      </c>
      <c r="T311" s="85"/>
      <c r="U311" s="82">
        <f t="shared" si="5"/>
        <v>0</v>
      </c>
      <c r="V311" s="66">
        <f t="shared" si="6"/>
        <v>0</v>
      </c>
      <c r="W311" s="81">
        <f t="shared" si="7"/>
        <v>0</v>
      </c>
      <c r="X311" s="82" t="str">
        <f t="shared" si="8"/>
        <v>KillerSnail</v>
      </c>
      <c r="Y311" s="86" t="str">
        <f t="shared" si="9"/>
        <v>https://www.munzee.com/m/KillerSnail/9951/</v>
      </c>
    </row>
    <row r="312" hidden="1" outlineLevel="1">
      <c r="A312" s="76" t="s">
        <v>759</v>
      </c>
      <c r="B312" s="77">
        <v>29.0</v>
      </c>
      <c r="C312" s="77">
        <v>19.0</v>
      </c>
      <c r="D312" s="64">
        <v>52.118417</v>
      </c>
      <c r="E312" s="64">
        <v>5.384925</v>
      </c>
      <c r="F312" s="78" t="s">
        <v>78</v>
      </c>
      <c r="G312" s="78" t="s">
        <v>79</v>
      </c>
      <c r="H312" s="66" t="str">
        <f t="shared" ref="H312:H313" si="26">IF(ISTEXT(X312),X312,"")</f>
        <v>Marnic</v>
      </c>
      <c r="I312" s="79" t="s">
        <v>760</v>
      </c>
      <c r="J312" s="80"/>
      <c r="K312" s="78" t="b">
        <v>1</v>
      </c>
      <c r="L312" s="66" t="str">
        <f t="shared" si="2"/>
        <v/>
      </c>
      <c r="M312" s="81" t="str">
        <f>IFERROR(__xludf.DUMMYFUNCTION("IF(W312=1,IFERROR(IMPORTXML(I312, ""//p[@class='status-date']""), ""Not deployed""),"""")"),"")</f>
        <v/>
      </c>
      <c r="N312" s="82"/>
      <c r="O312" s="66"/>
      <c r="P312" s="66"/>
      <c r="Q312" s="66"/>
      <c r="R312" s="83" t="str">
        <f t="shared" si="25"/>
        <v/>
      </c>
      <c r="S312" s="84" t="str">
        <f t="shared" si="4"/>
        <v/>
      </c>
      <c r="T312" s="85"/>
      <c r="U312" s="82">
        <f t="shared" si="5"/>
        <v>0</v>
      </c>
      <c r="V312" s="66">
        <f t="shared" si="6"/>
        <v>0</v>
      </c>
      <c r="W312" s="81">
        <f t="shared" si="7"/>
        <v>0</v>
      </c>
      <c r="X312" s="82" t="str">
        <f t="shared" si="8"/>
        <v>Marnic</v>
      </c>
      <c r="Y312" s="86" t="str">
        <f t="shared" si="9"/>
        <v>https://www.munzee.com/m/Marnic/12333/</v>
      </c>
    </row>
    <row r="313" hidden="1" outlineLevel="1">
      <c r="A313" s="76" t="s">
        <v>761</v>
      </c>
      <c r="B313" s="77">
        <v>29.0</v>
      </c>
      <c r="C313" s="77">
        <v>20.0</v>
      </c>
      <c r="D313" s="64">
        <v>52.118417</v>
      </c>
      <c r="E313" s="64">
        <v>5.385159</v>
      </c>
      <c r="F313" s="78" t="s">
        <v>57</v>
      </c>
      <c r="G313" s="78" t="s">
        <v>58</v>
      </c>
      <c r="H313" s="66" t="str">
        <f t="shared" si="26"/>
        <v>nicmar</v>
      </c>
      <c r="I313" s="79" t="s">
        <v>762</v>
      </c>
      <c r="J313" s="80"/>
      <c r="K313" s="78" t="b">
        <v>1</v>
      </c>
      <c r="L313" s="66" t="str">
        <f t="shared" si="2"/>
        <v/>
      </c>
      <c r="M313" s="81" t="str">
        <f>IFERROR(__xludf.DUMMYFUNCTION("IF(W313=1,IFERROR(IMPORTXML(I313, ""//p[@class='status-date']""), ""Not deployed""),"""")"),"")</f>
        <v/>
      </c>
      <c r="N313" s="82"/>
      <c r="O313" s="66"/>
      <c r="P313" s="66"/>
      <c r="Q313" s="66"/>
      <c r="R313" s="83" t="str">
        <f t="shared" si="25"/>
        <v/>
      </c>
      <c r="S313" s="84" t="str">
        <f t="shared" si="4"/>
        <v/>
      </c>
      <c r="T313" s="85"/>
      <c r="U313" s="82">
        <f t="shared" si="5"/>
        <v>0</v>
      </c>
      <c r="V313" s="66">
        <f t="shared" si="6"/>
        <v>0</v>
      </c>
      <c r="W313" s="81">
        <f t="shared" si="7"/>
        <v>0</v>
      </c>
      <c r="X313" s="82" t="str">
        <f t="shared" si="8"/>
        <v>nicmar</v>
      </c>
      <c r="Y313" s="86" t="str">
        <f t="shared" si="9"/>
        <v>https://www.munzee.com/m/nicmar/10023/</v>
      </c>
    </row>
    <row r="314" hidden="1" outlineLevel="1">
      <c r="A314" s="76" t="s">
        <v>763</v>
      </c>
      <c r="B314" s="77">
        <v>29.0</v>
      </c>
      <c r="C314" s="77">
        <v>21.0</v>
      </c>
      <c r="D314" s="64">
        <v>52.118417</v>
      </c>
      <c r="E314" s="64">
        <v>5.385393</v>
      </c>
      <c r="F314" s="78" t="s">
        <v>125</v>
      </c>
      <c r="G314" s="78" t="s">
        <v>126</v>
      </c>
      <c r="H314" s="78" t="s">
        <v>757</v>
      </c>
      <c r="I314" s="79" t="s">
        <v>764</v>
      </c>
      <c r="J314" s="80"/>
      <c r="K314" s="78" t="b">
        <v>1</v>
      </c>
      <c r="L314" s="66" t="str">
        <f t="shared" si="2"/>
        <v/>
      </c>
      <c r="M314" s="81" t="str">
        <f>IFERROR(__xludf.DUMMYFUNCTION("IF(W314=1,IFERROR(IMPORTXML(I314, ""//p[@class='status-date']""), ""Not deployed""),"""")"),"")</f>
        <v/>
      </c>
      <c r="N314" s="82"/>
      <c r="O314" s="66"/>
      <c r="P314" s="66"/>
      <c r="Q314" s="66"/>
      <c r="R314" s="83" t="str">
        <f t="shared" si="25"/>
        <v/>
      </c>
      <c r="S314" s="84" t="str">
        <f t="shared" si="4"/>
        <v/>
      </c>
      <c r="T314" s="85"/>
      <c r="U314" s="82">
        <f t="shared" si="5"/>
        <v>0</v>
      </c>
      <c r="V314" s="66">
        <f t="shared" si="6"/>
        <v>0</v>
      </c>
      <c r="W314" s="81">
        <f t="shared" si="7"/>
        <v>0</v>
      </c>
      <c r="X314" s="82" t="str">
        <f t="shared" si="8"/>
        <v>KillerSnail</v>
      </c>
      <c r="Y314" s="86" t="str">
        <f t="shared" si="9"/>
        <v>https://www.munzee.com/m/KillerSnail/9950/</v>
      </c>
    </row>
    <row r="315" hidden="1" outlineLevel="1">
      <c r="A315" s="76" t="s">
        <v>765</v>
      </c>
      <c r="B315" s="77">
        <v>29.0</v>
      </c>
      <c r="C315" s="77">
        <v>22.0</v>
      </c>
      <c r="D315" s="64">
        <v>52.118417</v>
      </c>
      <c r="E315" s="64">
        <v>5.385627</v>
      </c>
      <c r="F315" s="78" t="s">
        <v>78</v>
      </c>
      <c r="G315" s="78" t="s">
        <v>79</v>
      </c>
      <c r="H315" s="78" t="s">
        <v>611</v>
      </c>
      <c r="I315" s="102" t="s">
        <v>766</v>
      </c>
      <c r="J315" s="80"/>
      <c r="K315" s="78" t="b">
        <v>1</v>
      </c>
      <c r="L315" s="66" t="str">
        <f t="shared" si="2"/>
        <v/>
      </c>
      <c r="M315" s="81" t="str">
        <f>IFERROR(__xludf.DUMMYFUNCTION("IF(W315=1,IFERROR(IMPORTXML(I315, ""//p[@class='status-date']""), ""Not deployed""),"""")"),"")</f>
        <v/>
      </c>
      <c r="N315" s="82"/>
      <c r="O315" s="66"/>
      <c r="P315" s="66"/>
      <c r="Q315" s="66"/>
      <c r="R315" s="83" t="str">
        <f t="shared" si="25"/>
        <v/>
      </c>
      <c r="S315" s="84" t="str">
        <f t="shared" si="4"/>
        <v/>
      </c>
      <c r="T315" s="85"/>
      <c r="U315" s="82">
        <f t="shared" si="5"/>
        <v>0</v>
      </c>
      <c r="V315" s="66">
        <f t="shared" si="6"/>
        <v>0</v>
      </c>
      <c r="W315" s="81">
        <f t="shared" si="7"/>
        <v>0</v>
      </c>
      <c r="X315" s="82" t="str">
        <f t="shared" si="8"/>
        <v>Aniara</v>
      </c>
      <c r="Y315" s="86" t="str">
        <f t="shared" si="9"/>
        <v>https://www.munzee.com/m/Aniara/16081/</v>
      </c>
    </row>
    <row r="316" hidden="1" outlineLevel="1">
      <c r="A316" s="76" t="s">
        <v>767</v>
      </c>
      <c r="B316" s="77">
        <v>29.0</v>
      </c>
      <c r="C316" s="77">
        <v>23.0</v>
      </c>
      <c r="D316" s="64">
        <v>52.118417</v>
      </c>
      <c r="E316" s="64">
        <v>5.385861</v>
      </c>
      <c r="F316" s="78" t="s">
        <v>125</v>
      </c>
      <c r="G316" s="78" t="s">
        <v>126</v>
      </c>
      <c r="H316" s="66" t="str">
        <f>IF(ISTEXT(X316),X316,"")</f>
        <v>Marnic</v>
      </c>
      <c r="I316" s="79" t="s">
        <v>768</v>
      </c>
      <c r="J316" s="80"/>
      <c r="K316" s="78" t="b">
        <v>1</v>
      </c>
      <c r="L316" s="66" t="str">
        <f t="shared" si="2"/>
        <v/>
      </c>
      <c r="M316" s="81" t="str">
        <f>IFERROR(__xludf.DUMMYFUNCTION("IF(W316=1,IFERROR(IMPORTXML(I316, ""//p[@class='status-date']""), ""Not deployed""),"""")"),"")</f>
        <v/>
      </c>
      <c r="N316" s="82"/>
      <c r="O316" s="66"/>
      <c r="P316" s="66"/>
      <c r="Q316" s="66"/>
      <c r="R316" s="83" t="str">
        <f t="shared" si="25"/>
        <v/>
      </c>
      <c r="S316" s="84" t="str">
        <f t="shared" si="4"/>
        <v/>
      </c>
      <c r="T316" s="85"/>
      <c r="U316" s="82">
        <f t="shared" si="5"/>
        <v>0</v>
      </c>
      <c r="V316" s="66">
        <f t="shared" si="6"/>
        <v>0</v>
      </c>
      <c r="W316" s="81">
        <f t="shared" si="7"/>
        <v>0</v>
      </c>
      <c r="X316" s="82" t="str">
        <f t="shared" si="8"/>
        <v>Marnic</v>
      </c>
      <c r="Y316" s="86" t="str">
        <f t="shared" si="9"/>
        <v>https://www.munzee.com/m/Marnic/12335/</v>
      </c>
    </row>
    <row r="317" hidden="1" outlineLevel="1">
      <c r="A317" s="76" t="s">
        <v>769</v>
      </c>
      <c r="B317" s="77">
        <v>29.0</v>
      </c>
      <c r="C317" s="77">
        <v>24.0</v>
      </c>
      <c r="D317" s="64">
        <v>52.118417</v>
      </c>
      <c r="E317" s="64">
        <v>5.386095</v>
      </c>
      <c r="F317" s="78" t="s">
        <v>125</v>
      </c>
      <c r="G317" s="78" t="s">
        <v>126</v>
      </c>
      <c r="H317" s="78" t="s">
        <v>757</v>
      </c>
      <c r="I317" s="79" t="s">
        <v>770</v>
      </c>
      <c r="J317" s="80"/>
      <c r="K317" s="78" t="b">
        <v>1</v>
      </c>
      <c r="L317" s="66" t="str">
        <f t="shared" si="2"/>
        <v/>
      </c>
      <c r="M317" s="81" t="str">
        <f>IFERROR(__xludf.DUMMYFUNCTION("IF(W317=1,IFERROR(IMPORTXML(I317, ""//p[@class='status-date']""), ""Not deployed""),"""")"),"")</f>
        <v/>
      </c>
      <c r="N317" s="82"/>
      <c r="O317" s="66"/>
      <c r="P317" s="66"/>
      <c r="Q317" s="66"/>
      <c r="R317" s="83" t="str">
        <f t="shared" si="25"/>
        <v/>
      </c>
      <c r="S317" s="84" t="str">
        <f t="shared" si="4"/>
        <v/>
      </c>
      <c r="T317" s="85"/>
      <c r="U317" s="82">
        <f t="shared" si="5"/>
        <v>0</v>
      </c>
      <c r="V317" s="66">
        <f t="shared" si="6"/>
        <v>0</v>
      </c>
      <c r="W317" s="81">
        <f t="shared" si="7"/>
        <v>0</v>
      </c>
      <c r="X317" s="82" t="str">
        <f t="shared" si="8"/>
        <v>KillerSnail</v>
      </c>
      <c r="Y317" s="86" t="str">
        <f t="shared" si="9"/>
        <v>https://www.munzee.com/m/KillerSnail/9781/</v>
      </c>
    </row>
    <row r="318" hidden="1" outlineLevel="1">
      <c r="A318" s="76" t="s">
        <v>771</v>
      </c>
      <c r="B318" s="77">
        <v>29.0</v>
      </c>
      <c r="C318" s="77">
        <v>25.0</v>
      </c>
      <c r="D318" s="64">
        <v>52.118417</v>
      </c>
      <c r="E318" s="64">
        <v>5.386329</v>
      </c>
      <c r="F318" s="78" t="s">
        <v>70</v>
      </c>
      <c r="G318" s="78" t="s">
        <v>71</v>
      </c>
      <c r="H318" s="78" t="s">
        <v>772</v>
      </c>
      <c r="I318" s="79" t="s">
        <v>773</v>
      </c>
      <c r="J318" s="80"/>
      <c r="K318" s="78" t="b">
        <v>1</v>
      </c>
      <c r="L318" s="66" t="str">
        <f t="shared" si="2"/>
        <v/>
      </c>
      <c r="M318" s="81" t="str">
        <f>IFERROR(__xludf.DUMMYFUNCTION("IF(W318=1,IFERROR(IMPORTXML(I318, ""//p[@class='status-date']""), ""Not deployed""),"""")"),"")</f>
        <v/>
      </c>
      <c r="N318" s="82"/>
      <c r="O318" s="66"/>
      <c r="P318" s="66"/>
      <c r="Q318" s="66"/>
      <c r="R318" s="83" t="str">
        <f t="shared" si="25"/>
        <v/>
      </c>
      <c r="S318" s="84" t="str">
        <f t="shared" si="4"/>
        <v/>
      </c>
      <c r="T318" s="85"/>
      <c r="U318" s="82">
        <f t="shared" si="5"/>
        <v>0</v>
      </c>
      <c r="V318" s="66">
        <f t="shared" si="6"/>
        <v>0</v>
      </c>
      <c r="W318" s="81">
        <f t="shared" si="7"/>
        <v>0</v>
      </c>
      <c r="X318" s="82" t="str">
        <f t="shared" si="8"/>
        <v>breinie</v>
      </c>
      <c r="Y318" s="86" t="str">
        <f t="shared" si="9"/>
        <v>https://www.munzee.com/m/breinie/443/</v>
      </c>
    </row>
    <row r="319" hidden="1" outlineLevel="1">
      <c r="A319" s="76" t="s">
        <v>774</v>
      </c>
      <c r="B319" s="77">
        <v>29.0</v>
      </c>
      <c r="C319" s="77">
        <v>26.0</v>
      </c>
      <c r="D319" s="64">
        <v>52.118417</v>
      </c>
      <c r="E319" s="64">
        <v>5.386563</v>
      </c>
      <c r="F319" s="78" t="s">
        <v>70</v>
      </c>
      <c r="G319" s="78" t="s">
        <v>71</v>
      </c>
      <c r="H319" s="66" t="str">
        <f>IF(ISTEXT(X319),X319,"")</f>
        <v>Marnic</v>
      </c>
      <c r="I319" s="79" t="s">
        <v>775</v>
      </c>
      <c r="J319" s="88"/>
      <c r="K319" s="78" t="b">
        <v>1</v>
      </c>
      <c r="L319" s="66" t="str">
        <f t="shared" si="2"/>
        <v/>
      </c>
      <c r="M319" s="81" t="str">
        <f>IFERROR(__xludf.DUMMYFUNCTION("IF(W319=1,IFERROR(IMPORTXML(I319, ""//p[@class='status-date']""), ""Not deployed""),"""")"),"")</f>
        <v/>
      </c>
      <c r="N319" s="82"/>
      <c r="O319" s="66"/>
      <c r="P319" s="66"/>
      <c r="Q319" s="66"/>
      <c r="R319" s="83" t="str">
        <f t="shared" si="25"/>
        <v/>
      </c>
      <c r="S319" s="84" t="str">
        <f t="shared" si="4"/>
        <v/>
      </c>
      <c r="T319" s="85"/>
      <c r="U319" s="82">
        <f t="shared" si="5"/>
        <v>0</v>
      </c>
      <c r="V319" s="66">
        <f t="shared" si="6"/>
        <v>0</v>
      </c>
      <c r="W319" s="81">
        <f t="shared" si="7"/>
        <v>0</v>
      </c>
      <c r="X319" s="82" t="str">
        <f t="shared" si="8"/>
        <v>Marnic</v>
      </c>
      <c r="Y319" s="86" t="str">
        <f t="shared" si="9"/>
        <v>https://www.munzee.com/m/Marnic/12341/</v>
      </c>
    </row>
    <row r="320" hidden="1" outlineLevel="1">
      <c r="A320" s="76" t="s">
        <v>776</v>
      </c>
      <c r="B320" s="77">
        <v>29.0</v>
      </c>
      <c r="C320" s="77">
        <v>27.0</v>
      </c>
      <c r="D320" s="64">
        <v>52.118417</v>
      </c>
      <c r="E320" s="64">
        <v>5.386797</v>
      </c>
      <c r="F320" s="78" t="s">
        <v>51</v>
      </c>
      <c r="G320" s="78" t="s">
        <v>52</v>
      </c>
      <c r="H320" s="78" t="s">
        <v>757</v>
      </c>
      <c r="I320" s="79" t="s">
        <v>777</v>
      </c>
      <c r="J320" s="88"/>
      <c r="K320" s="78" t="b">
        <v>1</v>
      </c>
      <c r="L320" s="66" t="str">
        <f t="shared" si="2"/>
        <v/>
      </c>
      <c r="M320" s="81" t="str">
        <f>IFERROR(__xludf.DUMMYFUNCTION("IF(W320=1,IFERROR(IMPORTXML(I320, ""//p[@class='status-date']""), ""Not deployed""),"""")"),"")</f>
        <v/>
      </c>
      <c r="N320" s="82"/>
      <c r="O320" s="66"/>
      <c r="P320" s="66"/>
      <c r="Q320" s="66"/>
      <c r="R320" s="83" t="str">
        <f t="shared" si="25"/>
        <v/>
      </c>
      <c r="S320" s="84" t="str">
        <f t="shared" si="4"/>
        <v/>
      </c>
      <c r="T320" s="85"/>
      <c r="U320" s="82">
        <f t="shared" si="5"/>
        <v>0</v>
      </c>
      <c r="V320" s="66">
        <f t="shared" si="6"/>
        <v>0</v>
      </c>
      <c r="W320" s="81">
        <f t="shared" si="7"/>
        <v>0</v>
      </c>
      <c r="X320" s="82" t="str">
        <f t="shared" si="8"/>
        <v>KillerSnail</v>
      </c>
      <c r="Y320" s="86" t="str">
        <f t="shared" si="9"/>
        <v>https://www.munzee.com/m/KillerSnail/9207/</v>
      </c>
    </row>
    <row r="321" hidden="1" outlineLevel="1">
      <c r="A321" s="76" t="s">
        <v>778</v>
      </c>
      <c r="B321" s="77">
        <v>29.0</v>
      </c>
      <c r="C321" s="77">
        <v>28.0</v>
      </c>
      <c r="D321" s="64">
        <v>52.118417</v>
      </c>
      <c r="E321" s="64">
        <v>5.387031</v>
      </c>
      <c r="F321" s="78" t="s">
        <v>70</v>
      </c>
      <c r="G321" s="78" t="s">
        <v>71</v>
      </c>
      <c r="H321" s="66" t="str">
        <f t="shared" ref="H321:H322" si="27">IF(ISTEXT(X321),X321,"")</f>
        <v>nicmar</v>
      </c>
      <c r="I321" s="79" t="s">
        <v>779</v>
      </c>
      <c r="J321" s="88"/>
      <c r="K321" s="78" t="b">
        <v>1</v>
      </c>
      <c r="L321" s="66" t="str">
        <f t="shared" si="2"/>
        <v/>
      </c>
      <c r="M321" s="81" t="str">
        <f>IFERROR(__xludf.DUMMYFUNCTION("IF(W321=1,IFERROR(IMPORTXML(I321, ""//p[@class='status-date']""), ""Not deployed""),"""")"),"")</f>
        <v/>
      </c>
      <c r="N321" s="82"/>
      <c r="O321" s="66"/>
      <c r="P321" s="66"/>
      <c r="Q321" s="66"/>
      <c r="R321" s="83" t="str">
        <f t="shared" si="25"/>
        <v/>
      </c>
      <c r="S321" s="84" t="str">
        <f t="shared" si="4"/>
        <v/>
      </c>
      <c r="T321" s="85"/>
      <c r="U321" s="82">
        <f t="shared" si="5"/>
        <v>0</v>
      </c>
      <c r="V321" s="66">
        <f t="shared" si="6"/>
        <v>0</v>
      </c>
      <c r="W321" s="81">
        <f t="shared" si="7"/>
        <v>0</v>
      </c>
      <c r="X321" s="82" t="str">
        <f t="shared" si="8"/>
        <v>nicmar</v>
      </c>
      <c r="Y321" s="86" t="str">
        <f t="shared" si="9"/>
        <v>https://www.munzee.com/m/nicmar/10025/</v>
      </c>
    </row>
    <row r="322" hidden="1" outlineLevel="1">
      <c r="A322" s="76" t="s">
        <v>780</v>
      </c>
      <c r="B322" s="77">
        <v>29.0</v>
      </c>
      <c r="C322" s="77">
        <v>29.0</v>
      </c>
      <c r="D322" s="64">
        <v>52.118417</v>
      </c>
      <c r="E322" s="64">
        <v>5.387265</v>
      </c>
      <c r="F322" s="78" t="s">
        <v>51</v>
      </c>
      <c r="G322" s="78" t="s">
        <v>52</v>
      </c>
      <c r="H322" s="66" t="str">
        <f t="shared" si="27"/>
        <v>Marnic</v>
      </c>
      <c r="I322" s="79" t="s">
        <v>781</v>
      </c>
      <c r="J322" s="80"/>
      <c r="K322" s="78" t="b">
        <v>1</v>
      </c>
      <c r="L322" s="66" t="str">
        <f t="shared" si="2"/>
        <v/>
      </c>
      <c r="M322" s="81" t="str">
        <f>IFERROR(__xludf.DUMMYFUNCTION("IF(W322=1,IFERROR(IMPORTXML(I322, ""//p[@class='status-date']""), ""Not deployed""),"""")"),"")</f>
        <v/>
      </c>
      <c r="N322" s="82"/>
      <c r="O322" s="66"/>
      <c r="P322" s="66"/>
      <c r="Q322" s="66"/>
      <c r="R322" s="83" t="str">
        <f t="shared" si="25"/>
        <v/>
      </c>
      <c r="S322" s="84" t="str">
        <f t="shared" si="4"/>
        <v/>
      </c>
      <c r="T322" s="85"/>
      <c r="U322" s="82">
        <f t="shared" si="5"/>
        <v>0</v>
      </c>
      <c r="V322" s="66">
        <f t="shared" si="6"/>
        <v>0</v>
      </c>
      <c r="W322" s="81">
        <f t="shared" si="7"/>
        <v>0</v>
      </c>
      <c r="X322" s="82" t="str">
        <f t="shared" si="8"/>
        <v>Marnic</v>
      </c>
      <c r="Y322" s="86" t="str">
        <f t="shared" si="9"/>
        <v>https://www.munzee.com/m/Marnic/12346/</v>
      </c>
    </row>
    <row r="323" hidden="1" outlineLevel="1">
      <c r="A323" s="76" t="s">
        <v>782</v>
      </c>
      <c r="B323" s="77">
        <v>29.0</v>
      </c>
      <c r="C323" s="77">
        <v>30.0</v>
      </c>
      <c r="D323" s="64">
        <v>52.118417</v>
      </c>
      <c r="E323" s="64">
        <v>5.387499</v>
      </c>
      <c r="F323" s="78" t="s">
        <v>125</v>
      </c>
      <c r="G323" s="78" t="s">
        <v>126</v>
      </c>
      <c r="H323" s="78" t="s">
        <v>757</v>
      </c>
      <c r="I323" s="79" t="s">
        <v>783</v>
      </c>
      <c r="J323" s="80"/>
      <c r="K323" s="78" t="b">
        <v>1</v>
      </c>
      <c r="L323" s="66" t="str">
        <f t="shared" si="2"/>
        <v/>
      </c>
      <c r="M323" s="81" t="str">
        <f>IFERROR(__xludf.DUMMYFUNCTION("IF(W323=1,IFERROR(IMPORTXML(I323, ""//p[@class='status-date']""), ""Not deployed""),"""")"),"")</f>
        <v/>
      </c>
      <c r="N323" s="82"/>
      <c r="O323" s="66"/>
      <c r="P323" s="66"/>
      <c r="Q323" s="66"/>
      <c r="R323" s="83" t="str">
        <f t="shared" si="25"/>
        <v/>
      </c>
      <c r="S323" s="84" t="str">
        <f t="shared" si="4"/>
        <v/>
      </c>
      <c r="T323" s="85"/>
      <c r="U323" s="82">
        <f t="shared" si="5"/>
        <v>0</v>
      </c>
      <c r="V323" s="66">
        <f t="shared" si="6"/>
        <v>0</v>
      </c>
      <c r="W323" s="81">
        <f t="shared" si="7"/>
        <v>0</v>
      </c>
      <c r="X323" s="82" t="str">
        <f t="shared" si="8"/>
        <v>KillerSnail</v>
      </c>
      <c r="Y323" s="86" t="str">
        <f t="shared" si="9"/>
        <v>https://www.munzee.com/m/KillerSnail/9208/</v>
      </c>
    </row>
    <row r="324" hidden="1" outlineLevel="1">
      <c r="A324" s="76" t="s">
        <v>784</v>
      </c>
      <c r="B324" s="77">
        <v>29.0</v>
      </c>
      <c r="C324" s="77">
        <v>31.0</v>
      </c>
      <c r="D324" s="64">
        <v>52.118417</v>
      </c>
      <c r="E324" s="64">
        <v>5.387734</v>
      </c>
      <c r="F324" s="78" t="s">
        <v>125</v>
      </c>
      <c r="G324" s="78" t="s">
        <v>126</v>
      </c>
      <c r="H324" s="66" t="str">
        <f>IF(ISTEXT(X324),X324,"")</f>
        <v>nicmar</v>
      </c>
      <c r="I324" s="79" t="s">
        <v>785</v>
      </c>
      <c r="J324" s="88"/>
      <c r="K324" s="78" t="b">
        <v>1</v>
      </c>
      <c r="L324" s="66" t="str">
        <f t="shared" si="2"/>
        <v/>
      </c>
      <c r="M324" s="81" t="str">
        <f>IFERROR(__xludf.DUMMYFUNCTION("IF(W324=1,IFERROR(IMPORTXML(I324, ""//p[@class='status-date']""), ""Not deployed""),"""")"),"")</f>
        <v/>
      </c>
      <c r="N324" s="82"/>
      <c r="O324" s="66"/>
      <c r="P324" s="66"/>
      <c r="Q324" s="66"/>
      <c r="R324" s="83" t="str">
        <f t="shared" si="25"/>
        <v/>
      </c>
      <c r="S324" s="84" t="str">
        <f t="shared" si="4"/>
        <v/>
      </c>
      <c r="T324" s="85"/>
      <c r="U324" s="82">
        <f t="shared" si="5"/>
        <v>0</v>
      </c>
      <c r="V324" s="66">
        <f t="shared" si="6"/>
        <v>0</v>
      </c>
      <c r="W324" s="81">
        <f t="shared" si="7"/>
        <v>0</v>
      </c>
      <c r="X324" s="82" t="str">
        <f t="shared" si="8"/>
        <v>nicmar</v>
      </c>
      <c r="Y324" s="86" t="str">
        <f t="shared" si="9"/>
        <v>https://www.munzee.com/m/nicmar/10029/</v>
      </c>
    </row>
    <row r="325" hidden="1" outlineLevel="1">
      <c r="A325" s="76" t="s">
        <v>786</v>
      </c>
      <c r="B325" s="77">
        <v>29.0</v>
      </c>
      <c r="C325" s="77">
        <v>32.0</v>
      </c>
      <c r="D325" s="64">
        <v>52.118417</v>
      </c>
      <c r="E325" s="64">
        <v>5.387968</v>
      </c>
      <c r="F325" s="78" t="s">
        <v>70</v>
      </c>
      <c r="G325" s="78" t="s">
        <v>71</v>
      </c>
      <c r="H325" s="78" t="s">
        <v>772</v>
      </c>
      <c r="I325" s="93" t="s">
        <v>787</v>
      </c>
      <c r="J325" s="80"/>
      <c r="K325" s="78" t="b">
        <v>1</v>
      </c>
      <c r="L325" s="66" t="str">
        <f t="shared" si="2"/>
        <v/>
      </c>
      <c r="M325" s="81" t="str">
        <f>IFERROR(__xludf.DUMMYFUNCTION("IF(W325=1,IFERROR(IMPORTXML(I325, ""//p[@class='status-date']""), ""Not deployed""),"""")"),"")</f>
        <v/>
      </c>
      <c r="N325" s="82"/>
      <c r="O325" s="66"/>
      <c r="P325" s="66"/>
      <c r="Q325" s="66"/>
      <c r="R325" s="83" t="str">
        <f t="shared" si="25"/>
        <v/>
      </c>
      <c r="S325" s="84" t="str">
        <f t="shared" si="4"/>
        <v/>
      </c>
      <c r="T325" s="85"/>
      <c r="U325" s="82">
        <f t="shared" si="5"/>
        <v>0</v>
      </c>
      <c r="V325" s="66">
        <f t="shared" si="6"/>
        <v>0</v>
      </c>
      <c r="W325" s="81">
        <f t="shared" si="7"/>
        <v>0</v>
      </c>
      <c r="X325" s="82" t="str">
        <f t="shared" si="8"/>
        <v>breinie</v>
      </c>
      <c r="Y325" s="86" t="str">
        <f t="shared" si="9"/>
        <v>https://www.munzee.com/m/breinie/442/</v>
      </c>
    </row>
    <row r="326" hidden="1" outlineLevel="1">
      <c r="A326" s="76" t="s">
        <v>788</v>
      </c>
      <c r="B326" s="77">
        <v>30.0</v>
      </c>
      <c r="C326" s="77">
        <v>7.0</v>
      </c>
      <c r="D326" s="64">
        <v>52.118273</v>
      </c>
      <c r="E326" s="64">
        <v>5.382116</v>
      </c>
      <c r="F326" s="78" t="s">
        <v>100</v>
      </c>
      <c r="G326" s="78" t="s">
        <v>101</v>
      </c>
      <c r="H326" s="78" t="s">
        <v>789</v>
      </c>
      <c r="I326" s="79" t="s">
        <v>790</v>
      </c>
      <c r="J326" s="80"/>
      <c r="K326" s="78" t="b">
        <v>1</v>
      </c>
      <c r="L326" s="66" t="str">
        <f t="shared" si="2"/>
        <v/>
      </c>
      <c r="M326" s="81" t="str">
        <f>IFERROR(__xludf.DUMMYFUNCTION("IF(W326=1,IFERROR(IMPORTXML(I326, ""//p[@class='status-date']""), ""Not deployed""),"""")"),"")</f>
        <v/>
      </c>
      <c r="N326" s="82"/>
      <c r="O326" s="66"/>
      <c r="P326" s="66"/>
      <c r="Q326" s="66"/>
      <c r="R326" s="83" t="str">
        <f t="shared" si="25"/>
        <v/>
      </c>
      <c r="S326" s="84" t="str">
        <f t="shared" si="4"/>
        <v/>
      </c>
      <c r="T326" s="85"/>
      <c r="U326" s="82">
        <f t="shared" si="5"/>
        <v>0</v>
      </c>
      <c r="V326" s="66">
        <f t="shared" si="6"/>
        <v>0</v>
      </c>
      <c r="W326" s="81">
        <f t="shared" si="7"/>
        <v>0</v>
      </c>
      <c r="X326" s="82" t="str">
        <f t="shared" si="8"/>
        <v>CrissOldNouvelleRoute</v>
      </c>
      <c r="Y326" s="86" t="str">
        <f t="shared" si="9"/>
        <v>https://www.munzee.com/m/CrissOldNouvelleRoute/252/</v>
      </c>
    </row>
    <row r="327" hidden="1" outlineLevel="1">
      <c r="A327" s="76" t="s">
        <v>791</v>
      </c>
      <c r="B327" s="77">
        <v>30.0</v>
      </c>
      <c r="C327" s="77">
        <v>8.0</v>
      </c>
      <c r="D327" s="64">
        <v>52.118273</v>
      </c>
      <c r="E327" s="64">
        <v>5.38235</v>
      </c>
      <c r="F327" s="78" t="s">
        <v>125</v>
      </c>
      <c r="G327" s="78" t="s">
        <v>126</v>
      </c>
      <c r="H327" s="78" t="s">
        <v>665</v>
      </c>
      <c r="I327" s="79" t="s">
        <v>792</v>
      </c>
      <c r="J327" s="80"/>
      <c r="K327" s="78" t="b">
        <v>1</v>
      </c>
      <c r="L327" s="66" t="str">
        <f t="shared" si="2"/>
        <v/>
      </c>
      <c r="M327" s="81" t="str">
        <f>IFERROR(__xludf.DUMMYFUNCTION("IF(W327=1,IFERROR(IMPORTXML(I327, ""//p[@class='status-date']""), ""Not deployed""),"""")"),"")</f>
        <v/>
      </c>
      <c r="N327" s="82"/>
      <c r="O327" s="66"/>
      <c r="P327" s="66"/>
      <c r="Q327" s="66"/>
      <c r="R327" s="83" t="str">
        <f t="shared" si="25"/>
        <v/>
      </c>
      <c r="S327" s="84" t="str">
        <f t="shared" si="4"/>
        <v/>
      </c>
      <c r="T327" s="85"/>
      <c r="U327" s="82">
        <f t="shared" si="5"/>
        <v>0</v>
      </c>
      <c r="V327" s="66">
        <f t="shared" si="6"/>
        <v>0</v>
      </c>
      <c r="W327" s="81">
        <f t="shared" si="7"/>
        <v>0</v>
      </c>
      <c r="X327" s="82" t="str">
        <f t="shared" si="8"/>
        <v>Mon4ikaCriss</v>
      </c>
      <c r="Y327" s="86" t="str">
        <f t="shared" si="9"/>
        <v>https://www.munzee.com/m/Mon4ikaCriss/3538/</v>
      </c>
    </row>
    <row r="328" hidden="1" outlineLevel="1">
      <c r="A328" s="76" t="s">
        <v>793</v>
      </c>
      <c r="B328" s="77">
        <v>30.0</v>
      </c>
      <c r="C328" s="77">
        <v>9.0</v>
      </c>
      <c r="D328" s="64">
        <v>52.118273</v>
      </c>
      <c r="E328" s="64">
        <v>5.382584</v>
      </c>
      <c r="F328" s="78" t="s">
        <v>78</v>
      </c>
      <c r="G328" s="78" t="s">
        <v>79</v>
      </c>
      <c r="H328" s="78" t="s">
        <v>794</v>
      </c>
      <c r="I328" s="102" t="s">
        <v>795</v>
      </c>
      <c r="J328" s="80"/>
      <c r="K328" s="78" t="b">
        <v>1</v>
      </c>
      <c r="L328" s="66" t="str">
        <f t="shared" si="2"/>
        <v/>
      </c>
      <c r="M328" s="81" t="str">
        <f>IFERROR(__xludf.DUMMYFUNCTION("IF(W328=1,IFERROR(IMPORTXML(I328, ""//p[@class='status-date']""), ""Not deployed""),"""")"),"")</f>
        <v/>
      </c>
      <c r="N328" s="82"/>
      <c r="O328" s="66"/>
      <c r="P328" s="66"/>
      <c r="Q328" s="66"/>
      <c r="R328" s="83" t="str">
        <f t="shared" si="25"/>
        <v/>
      </c>
      <c r="S328" s="84" t="str">
        <f t="shared" si="4"/>
        <v/>
      </c>
      <c r="T328" s="85"/>
      <c r="U328" s="82">
        <f t="shared" si="5"/>
        <v>0</v>
      </c>
      <c r="V328" s="66">
        <f t="shared" si="6"/>
        <v>0</v>
      </c>
      <c r="W328" s="81">
        <f t="shared" si="7"/>
        <v>0</v>
      </c>
      <c r="X328" s="82" t="str">
        <f t="shared" si="8"/>
        <v>kaliho</v>
      </c>
      <c r="Y328" s="86" t="str">
        <f t="shared" si="9"/>
        <v>https://www.munzee.com/m/kaliho/1091/</v>
      </c>
    </row>
    <row r="329" hidden="1" outlineLevel="1">
      <c r="A329" s="76" t="s">
        <v>796</v>
      </c>
      <c r="B329" s="77">
        <v>30.0</v>
      </c>
      <c r="C329" s="77">
        <v>10.0</v>
      </c>
      <c r="D329" s="64">
        <v>52.118273</v>
      </c>
      <c r="E329" s="64">
        <v>5.382818</v>
      </c>
      <c r="F329" s="78" t="s">
        <v>70</v>
      </c>
      <c r="G329" s="78" t="s">
        <v>71</v>
      </c>
      <c r="H329" s="66" t="str">
        <f t="shared" ref="H329:H336" si="28">IF(ISTEXT(X329),X329,"")</f>
        <v>granitente</v>
      </c>
      <c r="I329" s="79" t="s">
        <v>797</v>
      </c>
      <c r="J329" s="80"/>
      <c r="K329" s="78" t="b">
        <v>1</v>
      </c>
      <c r="L329" s="66" t="str">
        <f t="shared" si="2"/>
        <v/>
      </c>
      <c r="M329" s="81" t="str">
        <f>IFERROR(__xludf.DUMMYFUNCTION("IF(W329=1,IFERROR(IMPORTXML(I329, ""//p[@class='status-date']""), ""Not deployed""),"""")"),"")</f>
        <v/>
      </c>
      <c r="N329" s="82"/>
      <c r="O329" s="66"/>
      <c r="P329" s="66"/>
      <c r="Q329" s="66"/>
      <c r="R329" s="83" t="str">
        <f t="shared" si="25"/>
        <v/>
      </c>
      <c r="S329" s="84" t="str">
        <f t="shared" si="4"/>
        <v/>
      </c>
      <c r="T329" s="85"/>
      <c r="U329" s="82">
        <f t="shared" si="5"/>
        <v>0</v>
      </c>
      <c r="V329" s="66">
        <f t="shared" si="6"/>
        <v>0</v>
      </c>
      <c r="W329" s="81">
        <f t="shared" si="7"/>
        <v>0</v>
      </c>
      <c r="X329" s="82" t="str">
        <f t="shared" si="8"/>
        <v>granitente</v>
      </c>
      <c r="Y329" s="86" t="str">
        <f t="shared" si="9"/>
        <v>https://www.munzee.com/m/granitente/13004/</v>
      </c>
    </row>
    <row r="330" hidden="1" outlineLevel="1">
      <c r="A330" s="76" t="s">
        <v>798</v>
      </c>
      <c r="B330" s="77">
        <v>30.0</v>
      </c>
      <c r="C330" s="77">
        <v>11.0</v>
      </c>
      <c r="D330" s="64">
        <v>52.118273</v>
      </c>
      <c r="E330" s="64">
        <v>5.383052</v>
      </c>
      <c r="F330" s="78" t="s">
        <v>70</v>
      </c>
      <c r="G330" s="78" t="s">
        <v>71</v>
      </c>
      <c r="H330" s="66" t="str">
        <f t="shared" si="28"/>
        <v>RobS</v>
      </c>
      <c r="I330" s="79" t="s">
        <v>799</v>
      </c>
      <c r="J330" s="80"/>
      <c r="K330" s="78" t="b">
        <v>1</v>
      </c>
      <c r="L330" s="66" t="str">
        <f t="shared" si="2"/>
        <v/>
      </c>
      <c r="M330" s="81" t="str">
        <f>IFERROR(__xludf.DUMMYFUNCTION("IF(W330=1,IFERROR(IMPORTXML(I330, ""//p[@class='status-date']""), ""Not deployed""),"""")"),"")</f>
        <v/>
      </c>
      <c r="N330" s="82"/>
      <c r="O330" s="66"/>
      <c r="P330" s="66"/>
      <c r="Q330" s="66"/>
      <c r="R330" s="83" t="str">
        <f t="shared" si="25"/>
        <v/>
      </c>
      <c r="S330" s="84" t="str">
        <f t="shared" si="4"/>
        <v/>
      </c>
      <c r="T330" s="85"/>
      <c r="U330" s="82">
        <f t="shared" si="5"/>
        <v>0</v>
      </c>
      <c r="V330" s="66">
        <f t="shared" si="6"/>
        <v>0</v>
      </c>
      <c r="W330" s="81">
        <f t="shared" si="7"/>
        <v>0</v>
      </c>
      <c r="X330" s="82" t="str">
        <f t="shared" si="8"/>
        <v>RobS</v>
      </c>
      <c r="Y330" s="86" t="str">
        <f t="shared" si="9"/>
        <v>https://www.munzee.com/m/RobS/4990/</v>
      </c>
    </row>
    <row r="331" hidden="1" outlineLevel="1">
      <c r="A331" s="76" t="s">
        <v>800</v>
      </c>
      <c r="B331" s="77">
        <v>30.0</v>
      </c>
      <c r="C331" s="77">
        <v>12.0</v>
      </c>
      <c r="D331" s="64">
        <v>52.118273</v>
      </c>
      <c r="E331" s="64">
        <v>5.383286</v>
      </c>
      <c r="F331" s="78" t="s">
        <v>70</v>
      </c>
      <c r="G331" s="78" t="s">
        <v>71</v>
      </c>
      <c r="H331" s="66" t="str">
        <f t="shared" si="28"/>
        <v>gerardz</v>
      </c>
      <c r="I331" s="79" t="s">
        <v>801</v>
      </c>
      <c r="J331" s="80"/>
      <c r="K331" s="78" t="b">
        <v>1</v>
      </c>
      <c r="L331" s="66" t="str">
        <f t="shared" si="2"/>
        <v/>
      </c>
      <c r="M331" s="81" t="str">
        <f>IFERROR(__xludf.DUMMYFUNCTION("IF(W331=1,IFERROR(IMPORTXML(I331, ""//p[@class='status-date']""), ""Not deployed""),"""")"),"")</f>
        <v/>
      </c>
      <c r="N331" s="82"/>
      <c r="O331" s="66"/>
      <c r="P331" s="66"/>
      <c r="Q331" s="66"/>
      <c r="R331" s="83" t="str">
        <f t="shared" si="25"/>
        <v/>
      </c>
      <c r="S331" s="84" t="str">
        <f t="shared" si="4"/>
        <v/>
      </c>
      <c r="T331" s="85"/>
      <c r="U331" s="82">
        <f t="shared" si="5"/>
        <v>0</v>
      </c>
      <c r="V331" s="66">
        <f t="shared" si="6"/>
        <v>0</v>
      </c>
      <c r="W331" s="81">
        <f t="shared" si="7"/>
        <v>0</v>
      </c>
      <c r="X331" s="82" t="str">
        <f t="shared" si="8"/>
        <v>gerardz</v>
      </c>
      <c r="Y331" s="86" t="str">
        <f t="shared" si="9"/>
        <v>https://www.munzee.com/m/gerardz/9334/</v>
      </c>
    </row>
    <row r="332" hidden="1" outlineLevel="1">
      <c r="A332" s="76" t="s">
        <v>802</v>
      </c>
      <c r="B332" s="77">
        <v>30.0</v>
      </c>
      <c r="C332" s="77">
        <v>13.0</v>
      </c>
      <c r="D332" s="64">
        <v>52.118273</v>
      </c>
      <c r="E332" s="64">
        <v>5.38352</v>
      </c>
      <c r="F332" s="78" t="s">
        <v>125</v>
      </c>
      <c r="G332" s="78" t="s">
        <v>126</v>
      </c>
      <c r="H332" s="66" t="str">
        <f t="shared" si="28"/>
        <v>Kyrandia</v>
      </c>
      <c r="I332" s="79" t="s">
        <v>803</v>
      </c>
      <c r="J332" s="80"/>
      <c r="K332" s="78" t="b">
        <v>1</v>
      </c>
      <c r="L332" s="66" t="str">
        <f t="shared" si="2"/>
        <v/>
      </c>
      <c r="M332" s="81" t="str">
        <f>IFERROR(__xludf.DUMMYFUNCTION("IF(W332=1,IFERROR(IMPORTXML(I332, ""//p[@class='status-date']""), ""Not deployed""),"""")"),"")</f>
        <v/>
      </c>
      <c r="N332" s="82"/>
      <c r="O332" s="66"/>
      <c r="P332" s="66"/>
      <c r="Q332" s="66"/>
      <c r="R332" s="83" t="str">
        <f t="shared" si="25"/>
        <v/>
      </c>
      <c r="S332" s="84" t="str">
        <f t="shared" si="4"/>
        <v/>
      </c>
      <c r="T332" s="85"/>
      <c r="U332" s="82">
        <f t="shared" si="5"/>
        <v>0</v>
      </c>
      <c r="V332" s="66">
        <f t="shared" si="6"/>
        <v>0</v>
      </c>
      <c r="W332" s="81">
        <f t="shared" si="7"/>
        <v>0</v>
      </c>
      <c r="X332" s="82" t="str">
        <f t="shared" si="8"/>
        <v>Kyrandia</v>
      </c>
      <c r="Y332" s="86" t="str">
        <f t="shared" si="9"/>
        <v>https://www.munzee.com/m/Kyrandia/6029/</v>
      </c>
    </row>
    <row r="333" hidden="1" outlineLevel="1">
      <c r="A333" s="76" t="s">
        <v>804</v>
      </c>
      <c r="B333" s="77">
        <v>30.0</v>
      </c>
      <c r="C333" s="77">
        <v>14.0</v>
      </c>
      <c r="D333" s="64">
        <v>52.118273</v>
      </c>
      <c r="E333" s="64">
        <v>5.383754</v>
      </c>
      <c r="F333" s="78" t="s">
        <v>78</v>
      </c>
      <c r="G333" s="78" t="s">
        <v>79</v>
      </c>
      <c r="H333" s="66" t="str">
        <f t="shared" si="28"/>
        <v>Suomieven</v>
      </c>
      <c r="I333" s="79" t="s">
        <v>805</v>
      </c>
      <c r="J333" s="80"/>
      <c r="K333" s="78" t="b">
        <v>1</v>
      </c>
      <c r="L333" s="66" t="str">
        <f t="shared" si="2"/>
        <v/>
      </c>
      <c r="M333" s="81" t="str">
        <f>IFERROR(__xludf.DUMMYFUNCTION("IF(W333=1,IFERROR(IMPORTXML(I333, ""//p[@class='status-date']""), ""Not deployed""),"""")"),"")</f>
        <v/>
      </c>
      <c r="N333" s="82"/>
      <c r="O333" s="66"/>
      <c r="P333" s="66"/>
      <c r="Q333" s="66"/>
      <c r="R333" s="83" t="str">
        <f t="shared" si="25"/>
        <v/>
      </c>
      <c r="S333" s="84" t="str">
        <f t="shared" si="4"/>
        <v/>
      </c>
      <c r="T333" s="85"/>
      <c r="U333" s="82">
        <f t="shared" si="5"/>
        <v>0</v>
      </c>
      <c r="V333" s="66">
        <f t="shared" si="6"/>
        <v>0</v>
      </c>
      <c r="W333" s="81">
        <f t="shared" si="7"/>
        <v>0</v>
      </c>
      <c r="X333" s="82" t="str">
        <f t="shared" si="8"/>
        <v>Suomieven</v>
      </c>
      <c r="Y333" s="86" t="str">
        <f t="shared" si="9"/>
        <v>https://www.munzee.com/m/Suomieven/12064/</v>
      </c>
    </row>
    <row r="334" hidden="1" outlineLevel="1">
      <c r="A334" s="76" t="s">
        <v>806</v>
      </c>
      <c r="B334" s="77">
        <v>30.0</v>
      </c>
      <c r="C334" s="77">
        <v>15.0</v>
      </c>
      <c r="D334" s="64">
        <v>52.118273</v>
      </c>
      <c r="E334" s="64">
        <v>5.383988</v>
      </c>
      <c r="F334" s="78" t="s">
        <v>78</v>
      </c>
      <c r="G334" s="78" t="s">
        <v>79</v>
      </c>
      <c r="H334" s="66" t="str">
        <f t="shared" si="28"/>
        <v>granitente</v>
      </c>
      <c r="I334" s="103" t="s">
        <v>807</v>
      </c>
      <c r="J334" s="88"/>
      <c r="K334" s="78" t="b">
        <v>1</v>
      </c>
      <c r="L334" s="66" t="str">
        <f t="shared" si="2"/>
        <v/>
      </c>
      <c r="M334" s="81" t="str">
        <f>IFERROR(__xludf.DUMMYFUNCTION("IF(W334=1,IFERROR(IMPORTXML(I334, ""//p[@class='status-date']""), ""Not deployed""),"""")"),"")</f>
        <v/>
      </c>
      <c r="N334" s="82"/>
      <c r="O334" s="66"/>
      <c r="P334" s="66"/>
      <c r="Q334" s="66"/>
      <c r="R334" s="83" t="str">
        <f t="shared" si="25"/>
        <v/>
      </c>
      <c r="S334" s="84" t="str">
        <f t="shared" si="4"/>
        <v/>
      </c>
      <c r="T334" s="85"/>
      <c r="U334" s="82">
        <f t="shared" si="5"/>
        <v>0</v>
      </c>
      <c r="V334" s="66">
        <f t="shared" si="6"/>
        <v>0</v>
      </c>
      <c r="W334" s="81">
        <f t="shared" si="7"/>
        <v>0</v>
      </c>
      <c r="X334" s="82" t="str">
        <f t="shared" si="8"/>
        <v>granitente</v>
      </c>
      <c r="Y334" s="86" t="str">
        <f t="shared" si="9"/>
        <v>https://www.munzee.com/m/granitente/12810/</v>
      </c>
    </row>
    <row r="335" hidden="1" outlineLevel="1">
      <c r="A335" s="76" t="s">
        <v>808</v>
      </c>
      <c r="B335" s="77">
        <v>30.0</v>
      </c>
      <c r="C335" s="77">
        <v>16.0</v>
      </c>
      <c r="D335" s="64">
        <v>52.118273</v>
      </c>
      <c r="E335" s="64">
        <v>5.384222</v>
      </c>
      <c r="F335" s="78" t="s">
        <v>125</v>
      </c>
      <c r="G335" s="78" t="s">
        <v>126</v>
      </c>
      <c r="H335" s="66" t="str">
        <f t="shared" si="28"/>
        <v>RobS</v>
      </c>
      <c r="I335" s="79" t="s">
        <v>809</v>
      </c>
      <c r="J335" s="80"/>
      <c r="K335" s="78" t="b">
        <v>1</v>
      </c>
      <c r="L335" s="66" t="str">
        <f t="shared" si="2"/>
        <v/>
      </c>
      <c r="M335" s="81" t="str">
        <f>IFERROR(__xludf.DUMMYFUNCTION("IF(W335=1,IFERROR(IMPORTXML(I335, ""//p[@class='status-date']""), ""Not deployed""),"""")"),"")</f>
        <v/>
      </c>
      <c r="N335" s="82"/>
      <c r="O335" s="66"/>
      <c r="P335" s="66"/>
      <c r="Q335" s="66"/>
      <c r="R335" s="83" t="str">
        <f t="shared" si="25"/>
        <v/>
      </c>
      <c r="S335" s="84" t="str">
        <f t="shared" si="4"/>
        <v/>
      </c>
      <c r="T335" s="85"/>
      <c r="U335" s="82">
        <f t="shared" si="5"/>
        <v>0</v>
      </c>
      <c r="V335" s="66">
        <f t="shared" si="6"/>
        <v>0</v>
      </c>
      <c r="W335" s="81">
        <f t="shared" si="7"/>
        <v>0</v>
      </c>
      <c r="X335" s="82" t="str">
        <f t="shared" si="8"/>
        <v>RobS</v>
      </c>
      <c r="Y335" s="86" t="str">
        <f t="shared" si="9"/>
        <v>https://www.munzee.com/m/RobS/4995/</v>
      </c>
    </row>
    <row r="336" hidden="1" outlineLevel="1">
      <c r="A336" s="76" t="s">
        <v>810</v>
      </c>
      <c r="B336" s="77">
        <v>30.0</v>
      </c>
      <c r="C336" s="77">
        <v>17.0</v>
      </c>
      <c r="D336" s="64">
        <v>52.118273</v>
      </c>
      <c r="E336" s="64">
        <v>5.384456</v>
      </c>
      <c r="F336" s="78" t="s">
        <v>125</v>
      </c>
      <c r="G336" s="78" t="s">
        <v>126</v>
      </c>
      <c r="H336" s="66" t="str">
        <f t="shared" si="28"/>
        <v>gerardz</v>
      </c>
      <c r="I336" s="79" t="s">
        <v>811</v>
      </c>
      <c r="J336" s="80"/>
      <c r="K336" s="78" t="b">
        <v>1</v>
      </c>
      <c r="L336" s="66" t="str">
        <f t="shared" si="2"/>
        <v/>
      </c>
      <c r="M336" s="81" t="str">
        <f>IFERROR(__xludf.DUMMYFUNCTION("IF(W336=1,IFERROR(IMPORTXML(I336, ""//p[@class='status-date']""), ""Not deployed""),"""")"),"")</f>
        <v/>
      </c>
      <c r="N336" s="82"/>
      <c r="O336" s="66"/>
      <c r="P336" s="66"/>
      <c r="Q336" s="66"/>
      <c r="R336" s="83" t="str">
        <f t="shared" si="25"/>
        <v/>
      </c>
      <c r="S336" s="84" t="str">
        <f t="shared" si="4"/>
        <v/>
      </c>
      <c r="T336" s="85"/>
      <c r="U336" s="82">
        <f t="shared" si="5"/>
        <v>0</v>
      </c>
      <c r="V336" s="66">
        <f t="shared" si="6"/>
        <v>0</v>
      </c>
      <c r="W336" s="81">
        <f t="shared" si="7"/>
        <v>0</v>
      </c>
      <c r="X336" s="82" t="str">
        <f t="shared" si="8"/>
        <v>gerardz</v>
      </c>
      <c r="Y336" s="86" t="str">
        <f t="shared" si="9"/>
        <v>https://www.munzee.com/m/gerardz/9358/</v>
      </c>
    </row>
    <row r="337" hidden="1" outlineLevel="1">
      <c r="A337" s="76" t="s">
        <v>812</v>
      </c>
      <c r="B337" s="77">
        <v>30.0</v>
      </c>
      <c r="C337" s="77">
        <v>18.0</v>
      </c>
      <c r="D337" s="64">
        <v>52.118273</v>
      </c>
      <c r="E337" s="64">
        <v>5.384691</v>
      </c>
      <c r="F337" s="78" t="s">
        <v>100</v>
      </c>
      <c r="G337" s="78" t="s">
        <v>101</v>
      </c>
      <c r="H337" s="78" t="s">
        <v>813</v>
      </c>
      <c r="I337" s="93" t="s">
        <v>814</v>
      </c>
      <c r="J337" s="80"/>
      <c r="K337" s="78" t="b">
        <v>1</v>
      </c>
      <c r="L337" s="66" t="str">
        <f t="shared" si="2"/>
        <v/>
      </c>
      <c r="M337" s="81" t="str">
        <f>IFERROR(__xludf.DUMMYFUNCTION("IF(W337=1,IFERROR(IMPORTXML(I337, ""//p[@class='status-date']""), ""Not deployed""),"""")"),"")</f>
        <v/>
      </c>
      <c r="N337" s="82"/>
      <c r="O337" s="66"/>
      <c r="P337" s="66"/>
      <c r="Q337" s="66"/>
      <c r="R337" s="83" t="str">
        <f t="shared" si="25"/>
        <v/>
      </c>
      <c r="S337" s="84" t="str">
        <f t="shared" si="4"/>
        <v/>
      </c>
      <c r="T337" s="85"/>
      <c r="U337" s="82">
        <f t="shared" si="5"/>
        <v>0</v>
      </c>
      <c r="V337" s="66">
        <f t="shared" si="6"/>
        <v>0</v>
      </c>
      <c r="W337" s="81">
        <f t="shared" si="7"/>
        <v>0</v>
      </c>
      <c r="X337" s="82" t="str">
        <f t="shared" si="8"/>
        <v>Warriors</v>
      </c>
      <c r="Y337" s="86" t="str">
        <f t="shared" si="9"/>
        <v>https://www.munzee.com/m/Warriors/6542/</v>
      </c>
    </row>
    <row r="338" hidden="1" outlineLevel="1">
      <c r="A338" s="76" t="s">
        <v>815</v>
      </c>
      <c r="B338" s="77">
        <v>30.0</v>
      </c>
      <c r="C338" s="77">
        <v>19.0</v>
      </c>
      <c r="D338" s="64">
        <v>52.118273</v>
      </c>
      <c r="E338" s="64">
        <v>5.384925</v>
      </c>
      <c r="F338" s="78" t="s">
        <v>51</v>
      </c>
      <c r="G338" s="78" t="s">
        <v>52</v>
      </c>
      <c r="H338" s="66" t="str">
        <f t="shared" ref="H338:H341" si="29">IF(ISTEXT(X338),X338,"")</f>
        <v>thelanes</v>
      </c>
      <c r="I338" s="79" t="s">
        <v>816</v>
      </c>
      <c r="J338" s="88"/>
      <c r="K338" s="78" t="b">
        <v>1</v>
      </c>
      <c r="L338" s="66" t="str">
        <f t="shared" si="2"/>
        <v/>
      </c>
      <c r="M338" s="81" t="str">
        <f>IFERROR(__xludf.DUMMYFUNCTION("IF(W338=1,IFERROR(IMPORTXML(I338, ""//p[@class='status-date']""), ""Not deployed""),"""")"),"")</f>
        <v/>
      </c>
      <c r="N338" s="82"/>
      <c r="O338" s="66"/>
      <c r="P338" s="66"/>
      <c r="Q338" s="66"/>
      <c r="R338" s="83" t="str">
        <f t="shared" si="25"/>
        <v/>
      </c>
      <c r="S338" s="84" t="str">
        <f t="shared" si="4"/>
        <v/>
      </c>
      <c r="T338" s="85"/>
      <c r="U338" s="82">
        <f t="shared" si="5"/>
        <v>0</v>
      </c>
      <c r="V338" s="66">
        <f t="shared" si="6"/>
        <v>0</v>
      </c>
      <c r="W338" s="81">
        <f t="shared" si="7"/>
        <v>0</v>
      </c>
      <c r="X338" s="82" t="str">
        <f t="shared" si="8"/>
        <v>thelanes</v>
      </c>
      <c r="Y338" s="86" t="str">
        <f t="shared" si="9"/>
        <v>https://www.munzee.com/m/thelanes/23983/</v>
      </c>
    </row>
    <row r="339" hidden="1" outlineLevel="1">
      <c r="A339" s="76" t="s">
        <v>817</v>
      </c>
      <c r="B339" s="77">
        <v>30.0</v>
      </c>
      <c r="C339" s="77">
        <v>20.0</v>
      </c>
      <c r="D339" s="64">
        <v>52.118273</v>
      </c>
      <c r="E339" s="64">
        <v>5.385159</v>
      </c>
      <c r="F339" s="78" t="s">
        <v>78</v>
      </c>
      <c r="G339" s="78" t="s">
        <v>79</v>
      </c>
      <c r="H339" s="66" t="str">
        <f t="shared" si="29"/>
        <v>granitente</v>
      </c>
      <c r="I339" s="79" t="s">
        <v>818</v>
      </c>
      <c r="J339" s="80"/>
      <c r="K339" s="78" t="b">
        <v>1</v>
      </c>
      <c r="L339" s="66" t="str">
        <f t="shared" si="2"/>
        <v/>
      </c>
      <c r="M339" s="81" t="str">
        <f>IFERROR(__xludf.DUMMYFUNCTION("IF(W339=1,IFERROR(IMPORTXML(I339, ""//p[@class='status-date']""), ""Not deployed""),"""")"),"")</f>
        <v/>
      </c>
      <c r="N339" s="82"/>
      <c r="O339" s="66"/>
      <c r="P339" s="66"/>
      <c r="Q339" s="66"/>
      <c r="R339" s="83" t="str">
        <f t="shared" si="25"/>
        <v/>
      </c>
      <c r="S339" s="84" t="str">
        <f t="shared" si="4"/>
        <v/>
      </c>
      <c r="T339" s="85"/>
      <c r="U339" s="82">
        <f t="shared" si="5"/>
        <v>0</v>
      </c>
      <c r="V339" s="66">
        <f t="shared" si="6"/>
        <v>0</v>
      </c>
      <c r="W339" s="81">
        <f t="shared" si="7"/>
        <v>0</v>
      </c>
      <c r="X339" s="82" t="str">
        <f t="shared" si="8"/>
        <v>granitente</v>
      </c>
      <c r="Y339" s="86" t="str">
        <f t="shared" si="9"/>
        <v>https://www.munzee.com/m/granitente/12773/</v>
      </c>
    </row>
    <row r="340" hidden="1" outlineLevel="1">
      <c r="A340" s="76" t="s">
        <v>819</v>
      </c>
      <c r="B340" s="77">
        <v>30.0</v>
      </c>
      <c r="C340" s="77">
        <v>21.0</v>
      </c>
      <c r="D340" s="64">
        <v>52.118273</v>
      </c>
      <c r="E340" s="64">
        <v>5.385393</v>
      </c>
      <c r="F340" s="78" t="s">
        <v>70</v>
      </c>
      <c r="G340" s="78" t="s">
        <v>71</v>
      </c>
      <c r="H340" s="66" t="str">
        <f t="shared" si="29"/>
        <v>gerardz</v>
      </c>
      <c r="I340" s="79" t="s">
        <v>820</v>
      </c>
      <c r="J340" s="80"/>
      <c r="K340" s="78" t="b">
        <v>1</v>
      </c>
      <c r="L340" s="66" t="str">
        <f t="shared" si="2"/>
        <v/>
      </c>
      <c r="M340" s="81" t="str">
        <f>IFERROR(__xludf.DUMMYFUNCTION("IF(W340=1,IFERROR(IMPORTXML(I340, ""//p[@class='status-date']""), ""Not deployed""),"""")"),"")</f>
        <v/>
      </c>
      <c r="N340" s="82"/>
      <c r="O340" s="66"/>
      <c r="P340" s="66"/>
      <c r="Q340" s="66"/>
      <c r="R340" s="83" t="str">
        <f t="shared" si="25"/>
        <v/>
      </c>
      <c r="S340" s="84" t="str">
        <f t="shared" si="4"/>
        <v/>
      </c>
      <c r="T340" s="85"/>
      <c r="U340" s="82">
        <f t="shared" si="5"/>
        <v>0</v>
      </c>
      <c r="V340" s="66">
        <f t="shared" si="6"/>
        <v>0</v>
      </c>
      <c r="W340" s="81">
        <f t="shared" si="7"/>
        <v>0</v>
      </c>
      <c r="X340" s="82" t="str">
        <f t="shared" si="8"/>
        <v>gerardz</v>
      </c>
      <c r="Y340" s="86" t="str">
        <f t="shared" si="9"/>
        <v>https://www.munzee.com/m/gerardz/9485/</v>
      </c>
    </row>
    <row r="341" hidden="1" outlineLevel="1">
      <c r="A341" s="76" t="s">
        <v>821</v>
      </c>
      <c r="B341" s="77">
        <v>30.0</v>
      </c>
      <c r="C341" s="77">
        <v>22.0</v>
      </c>
      <c r="D341" s="64">
        <v>52.118273</v>
      </c>
      <c r="E341" s="64">
        <v>5.385627</v>
      </c>
      <c r="F341" s="78" t="s">
        <v>125</v>
      </c>
      <c r="G341" s="78" t="s">
        <v>126</v>
      </c>
      <c r="H341" s="66" t="str">
        <f t="shared" si="29"/>
        <v>RobS</v>
      </c>
      <c r="I341" s="79" t="s">
        <v>822</v>
      </c>
      <c r="J341" s="80"/>
      <c r="K341" s="78" t="b">
        <v>1</v>
      </c>
      <c r="L341" s="66" t="str">
        <f t="shared" si="2"/>
        <v/>
      </c>
      <c r="M341" s="81" t="str">
        <f>IFERROR(__xludf.DUMMYFUNCTION("IF(W341=1,IFERROR(IMPORTXML(I341, ""//p[@class='status-date']""), ""Not deployed""),"""")"),"")</f>
        <v/>
      </c>
      <c r="N341" s="82"/>
      <c r="O341" s="66"/>
      <c r="P341" s="66"/>
      <c r="Q341" s="66"/>
      <c r="R341" s="83" t="str">
        <f t="shared" si="25"/>
        <v/>
      </c>
      <c r="S341" s="84" t="str">
        <f t="shared" si="4"/>
        <v/>
      </c>
      <c r="T341" s="85"/>
      <c r="U341" s="82">
        <f t="shared" si="5"/>
        <v>0</v>
      </c>
      <c r="V341" s="66">
        <f t="shared" si="6"/>
        <v>0</v>
      </c>
      <c r="W341" s="81">
        <f t="shared" si="7"/>
        <v>0</v>
      </c>
      <c r="X341" s="82" t="str">
        <f t="shared" si="8"/>
        <v>RobS</v>
      </c>
      <c r="Y341" s="86" t="str">
        <f t="shared" si="9"/>
        <v>https://www.munzee.com/m/RobS/4996/</v>
      </c>
    </row>
    <row r="342" hidden="1" outlineLevel="1">
      <c r="A342" s="76" t="s">
        <v>823</v>
      </c>
      <c r="B342" s="77">
        <v>30.0</v>
      </c>
      <c r="C342" s="77">
        <v>23.0</v>
      </c>
      <c r="D342" s="64">
        <v>52.118273</v>
      </c>
      <c r="E342" s="64">
        <v>5.385861</v>
      </c>
      <c r="F342" s="78" t="s">
        <v>78</v>
      </c>
      <c r="G342" s="78" t="s">
        <v>79</v>
      </c>
      <c r="H342" s="78" t="s">
        <v>824</v>
      </c>
      <c r="I342" s="79" t="s">
        <v>825</v>
      </c>
      <c r="J342" s="80"/>
      <c r="K342" s="78" t="b">
        <v>1</v>
      </c>
      <c r="L342" s="66" t="str">
        <f t="shared" si="2"/>
        <v/>
      </c>
      <c r="M342" s="81" t="str">
        <f>IFERROR(__xludf.DUMMYFUNCTION("IF(W342=1,IFERROR(IMPORTXML(I342, ""//p[@class='status-date']""), ""Not deployed""),"""")"),"")</f>
        <v/>
      </c>
      <c r="N342" s="82"/>
      <c r="O342" s="66"/>
      <c r="P342" s="66"/>
      <c r="Q342" s="66"/>
      <c r="R342" s="83" t="str">
        <f t="shared" si="25"/>
        <v/>
      </c>
      <c r="S342" s="84" t="str">
        <f t="shared" si="4"/>
        <v/>
      </c>
      <c r="T342" s="85"/>
      <c r="U342" s="82">
        <f t="shared" si="5"/>
        <v>0</v>
      </c>
      <c r="V342" s="66">
        <f t="shared" si="6"/>
        <v>0</v>
      </c>
      <c r="W342" s="81">
        <f t="shared" si="7"/>
        <v>0</v>
      </c>
      <c r="X342" s="82" t="str">
        <f t="shared" si="8"/>
        <v>nufrat</v>
      </c>
      <c r="Y342" s="86" t="str">
        <f t="shared" si="9"/>
        <v>https://www.munzee.com/m/nufrat/412/</v>
      </c>
    </row>
    <row r="343" hidden="1" outlineLevel="1">
      <c r="A343" s="76" t="s">
        <v>826</v>
      </c>
      <c r="B343" s="77">
        <v>30.0</v>
      </c>
      <c r="C343" s="77">
        <v>24.0</v>
      </c>
      <c r="D343" s="64">
        <v>52.118273</v>
      </c>
      <c r="E343" s="64">
        <v>5.386095</v>
      </c>
      <c r="F343" s="78" t="s">
        <v>125</v>
      </c>
      <c r="G343" s="78" t="s">
        <v>126</v>
      </c>
      <c r="H343" s="78" t="s">
        <v>827</v>
      </c>
      <c r="I343" s="79" t="s">
        <v>828</v>
      </c>
      <c r="J343" s="80"/>
      <c r="K343" s="78" t="b">
        <v>1</v>
      </c>
      <c r="L343" s="66" t="str">
        <f t="shared" si="2"/>
        <v/>
      </c>
      <c r="M343" s="81" t="str">
        <f>IFERROR(__xludf.DUMMYFUNCTION("IF(W343=1,IFERROR(IMPORTXML(I343, ""//p[@class='status-date']""), ""Not deployed""),"""")"),"")</f>
        <v/>
      </c>
      <c r="N343" s="82"/>
      <c r="O343" s="66"/>
      <c r="P343" s="66"/>
      <c r="Q343" s="66"/>
      <c r="R343" s="83" t="str">
        <f t="shared" si="25"/>
        <v/>
      </c>
      <c r="S343" s="84" t="str">
        <f t="shared" si="4"/>
        <v/>
      </c>
      <c r="T343" s="85"/>
      <c r="U343" s="82">
        <f t="shared" si="5"/>
        <v>0</v>
      </c>
      <c r="V343" s="66">
        <f t="shared" si="6"/>
        <v>0</v>
      </c>
      <c r="W343" s="81">
        <f t="shared" si="7"/>
        <v>0</v>
      </c>
      <c r="X343" s="82" t="str">
        <f t="shared" si="8"/>
        <v>YankaBucs</v>
      </c>
      <c r="Y343" s="86" t="str">
        <f t="shared" si="9"/>
        <v>https://www.munzee.com/m/YankaBucs/12501/</v>
      </c>
    </row>
    <row r="344" hidden="1" outlineLevel="1">
      <c r="A344" s="76" t="s">
        <v>829</v>
      </c>
      <c r="B344" s="77">
        <v>30.0</v>
      </c>
      <c r="C344" s="77">
        <v>25.0</v>
      </c>
      <c r="D344" s="64">
        <v>52.118273</v>
      </c>
      <c r="E344" s="64">
        <v>5.386329</v>
      </c>
      <c r="F344" s="78" t="s">
        <v>70</v>
      </c>
      <c r="G344" s="78" t="s">
        <v>71</v>
      </c>
      <c r="H344" s="66" t="str">
        <f t="shared" ref="H344:H346" si="30">IF(ISTEXT(X344),X344,"")</f>
        <v>granitente</v>
      </c>
      <c r="I344" s="79" t="s">
        <v>830</v>
      </c>
      <c r="J344" s="80"/>
      <c r="K344" s="78" t="b">
        <v>1</v>
      </c>
      <c r="L344" s="66" t="str">
        <f t="shared" si="2"/>
        <v/>
      </c>
      <c r="M344" s="81" t="str">
        <f>IFERROR(__xludf.DUMMYFUNCTION("IF(W344=1,IFERROR(IMPORTXML(I344, ""//p[@class='status-date']""), ""Not deployed""),"""")"),"")</f>
        <v/>
      </c>
      <c r="N344" s="82"/>
      <c r="O344" s="66"/>
      <c r="P344" s="66"/>
      <c r="Q344" s="66"/>
      <c r="R344" s="83" t="str">
        <f t="shared" si="25"/>
        <v/>
      </c>
      <c r="S344" s="84" t="str">
        <f t="shared" si="4"/>
        <v/>
      </c>
      <c r="T344" s="85"/>
      <c r="U344" s="82">
        <f t="shared" si="5"/>
        <v>0</v>
      </c>
      <c r="V344" s="66">
        <f t="shared" si="6"/>
        <v>0</v>
      </c>
      <c r="W344" s="81">
        <f t="shared" si="7"/>
        <v>0</v>
      </c>
      <c r="X344" s="82" t="str">
        <f t="shared" si="8"/>
        <v>granitente</v>
      </c>
      <c r="Y344" s="86" t="str">
        <f t="shared" si="9"/>
        <v>https://www.munzee.com/m/granitente/12696/</v>
      </c>
    </row>
    <row r="345" hidden="1" outlineLevel="1">
      <c r="A345" s="76" t="s">
        <v>831</v>
      </c>
      <c r="B345" s="77">
        <v>30.0</v>
      </c>
      <c r="C345" s="77">
        <v>26.0</v>
      </c>
      <c r="D345" s="64">
        <v>52.118273</v>
      </c>
      <c r="E345" s="64">
        <v>5.386563</v>
      </c>
      <c r="F345" s="78" t="s">
        <v>70</v>
      </c>
      <c r="G345" s="78" t="s">
        <v>71</v>
      </c>
      <c r="H345" s="66" t="str">
        <f t="shared" si="30"/>
        <v>RobS</v>
      </c>
      <c r="I345" s="79" t="s">
        <v>832</v>
      </c>
      <c r="J345" s="80"/>
      <c r="K345" s="78" t="b">
        <v>1</v>
      </c>
      <c r="L345" s="66" t="str">
        <f t="shared" si="2"/>
        <v/>
      </c>
      <c r="M345" s="81" t="str">
        <f>IFERROR(__xludf.DUMMYFUNCTION("IF(W345=1,IFERROR(IMPORTXML(I345, ""//p[@class='status-date']""), ""Not deployed""),"""")"),"")</f>
        <v/>
      </c>
      <c r="N345" s="82"/>
      <c r="O345" s="66"/>
      <c r="P345" s="66"/>
      <c r="Q345" s="66"/>
      <c r="R345" s="83" t="str">
        <f t="shared" si="25"/>
        <v/>
      </c>
      <c r="S345" s="84" t="str">
        <f t="shared" si="4"/>
        <v/>
      </c>
      <c r="T345" s="85"/>
      <c r="U345" s="82">
        <f t="shared" si="5"/>
        <v>0</v>
      </c>
      <c r="V345" s="66">
        <f t="shared" si="6"/>
        <v>0</v>
      </c>
      <c r="W345" s="81">
        <f t="shared" si="7"/>
        <v>0</v>
      </c>
      <c r="X345" s="82" t="str">
        <f t="shared" si="8"/>
        <v>RobS</v>
      </c>
      <c r="Y345" s="86" t="str">
        <f t="shared" si="9"/>
        <v>https://www.munzee.com/m/RobS/4998/</v>
      </c>
    </row>
    <row r="346" hidden="1" outlineLevel="1">
      <c r="A346" s="76" t="s">
        <v>833</v>
      </c>
      <c r="B346" s="77">
        <v>30.0</v>
      </c>
      <c r="C346" s="77">
        <v>27.0</v>
      </c>
      <c r="D346" s="64">
        <v>52.118273</v>
      </c>
      <c r="E346" s="64">
        <v>5.386797</v>
      </c>
      <c r="F346" s="78" t="s">
        <v>70</v>
      </c>
      <c r="G346" s="78" t="s">
        <v>71</v>
      </c>
      <c r="H346" s="66" t="str">
        <f t="shared" si="30"/>
        <v>gerardz</v>
      </c>
      <c r="I346" s="94" t="s">
        <v>834</v>
      </c>
      <c r="J346" s="80"/>
      <c r="K346" s="78" t="b">
        <v>1</v>
      </c>
      <c r="L346" s="66" t="str">
        <f t="shared" si="2"/>
        <v/>
      </c>
      <c r="M346" s="81" t="str">
        <f>IFERROR(__xludf.DUMMYFUNCTION("IF(W346=1,IFERROR(IMPORTXML(I346, ""//p[@class='status-date']""), ""Not deployed""),"""")"),"")</f>
        <v/>
      </c>
      <c r="N346" s="82"/>
      <c r="O346" s="66"/>
      <c r="P346" s="66"/>
      <c r="Q346" s="66"/>
      <c r="R346" s="83" t="str">
        <f t="shared" si="25"/>
        <v/>
      </c>
      <c r="S346" s="84" t="str">
        <f t="shared" si="4"/>
        <v/>
      </c>
      <c r="T346" s="85"/>
      <c r="U346" s="82">
        <f t="shared" si="5"/>
        <v>0</v>
      </c>
      <c r="V346" s="66">
        <f t="shared" si="6"/>
        <v>0</v>
      </c>
      <c r="W346" s="81">
        <f t="shared" si="7"/>
        <v>0</v>
      </c>
      <c r="X346" s="82" t="str">
        <f t="shared" si="8"/>
        <v>gerardz</v>
      </c>
      <c r="Y346" s="86" t="str">
        <f t="shared" si="9"/>
        <v>https://www.munzee.com/m/gerardz/9571/</v>
      </c>
    </row>
    <row r="347" hidden="1" outlineLevel="1">
      <c r="A347" s="76" t="s">
        <v>835</v>
      </c>
      <c r="B347" s="77">
        <v>30.0</v>
      </c>
      <c r="C347" s="77">
        <v>28.0</v>
      </c>
      <c r="D347" s="64">
        <v>52.118273</v>
      </c>
      <c r="E347" s="64">
        <v>5.387031</v>
      </c>
      <c r="F347" s="78" t="s">
        <v>125</v>
      </c>
      <c r="G347" s="78" t="s">
        <v>126</v>
      </c>
      <c r="H347" s="78" t="s">
        <v>836</v>
      </c>
      <c r="I347" s="94" t="s">
        <v>837</v>
      </c>
      <c r="J347" s="88"/>
      <c r="K347" s="78" t="b">
        <v>1</v>
      </c>
      <c r="L347" s="66" t="str">
        <f t="shared" si="2"/>
        <v/>
      </c>
      <c r="M347" s="81" t="str">
        <f>IFERROR(__xludf.DUMMYFUNCTION("IF(W347=1,IFERROR(IMPORTXML(I347, ""//p[@class='status-date']""), ""Not deployed""),"""")"),"")</f>
        <v/>
      </c>
      <c r="N347" s="82"/>
      <c r="O347" s="66"/>
      <c r="P347" s="66"/>
      <c r="Q347" s="66"/>
      <c r="R347" s="83" t="str">
        <f t="shared" si="25"/>
        <v/>
      </c>
      <c r="S347" s="84" t="str">
        <f t="shared" si="4"/>
        <v/>
      </c>
      <c r="T347" s="85"/>
      <c r="U347" s="82">
        <f t="shared" si="5"/>
        <v>0</v>
      </c>
      <c r="V347" s="66">
        <f t="shared" si="6"/>
        <v>0</v>
      </c>
      <c r="W347" s="81">
        <f t="shared" si="7"/>
        <v>0</v>
      </c>
      <c r="X347" s="82" t="str">
        <f t="shared" si="8"/>
        <v>Johnsjen</v>
      </c>
      <c r="Y347" s="86" t="str">
        <f t="shared" si="9"/>
        <v>https://www.munzee.com/m/Johnsjen/3971/</v>
      </c>
    </row>
    <row r="348" hidden="1" outlineLevel="1">
      <c r="A348" s="76" t="s">
        <v>838</v>
      </c>
      <c r="B348" s="77">
        <v>30.0</v>
      </c>
      <c r="C348" s="77">
        <v>29.0</v>
      </c>
      <c r="D348" s="64">
        <v>52.118273</v>
      </c>
      <c r="E348" s="64">
        <v>5.387265</v>
      </c>
      <c r="F348" s="78" t="s">
        <v>51</v>
      </c>
      <c r="G348" s="78" t="s">
        <v>52</v>
      </c>
      <c r="H348" s="66" t="str">
        <f t="shared" ref="H348:H351" si="31">IF(ISTEXT(X348),X348,"")</f>
        <v>RobS</v>
      </c>
      <c r="I348" s="79" t="s">
        <v>839</v>
      </c>
      <c r="J348" s="80"/>
      <c r="K348" s="78" t="b">
        <v>1</v>
      </c>
      <c r="L348" s="66" t="str">
        <f t="shared" si="2"/>
        <v/>
      </c>
      <c r="M348" s="81" t="str">
        <f>IFERROR(__xludf.DUMMYFUNCTION("IF(W348=1,IFERROR(IMPORTXML(I348, ""//p[@class='status-date']""), ""Not deployed""),"""")"),"")</f>
        <v/>
      </c>
      <c r="N348" s="82"/>
      <c r="O348" s="66"/>
      <c r="P348" s="66"/>
      <c r="Q348" s="66"/>
      <c r="R348" s="83" t="str">
        <f t="shared" si="25"/>
        <v/>
      </c>
      <c r="S348" s="84" t="str">
        <f t="shared" si="4"/>
        <v/>
      </c>
      <c r="T348" s="85"/>
      <c r="U348" s="82">
        <f t="shared" si="5"/>
        <v>0</v>
      </c>
      <c r="V348" s="66">
        <f t="shared" si="6"/>
        <v>0</v>
      </c>
      <c r="W348" s="81">
        <f t="shared" si="7"/>
        <v>0</v>
      </c>
      <c r="X348" s="82" t="str">
        <f t="shared" si="8"/>
        <v>RobS</v>
      </c>
      <c r="Y348" s="86" t="str">
        <f t="shared" si="9"/>
        <v>https://www.munzee.com/m/RobS/5033/</v>
      </c>
    </row>
    <row r="349" hidden="1" outlineLevel="1">
      <c r="A349" s="76" t="s">
        <v>840</v>
      </c>
      <c r="B349" s="77">
        <v>30.0</v>
      </c>
      <c r="C349" s="77">
        <v>30.0</v>
      </c>
      <c r="D349" s="64">
        <v>52.118273</v>
      </c>
      <c r="E349" s="64">
        <v>5.387499</v>
      </c>
      <c r="F349" s="78" t="s">
        <v>78</v>
      </c>
      <c r="G349" s="78" t="s">
        <v>79</v>
      </c>
      <c r="H349" s="66" t="str">
        <f t="shared" si="31"/>
        <v>granitente</v>
      </c>
      <c r="I349" s="94" t="s">
        <v>841</v>
      </c>
      <c r="J349" s="88"/>
      <c r="K349" s="78" t="b">
        <v>1</v>
      </c>
      <c r="L349" s="66" t="str">
        <f t="shared" si="2"/>
        <v/>
      </c>
      <c r="M349" s="81" t="str">
        <f>IFERROR(__xludf.DUMMYFUNCTION("IF(W349=1,IFERROR(IMPORTXML(I349, ""//p[@class='status-date']""), ""Not deployed""),"""")"),"")</f>
        <v/>
      </c>
      <c r="N349" s="82"/>
      <c r="O349" s="66"/>
      <c r="P349" s="66"/>
      <c r="Q349" s="66"/>
      <c r="R349" s="83" t="str">
        <f t="shared" si="25"/>
        <v/>
      </c>
      <c r="S349" s="84" t="str">
        <f t="shared" si="4"/>
        <v/>
      </c>
      <c r="T349" s="85"/>
      <c r="U349" s="82">
        <f t="shared" si="5"/>
        <v>0</v>
      </c>
      <c r="V349" s="66">
        <f t="shared" si="6"/>
        <v>0</v>
      </c>
      <c r="W349" s="81">
        <f t="shared" si="7"/>
        <v>0</v>
      </c>
      <c r="X349" s="82" t="str">
        <f t="shared" si="8"/>
        <v>granitente</v>
      </c>
      <c r="Y349" s="86" t="str">
        <f t="shared" si="9"/>
        <v>https://www.munzee.com/m/granitente/12695/</v>
      </c>
    </row>
    <row r="350" hidden="1" outlineLevel="1">
      <c r="A350" s="76" t="s">
        <v>842</v>
      </c>
      <c r="B350" s="77">
        <v>30.0</v>
      </c>
      <c r="C350" s="77">
        <v>31.0</v>
      </c>
      <c r="D350" s="64">
        <v>52.118273</v>
      </c>
      <c r="E350" s="64">
        <v>5.387733</v>
      </c>
      <c r="F350" s="78" t="s">
        <v>125</v>
      </c>
      <c r="G350" s="78" t="s">
        <v>126</v>
      </c>
      <c r="H350" s="66" t="str">
        <f t="shared" si="31"/>
        <v>gerardz</v>
      </c>
      <c r="I350" s="79" t="s">
        <v>843</v>
      </c>
      <c r="J350" s="80"/>
      <c r="K350" s="78" t="b">
        <v>1</v>
      </c>
      <c r="L350" s="66" t="str">
        <f t="shared" si="2"/>
        <v/>
      </c>
      <c r="M350" s="81" t="str">
        <f>IFERROR(__xludf.DUMMYFUNCTION("IF(W350=1,IFERROR(IMPORTXML(I350, ""//p[@class='status-date']""), ""Not deployed""),"""")"),"")</f>
        <v/>
      </c>
      <c r="N350" s="82"/>
      <c r="O350" s="66"/>
      <c r="P350" s="66"/>
      <c r="Q350" s="66"/>
      <c r="R350" s="83" t="str">
        <f t="shared" si="25"/>
        <v/>
      </c>
      <c r="S350" s="84" t="str">
        <f t="shared" si="4"/>
        <v/>
      </c>
      <c r="T350" s="85"/>
      <c r="U350" s="82">
        <f t="shared" si="5"/>
        <v>0</v>
      </c>
      <c r="V350" s="66">
        <f t="shared" si="6"/>
        <v>0</v>
      </c>
      <c r="W350" s="81">
        <f t="shared" si="7"/>
        <v>0</v>
      </c>
      <c r="X350" s="82" t="str">
        <f t="shared" si="8"/>
        <v>gerardz</v>
      </c>
      <c r="Y350" s="86" t="str">
        <f t="shared" si="9"/>
        <v>https://www.munzee.com/m/gerardz/9618/</v>
      </c>
    </row>
    <row r="351" hidden="1" outlineLevel="1">
      <c r="A351" s="76" t="s">
        <v>844</v>
      </c>
      <c r="B351" s="77">
        <v>30.0</v>
      </c>
      <c r="C351" s="77">
        <v>32.0</v>
      </c>
      <c r="D351" s="64">
        <v>52.118273</v>
      </c>
      <c r="E351" s="64">
        <v>5.387968</v>
      </c>
      <c r="F351" s="78" t="s">
        <v>51</v>
      </c>
      <c r="G351" s="78" t="s">
        <v>52</v>
      </c>
      <c r="H351" s="66" t="str">
        <f t="shared" si="31"/>
        <v>RobS</v>
      </c>
      <c r="I351" s="79" t="s">
        <v>845</v>
      </c>
      <c r="J351" s="80"/>
      <c r="K351" s="78" t="b">
        <v>1</v>
      </c>
      <c r="L351" s="66" t="str">
        <f t="shared" si="2"/>
        <v/>
      </c>
      <c r="M351" s="81" t="str">
        <f>IFERROR(__xludf.DUMMYFUNCTION("IF(W351=1,IFERROR(IMPORTXML(I351, ""//p[@class='status-date']""), ""Not deployed""),"""")"),"")</f>
        <v/>
      </c>
      <c r="N351" s="82"/>
      <c r="O351" s="66"/>
      <c r="P351" s="66"/>
      <c r="Q351" s="66"/>
      <c r="R351" s="83" t="str">
        <f t="shared" si="25"/>
        <v/>
      </c>
      <c r="S351" s="84" t="str">
        <f t="shared" si="4"/>
        <v/>
      </c>
      <c r="T351" s="85"/>
      <c r="U351" s="82">
        <f t="shared" si="5"/>
        <v>0</v>
      </c>
      <c r="V351" s="66">
        <f t="shared" si="6"/>
        <v>0</v>
      </c>
      <c r="W351" s="81">
        <f t="shared" si="7"/>
        <v>0</v>
      </c>
      <c r="X351" s="82" t="str">
        <f t="shared" si="8"/>
        <v>RobS</v>
      </c>
      <c r="Y351" s="86" t="str">
        <f t="shared" si="9"/>
        <v>https://www.munzee.com/m/RobS/5042/</v>
      </c>
    </row>
    <row r="352" hidden="1" outlineLevel="1">
      <c r="A352" s="76" t="s">
        <v>846</v>
      </c>
      <c r="B352" s="77">
        <v>30.0</v>
      </c>
      <c r="C352" s="77">
        <v>33.0</v>
      </c>
      <c r="D352" s="64">
        <v>52.118273</v>
      </c>
      <c r="E352" s="64">
        <v>5.388202</v>
      </c>
      <c r="F352" s="78" t="s">
        <v>51</v>
      </c>
      <c r="G352" s="78" t="s">
        <v>52</v>
      </c>
      <c r="H352" s="78" t="s">
        <v>847</v>
      </c>
      <c r="I352" s="104" t="s">
        <v>848</v>
      </c>
      <c r="J352" s="88"/>
      <c r="K352" s="78" t="b">
        <v>1</v>
      </c>
      <c r="L352" s="66" t="str">
        <f t="shared" si="2"/>
        <v/>
      </c>
      <c r="M352" s="81" t="str">
        <f>IFERROR(__xludf.DUMMYFUNCTION("IF(W352=1,IFERROR(IMPORTXML(I352, ""//p[@class='status-date']""), ""Not deployed""),"""")"),"")</f>
        <v/>
      </c>
      <c r="N352" s="82"/>
      <c r="O352" s="66"/>
      <c r="P352" s="66"/>
      <c r="Q352" s="66"/>
      <c r="R352" s="83" t="str">
        <f t="shared" si="25"/>
        <v/>
      </c>
      <c r="S352" s="84" t="str">
        <f t="shared" si="4"/>
        <v/>
      </c>
      <c r="T352" s="85"/>
      <c r="U352" s="82">
        <f t="shared" si="5"/>
        <v>0</v>
      </c>
      <c r="V352" s="66">
        <f t="shared" si="6"/>
        <v>0</v>
      </c>
      <c r="W352" s="81">
        <f t="shared" si="7"/>
        <v>0</v>
      </c>
      <c r="X352" s="82" t="str">
        <f t="shared" si="8"/>
        <v>Emput1</v>
      </c>
      <c r="Y352" s="86" t="str">
        <f t="shared" si="9"/>
        <v>https://www.munzee.com/m/Emput1/2424/</v>
      </c>
    </row>
    <row r="353" hidden="1" outlineLevel="1">
      <c r="A353" s="76" t="s">
        <v>849</v>
      </c>
      <c r="B353" s="77">
        <v>31.0</v>
      </c>
      <c r="C353" s="77">
        <v>8.0</v>
      </c>
      <c r="D353" s="64">
        <v>52.118129</v>
      </c>
      <c r="E353" s="64">
        <v>5.38235</v>
      </c>
      <c r="F353" s="78" t="s">
        <v>100</v>
      </c>
      <c r="G353" s="78" t="s">
        <v>101</v>
      </c>
      <c r="H353" s="105" t="s">
        <v>850</v>
      </c>
      <c r="I353" s="79" t="s">
        <v>851</v>
      </c>
      <c r="J353" s="80"/>
      <c r="K353" s="78" t="b">
        <v>1</v>
      </c>
      <c r="L353" s="66" t="str">
        <f t="shared" si="2"/>
        <v/>
      </c>
      <c r="M353" s="81" t="str">
        <f>IFERROR(__xludf.DUMMYFUNCTION("IF(W353=1,IFERROR(IMPORTXML(I353, ""//p[@class='status-date']""), ""Not deployed""),"""")"),"")</f>
        <v/>
      </c>
      <c r="N353" s="82"/>
      <c r="O353" s="66"/>
      <c r="P353" s="66"/>
      <c r="Q353" s="66"/>
      <c r="R353" s="83" t="str">
        <f t="shared" si="25"/>
        <v/>
      </c>
      <c r="S353" s="84" t="str">
        <f t="shared" si="4"/>
        <v/>
      </c>
      <c r="T353" s="85"/>
      <c r="U353" s="82">
        <f t="shared" si="5"/>
        <v>0</v>
      </c>
      <c r="V353" s="66">
        <f t="shared" si="6"/>
        <v>0</v>
      </c>
      <c r="W353" s="81">
        <f t="shared" si="7"/>
        <v>0</v>
      </c>
      <c r="X353" s="82" t="str">
        <f t="shared" si="8"/>
        <v>mding4gold</v>
      </c>
      <c r="Y353" s="86" t="str">
        <f t="shared" si="9"/>
        <v>https://www.munzee.com/m/mding4gold/11365/</v>
      </c>
    </row>
    <row r="354" hidden="1" outlineLevel="1">
      <c r="A354" s="76" t="s">
        <v>852</v>
      </c>
      <c r="B354" s="77">
        <v>31.0</v>
      </c>
      <c r="C354" s="77">
        <v>9.0</v>
      </c>
      <c r="D354" s="64">
        <v>52.118129</v>
      </c>
      <c r="E354" s="64">
        <v>5.382584</v>
      </c>
      <c r="F354" s="78" t="s">
        <v>70</v>
      </c>
      <c r="G354" s="78" t="s">
        <v>71</v>
      </c>
      <c r="H354" s="66" t="str">
        <f>IF(ISTEXT(X354),X354,"")</f>
        <v>raftjen</v>
      </c>
      <c r="I354" s="79" t="s">
        <v>853</v>
      </c>
      <c r="J354" s="80"/>
      <c r="K354" s="78" t="b">
        <v>1</v>
      </c>
      <c r="L354" s="66" t="str">
        <f t="shared" si="2"/>
        <v/>
      </c>
      <c r="M354" s="81" t="str">
        <f>IFERROR(__xludf.DUMMYFUNCTION("IF(W354=1,IFERROR(IMPORTXML(I354, ""//p[@class='status-date']""), ""Not deployed""),"""")"),"")</f>
        <v/>
      </c>
      <c r="N354" s="82"/>
      <c r="O354" s="66"/>
      <c r="P354" s="66"/>
      <c r="Q354" s="66"/>
      <c r="R354" s="83" t="str">
        <f t="shared" si="25"/>
        <v/>
      </c>
      <c r="S354" s="84" t="str">
        <f t="shared" si="4"/>
        <v/>
      </c>
      <c r="T354" s="85"/>
      <c r="U354" s="82">
        <f t="shared" si="5"/>
        <v>0</v>
      </c>
      <c r="V354" s="66">
        <f t="shared" si="6"/>
        <v>0</v>
      </c>
      <c r="W354" s="81">
        <f t="shared" si="7"/>
        <v>0</v>
      </c>
      <c r="X354" s="82" t="str">
        <f t="shared" si="8"/>
        <v>raftjen</v>
      </c>
      <c r="Y354" s="86" t="str">
        <f t="shared" si="9"/>
        <v>https://www.munzee.com/m/raftjen/4265/</v>
      </c>
    </row>
    <row r="355" hidden="1" outlineLevel="1">
      <c r="A355" s="76" t="s">
        <v>854</v>
      </c>
      <c r="B355" s="77">
        <v>31.0</v>
      </c>
      <c r="C355" s="77">
        <v>10.0</v>
      </c>
      <c r="D355" s="64">
        <v>52.118129</v>
      </c>
      <c r="E355" s="64">
        <v>5.382818</v>
      </c>
      <c r="F355" s="78" t="s">
        <v>78</v>
      </c>
      <c r="G355" s="78" t="s">
        <v>79</v>
      </c>
      <c r="H355" s="97" t="s">
        <v>855</v>
      </c>
      <c r="I355" s="79" t="s">
        <v>856</v>
      </c>
      <c r="J355" s="80"/>
      <c r="K355" s="78" t="b">
        <v>1</v>
      </c>
      <c r="L355" s="66" t="str">
        <f t="shared" si="2"/>
        <v/>
      </c>
      <c r="M355" s="81" t="str">
        <f>IFERROR(__xludf.DUMMYFUNCTION("IF(W355=1,IFERROR(IMPORTXML(I355, ""//p[@class='status-date']""), ""Not deployed""),"""")"),"")</f>
        <v/>
      </c>
      <c r="N355" s="82"/>
      <c r="O355" s="66"/>
      <c r="P355" s="66"/>
      <c r="Q355" s="66"/>
      <c r="R355" s="83" t="str">
        <f t="shared" si="25"/>
        <v/>
      </c>
      <c r="S355" s="84" t="str">
        <f t="shared" si="4"/>
        <v/>
      </c>
      <c r="T355" s="85"/>
      <c r="U355" s="82">
        <f t="shared" si="5"/>
        <v>0</v>
      </c>
      <c r="V355" s="66">
        <f t="shared" si="6"/>
        <v>0</v>
      </c>
      <c r="W355" s="81">
        <f t="shared" si="7"/>
        <v>0</v>
      </c>
      <c r="X355" s="82" t="str">
        <f t="shared" si="8"/>
        <v>tissa1020FoxhoundCepheus7</v>
      </c>
      <c r="Y355" s="86" t="str">
        <f t="shared" si="9"/>
        <v>https://www.munzee.com/m/tissa1020FoxhoundCepheus7/7766/</v>
      </c>
    </row>
    <row r="356" hidden="1" outlineLevel="1">
      <c r="A356" s="76" t="s">
        <v>857</v>
      </c>
      <c r="B356" s="77">
        <v>31.0</v>
      </c>
      <c r="C356" s="77">
        <v>11.0</v>
      </c>
      <c r="D356" s="64">
        <v>52.118129</v>
      </c>
      <c r="E356" s="64">
        <v>5.383052</v>
      </c>
      <c r="F356" s="78" t="s">
        <v>51</v>
      </c>
      <c r="G356" s="78" t="s">
        <v>52</v>
      </c>
      <c r="H356" s="78" t="s">
        <v>858</v>
      </c>
      <c r="I356" s="94" t="s">
        <v>859</v>
      </c>
      <c r="J356" s="88"/>
      <c r="K356" s="78" t="b">
        <v>1</v>
      </c>
      <c r="L356" s="66" t="str">
        <f t="shared" si="2"/>
        <v/>
      </c>
      <c r="M356" s="81" t="str">
        <f>IFERROR(__xludf.DUMMYFUNCTION("IF(W356=1,IFERROR(IMPORTXML(I356, ""//p[@class='status-date']""), ""Not deployed""),"""")"),"")</f>
        <v/>
      </c>
      <c r="N356" s="82"/>
      <c r="O356" s="66"/>
      <c r="P356" s="66"/>
      <c r="Q356" s="66"/>
      <c r="R356" s="83" t="str">
        <f t="shared" si="25"/>
        <v/>
      </c>
      <c r="S356" s="84" t="str">
        <f t="shared" si="4"/>
        <v/>
      </c>
      <c r="T356" s="85"/>
      <c r="U356" s="82">
        <f t="shared" si="5"/>
        <v>0</v>
      </c>
      <c r="V356" s="66">
        <f t="shared" si="6"/>
        <v>0</v>
      </c>
      <c r="W356" s="81">
        <f t="shared" si="7"/>
        <v>0</v>
      </c>
      <c r="X356" s="82" t="str">
        <f t="shared" si="8"/>
        <v>aufbau</v>
      </c>
      <c r="Y356" s="86" t="str">
        <f t="shared" si="9"/>
        <v>https://www.munzee.com/m/aufbau/16301/</v>
      </c>
    </row>
    <row r="357" hidden="1" outlineLevel="1">
      <c r="A357" s="76" t="s">
        <v>860</v>
      </c>
      <c r="B357" s="77">
        <v>31.0</v>
      </c>
      <c r="C357" s="77">
        <v>12.0</v>
      </c>
      <c r="D357" s="64">
        <v>52.118129</v>
      </c>
      <c r="E357" s="64">
        <v>5.383286</v>
      </c>
      <c r="F357" s="78" t="s">
        <v>125</v>
      </c>
      <c r="G357" s="78" t="s">
        <v>126</v>
      </c>
      <c r="H357" s="66" t="str">
        <f t="shared" ref="H357:H358" si="32">IF(ISTEXT(X357),X357,"")</f>
        <v>raftjen</v>
      </c>
      <c r="I357" s="102" t="s">
        <v>861</v>
      </c>
      <c r="J357" s="80"/>
      <c r="K357" s="78" t="b">
        <v>1</v>
      </c>
      <c r="L357" s="66" t="str">
        <f t="shared" si="2"/>
        <v/>
      </c>
      <c r="M357" s="81" t="str">
        <f>IFERROR(__xludf.DUMMYFUNCTION("IF(W357=1,IFERROR(IMPORTXML(I357, ""//p[@class='status-date']""), ""Not deployed""),"""")"),"")</f>
        <v/>
      </c>
      <c r="N357" s="82"/>
      <c r="O357" s="66"/>
      <c r="P357" s="66"/>
      <c r="Q357" s="66"/>
      <c r="R357" s="83" t="str">
        <f t="shared" si="25"/>
        <v/>
      </c>
      <c r="S357" s="84" t="str">
        <f t="shared" si="4"/>
        <v/>
      </c>
      <c r="T357" s="85"/>
      <c r="U357" s="82">
        <f t="shared" si="5"/>
        <v>0</v>
      </c>
      <c r="V357" s="66">
        <f t="shared" si="6"/>
        <v>0</v>
      </c>
      <c r="W357" s="81">
        <f t="shared" si="7"/>
        <v>0</v>
      </c>
      <c r="X357" s="82" t="str">
        <f t="shared" si="8"/>
        <v>raftjen</v>
      </c>
      <c r="Y357" s="86" t="str">
        <f t="shared" si="9"/>
        <v>https://www.munzee.com/m/raftjen/4264/</v>
      </c>
    </row>
    <row r="358" hidden="1" outlineLevel="1">
      <c r="A358" s="76" t="s">
        <v>862</v>
      </c>
      <c r="B358" s="77">
        <v>31.0</v>
      </c>
      <c r="C358" s="77">
        <v>13.0</v>
      </c>
      <c r="D358" s="64">
        <v>52.118129</v>
      </c>
      <c r="E358" s="64">
        <v>5.38352</v>
      </c>
      <c r="F358" s="78" t="s">
        <v>70</v>
      </c>
      <c r="G358" s="78" t="s">
        <v>71</v>
      </c>
      <c r="H358" s="66" t="str">
        <f t="shared" si="32"/>
        <v>LonelyWalker</v>
      </c>
      <c r="I358" s="79" t="s">
        <v>863</v>
      </c>
      <c r="J358" s="80"/>
      <c r="K358" s="78" t="b">
        <v>1</v>
      </c>
      <c r="L358" s="66" t="str">
        <f t="shared" si="2"/>
        <v/>
      </c>
      <c r="M358" s="81" t="str">
        <f>IFERROR(__xludf.DUMMYFUNCTION("IF(W358=1,IFERROR(IMPORTXML(I358, ""//p[@class='status-date']""), ""Not deployed""),"""")"),"")</f>
        <v/>
      </c>
      <c r="N358" s="82"/>
      <c r="O358" s="66"/>
      <c r="P358" s="66"/>
      <c r="Q358" s="66"/>
      <c r="R358" s="83" t="str">
        <f t="shared" si="25"/>
        <v/>
      </c>
      <c r="S358" s="84" t="str">
        <f t="shared" si="4"/>
        <v/>
      </c>
      <c r="T358" s="85"/>
      <c r="U358" s="82">
        <f t="shared" si="5"/>
        <v>0</v>
      </c>
      <c r="V358" s="66">
        <f t="shared" si="6"/>
        <v>0</v>
      </c>
      <c r="W358" s="81">
        <f t="shared" si="7"/>
        <v>0</v>
      </c>
      <c r="X358" s="82" t="str">
        <f t="shared" si="8"/>
        <v>LonelyWalker</v>
      </c>
      <c r="Y358" s="86" t="str">
        <f t="shared" si="9"/>
        <v>https://www.munzee.com/m/LonelyWalker/894/</v>
      </c>
    </row>
    <row r="359" hidden="1" outlineLevel="1">
      <c r="A359" s="76" t="s">
        <v>864</v>
      </c>
      <c r="B359" s="77">
        <v>31.0</v>
      </c>
      <c r="C359" s="77">
        <v>14.0</v>
      </c>
      <c r="D359" s="64">
        <v>52.118129</v>
      </c>
      <c r="E359" s="64">
        <v>5.383754</v>
      </c>
      <c r="F359" s="78" t="s">
        <v>51</v>
      </c>
      <c r="G359" s="78" t="s">
        <v>52</v>
      </c>
      <c r="H359" s="78" t="s">
        <v>865</v>
      </c>
      <c r="I359" s="79" t="s">
        <v>866</v>
      </c>
      <c r="J359" s="80"/>
      <c r="K359" s="78" t="b">
        <v>1</v>
      </c>
      <c r="L359" s="66" t="str">
        <f t="shared" si="2"/>
        <v/>
      </c>
      <c r="M359" s="81" t="str">
        <f>IFERROR(__xludf.DUMMYFUNCTION("IF(W359=1,IFERROR(IMPORTXML(I359, ""//p[@class='status-date']""), ""Not deployed""),"""")"),"")</f>
        <v/>
      </c>
      <c r="N359" s="82"/>
      <c r="O359" s="66"/>
      <c r="P359" s="66"/>
      <c r="Q359" s="66"/>
      <c r="R359" s="83" t="str">
        <f t="shared" si="25"/>
        <v/>
      </c>
      <c r="S359" s="84" t="str">
        <f t="shared" si="4"/>
        <v/>
      </c>
      <c r="T359" s="85"/>
      <c r="U359" s="82">
        <f t="shared" si="5"/>
        <v>0</v>
      </c>
      <c r="V359" s="66">
        <f t="shared" si="6"/>
        <v>0</v>
      </c>
      <c r="W359" s="81">
        <f t="shared" si="7"/>
        <v>0</v>
      </c>
      <c r="X359" s="82" t="str">
        <f t="shared" si="8"/>
        <v>rgforsythe</v>
      </c>
      <c r="Y359" s="86" t="str">
        <f t="shared" si="9"/>
        <v>https://www.munzee.com/m/rgforsythe/19440/</v>
      </c>
    </row>
    <row r="360" hidden="1" outlineLevel="1">
      <c r="A360" s="76" t="s">
        <v>867</v>
      </c>
      <c r="B360" s="77">
        <v>31.0</v>
      </c>
      <c r="C360" s="77">
        <v>15.0</v>
      </c>
      <c r="D360" s="64">
        <v>52.118129</v>
      </c>
      <c r="E360" s="64">
        <v>5.383988</v>
      </c>
      <c r="F360" s="78" t="s">
        <v>125</v>
      </c>
      <c r="G360" s="78" t="s">
        <v>126</v>
      </c>
      <c r="H360" s="78" t="s">
        <v>435</v>
      </c>
      <c r="I360" s="79" t="s">
        <v>868</v>
      </c>
      <c r="J360" s="80"/>
      <c r="K360" s="78" t="b">
        <v>1</v>
      </c>
      <c r="L360" s="66" t="str">
        <f t="shared" si="2"/>
        <v/>
      </c>
      <c r="M360" s="81" t="str">
        <f>IFERROR(__xludf.DUMMYFUNCTION("IF(W360=1,IFERROR(IMPORTXML(I360, ""//p[@class='status-date']""), ""Not deployed""),"""")"),"")</f>
        <v/>
      </c>
      <c r="N360" s="82"/>
      <c r="O360" s="66"/>
      <c r="P360" s="66"/>
      <c r="Q360" s="66"/>
      <c r="R360" s="83" t="str">
        <f t="shared" si="25"/>
        <v/>
      </c>
      <c r="S360" s="84" t="str">
        <f t="shared" si="4"/>
        <v/>
      </c>
      <c r="T360" s="85"/>
      <c r="U360" s="82">
        <f t="shared" si="5"/>
        <v>0</v>
      </c>
      <c r="V360" s="66">
        <f t="shared" si="6"/>
        <v>0</v>
      </c>
      <c r="W360" s="81">
        <f t="shared" si="7"/>
        <v>0</v>
      </c>
      <c r="X360" s="82" t="str">
        <f t="shared" si="8"/>
        <v>EmileP68</v>
      </c>
      <c r="Y360" s="86" t="str">
        <f t="shared" si="9"/>
        <v>https://www.munzee.com/m/EmileP68/5406/</v>
      </c>
    </row>
    <row r="361" hidden="1" outlineLevel="1">
      <c r="A361" s="76" t="s">
        <v>869</v>
      </c>
      <c r="B361" s="77">
        <v>31.0</v>
      </c>
      <c r="C361" s="77">
        <v>16.0</v>
      </c>
      <c r="D361" s="64">
        <v>52.118129</v>
      </c>
      <c r="E361" s="64">
        <v>5.384222</v>
      </c>
      <c r="F361" s="78" t="s">
        <v>70</v>
      </c>
      <c r="G361" s="78" t="s">
        <v>71</v>
      </c>
      <c r="H361" s="66" t="str">
        <f>IF(ISTEXT(X361),X361,"")</f>
        <v>LonelyWalker</v>
      </c>
      <c r="I361" s="79" t="s">
        <v>870</v>
      </c>
      <c r="J361" s="80"/>
      <c r="K361" s="78" t="b">
        <v>1</v>
      </c>
      <c r="L361" s="66" t="str">
        <f t="shared" si="2"/>
        <v/>
      </c>
      <c r="M361" s="81" t="str">
        <f>IFERROR(__xludf.DUMMYFUNCTION("IF(W361=1,IFERROR(IMPORTXML(I361, ""//p[@class='status-date']""), ""Not deployed""),"""")"),"")</f>
        <v/>
      </c>
      <c r="N361" s="82"/>
      <c r="O361" s="66"/>
      <c r="P361" s="66"/>
      <c r="Q361" s="66"/>
      <c r="R361" s="83" t="str">
        <f t="shared" si="25"/>
        <v/>
      </c>
      <c r="S361" s="84" t="str">
        <f t="shared" si="4"/>
        <v/>
      </c>
      <c r="T361" s="85"/>
      <c r="U361" s="82">
        <f t="shared" si="5"/>
        <v>0</v>
      </c>
      <c r="V361" s="66">
        <f t="shared" si="6"/>
        <v>0</v>
      </c>
      <c r="W361" s="81">
        <f t="shared" si="7"/>
        <v>0</v>
      </c>
      <c r="X361" s="82" t="str">
        <f t="shared" si="8"/>
        <v>LonelyWalker</v>
      </c>
      <c r="Y361" s="86" t="str">
        <f t="shared" si="9"/>
        <v>https://www.munzee.com/m/LonelyWalker/889/</v>
      </c>
    </row>
    <row r="362" hidden="1" outlineLevel="1">
      <c r="A362" s="76" t="s">
        <v>871</v>
      </c>
      <c r="B362" s="77">
        <v>31.0</v>
      </c>
      <c r="C362" s="77">
        <v>17.0</v>
      </c>
      <c r="D362" s="64">
        <v>52.118129</v>
      </c>
      <c r="E362" s="64">
        <v>5.384456</v>
      </c>
      <c r="F362" s="78" t="s">
        <v>70</v>
      </c>
      <c r="G362" s="78" t="s">
        <v>71</v>
      </c>
      <c r="H362" s="78" t="s">
        <v>443</v>
      </c>
      <c r="I362" s="79" t="s">
        <v>872</v>
      </c>
      <c r="J362" s="80"/>
      <c r="K362" s="78" t="b">
        <v>1</v>
      </c>
      <c r="L362" s="66" t="str">
        <f t="shared" si="2"/>
        <v/>
      </c>
      <c r="M362" s="81" t="str">
        <f>IFERROR(__xludf.DUMMYFUNCTION("IF(W362=1,IFERROR(IMPORTXML(I362, ""//p[@class='status-date']""), ""Not deployed""),"""")"),"")</f>
        <v/>
      </c>
      <c r="N362" s="82"/>
      <c r="O362" s="66"/>
      <c r="P362" s="66"/>
      <c r="Q362" s="66"/>
      <c r="R362" s="83" t="str">
        <f t="shared" si="25"/>
        <v/>
      </c>
      <c r="S362" s="84" t="str">
        <f t="shared" si="4"/>
        <v/>
      </c>
      <c r="T362" s="85"/>
      <c r="U362" s="82">
        <f t="shared" si="5"/>
        <v>0</v>
      </c>
      <c r="V362" s="66">
        <f t="shared" si="6"/>
        <v>0</v>
      </c>
      <c r="W362" s="81">
        <f t="shared" si="7"/>
        <v>0</v>
      </c>
      <c r="X362" s="82" t="str">
        <f t="shared" si="8"/>
        <v>RoversEnd</v>
      </c>
      <c r="Y362" s="86" t="str">
        <f t="shared" si="9"/>
        <v>https://www.munzee.com/m/RoversEnd/4328/</v>
      </c>
    </row>
    <row r="363" hidden="1" outlineLevel="1">
      <c r="A363" s="76" t="s">
        <v>873</v>
      </c>
      <c r="B363" s="77">
        <v>31.0</v>
      </c>
      <c r="C363" s="77">
        <v>18.0</v>
      </c>
      <c r="D363" s="64">
        <v>52.118129</v>
      </c>
      <c r="E363" s="64">
        <v>5.38469</v>
      </c>
      <c r="F363" s="78" t="s">
        <v>125</v>
      </c>
      <c r="G363" s="78" t="s">
        <v>126</v>
      </c>
      <c r="H363" s="78" t="s">
        <v>874</v>
      </c>
      <c r="I363" s="79" t="s">
        <v>875</v>
      </c>
      <c r="J363" s="80"/>
      <c r="K363" s="78" t="b">
        <v>1</v>
      </c>
      <c r="L363" s="66" t="str">
        <f t="shared" si="2"/>
        <v/>
      </c>
      <c r="M363" s="81" t="str">
        <f>IFERROR(__xludf.DUMMYFUNCTION("IF(W363=1,IFERROR(IMPORTXML(I363, ""//p[@class='status-date']""), ""Not deployed""),"""")"),"")</f>
        <v/>
      </c>
      <c r="N363" s="82"/>
      <c r="O363" s="66"/>
      <c r="P363" s="66"/>
      <c r="Q363" s="66"/>
      <c r="R363" s="83" t="str">
        <f t="shared" si="25"/>
        <v/>
      </c>
      <c r="S363" s="84" t="str">
        <f t="shared" si="4"/>
        <v/>
      </c>
      <c r="T363" s="85"/>
      <c r="U363" s="82">
        <f t="shared" si="5"/>
        <v>0</v>
      </c>
      <c r="V363" s="66">
        <f t="shared" si="6"/>
        <v>0</v>
      </c>
      <c r="W363" s="81">
        <f t="shared" si="7"/>
        <v>0</v>
      </c>
      <c r="X363" s="82" t="str">
        <f t="shared" si="8"/>
        <v>Bisquick2</v>
      </c>
      <c r="Y363" s="86" t="str">
        <f t="shared" si="9"/>
        <v>https://www.munzee.com/m/Bisquick2/11509/</v>
      </c>
    </row>
    <row r="364" hidden="1" outlineLevel="1">
      <c r="A364" s="76" t="s">
        <v>876</v>
      </c>
      <c r="B364" s="77">
        <v>31.0</v>
      </c>
      <c r="C364" s="77">
        <v>19.0</v>
      </c>
      <c r="D364" s="64">
        <v>52.118129</v>
      </c>
      <c r="E364" s="64">
        <v>5.384925</v>
      </c>
      <c r="F364" s="78" t="s">
        <v>877</v>
      </c>
      <c r="G364" s="78" t="s">
        <v>878</v>
      </c>
      <c r="H364" s="78" t="s">
        <v>86</v>
      </c>
      <c r="I364" s="79" t="s">
        <v>879</v>
      </c>
      <c r="J364" s="80"/>
      <c r="K364" s="78" t="b">
        <v>1</v>
      </c>
      <c r="L364" s="66" t="str">
        <f t="shared" si="2"/>
        <v/>
      </c>
      <c r="M364" s="81" t="str">
        <f>IFERROR(__xludf.DUMMYFUNCTION("IF(W364=1,IFERROR(IMPORTXML(I364, ""//p[@class='status-date']""), ""Not deployed""),"""")"),"")</f>
        <v/>
      </c>
      <c r="N364" s="82"/>
      <c r="O364" s="66"/>
      <c r="P364" s="66"/>
      <c r="Q364" s="66"/>
      <c r="R364" s="83" t="str">
        <f t="shared" si="25"/>
        <v/>
      </c>
      <c r="S364" s="84" t="str">
        <f t="shared" si="4"/>
        <v/>
      </c>
      <c r="T364" s="85"/>
      <c r="U364" s="82">
        <f t="shared" si="5"/>
        <v>0</v>
      </c>
      <c r="V364" s="66">
        <f t="shared" si="6"/>
        <v>0</v>
      </c>
      <c r="W364" s="81">
        <f t="shared" si="7"/>
        <v>0</v>
      </c>
      <c r="X364" s="82" t="str">
        <f t="shared" si="8"/>
        <v>Alroso</v>
      </c>
      <c r="Y364" s="86" t="str">
        <f t="shared" si="9"/>
        <v>https://www.munzee.com/m/Alroso/2310/</v>
      </c>
    </row>
    <row r="365" hidden="1" outlineLevel="1">
      <c r="A365" s="76" t="s">
        <v>880</v>
      </c>
      <c r="B365" s="77">
        <v>31.0</v>
      </c>
      <c r="C365" s="77">
        <v>20.0</v>
      </c>
      <c r="D365" s="64">
        <v>52.118129</v>
      </c>
      <c r="E365" s="64">
        <v>5.385159</v>
      </c>
      <c r="F365" s="78" t="s">
        <v>125</v>
      </c>
      <c r="G365" s="78" t="s">
        <v>126</v>
      </c>
      <c r="H365" s="66" t="str">
        <f t="shared" ref="H365:H366" si="33">IF(ISTEXT(X365),X365,"")</f>
        <v>anni56</v>
      </c>
      <c r="I365" s="79" t="s">
        <v>881</v>
      </c>
      <c r="J365" s="80"/>
      <c r="K365" s="78" t="b">
        <v>1</v>
      </c>
      <c r="L365" s="66" t="str">
        <f t="shared" si="2"/>
        <v/>
      </c>
      <c r="M365" s="81" t="str">
        <f>IFERROR(__xludf.DUMMYFUNCTION("IF(W365=1,IFERROR(IMPORTXML(I365, ""//p[@class='status-date']""), ""Not deployed""),"""")"),"")</f>
        <v/>
      </c>
      <c r="N365" s="82"/>
      <c r="O365" s="66"/>
      <c r="P365" s="66"/>
      <c r="Q365" s="66"/>
      <c r="R365" s="83" t="str">
        <f t="shared" si="25"/>
        <v/>
      </c>
      <c r="S365" s="84" t="str">
        <f t="shared" si="4"/>
        <v/>
      </c>
      <c r="T365" s="85"/>
      <c r="U365" s="82">
        <f t="shared" si="5"/>
        <v>0</v>
      </c>
      <c r="V365" s="66">
        <f t="shared" si="6"/>
        <v>0</v>
      </c>
      <c r="W365" s="81">
        <f t="shared" si="7"/>
        <v>0</v>
      </c>
      <c r="X365" s="82" t="str">
        <f t="shared" si="8"/>
        <v>anni56</v>
      </c>
      <c r="Y365" s="86" t="str">
        <f t="shared" si="9"/>
        <v>https://www.munzee.com/m/anni56/20947/</v>
      </c>
    </row>
    <row r="366" hidden="1" outlineLevel="1">
      <c r="A366" s="76" t="s">
        <v>882</v>
      </c>
      <c r="B366" s="77">
        <v>31.0</v>
      </c>
      <c r="C366" s="77">
        <v>21.0</v>
      </c>
      <c r="D366" s="64">
        <v>52.118129</v>
      </c>
      <c r="E366" s="64">
        <v>5.385393</v>
      </c>
      <c r="F366" s="78" t="s">
        <v>78</v>
      </c>
      <c r="G366" s="78" t="s">
        <v>79</v>
      </c>
      <c r="H366" s="66" t="str">
        <f t="shared" si="33"/>
        <v>Liekensboys</v>
      </c>
      <c r="I366" s="79" t="s">
        <v>883</v>
      </c>
      <c r="J366" s="80"/>
      <c r="K366" s="78" t="b">
        <v>1</v>
      </c>
      <c r="L366" s="66" t="str">
        <f t="shared" si="2"/>
        <v/>
      </c>
      <c r="M366" s="81" t="str">
        <f>IFERROR(__xludf.DUMMYFUNCTION("IF(W366=1,IFERROR(IMPORTXML(I366, ""//p[@class='status-date']""), ""Not deployed""),"""")"),"")</f>
        <v/>
      </c>
      <c r="N366" s="82"/>
      <c r="O366" s="66"/>
      <c r="P366" s="66"/>
      <c r="Q366" s="66"/>
      <c r="R366" s="83" t="str">
        <f t="shared" si="25"/>
        <v/>
      </c>
      <c r="S366" s="84" t="str">
        <f t="shared" si="4"/>
        <v/>
      </c>
      <c r="T366" s="85"/>
      <c r="U366" s="82">
        <f t="shared" si="5"/>
        <v>0</v>
      </c>
      <c r="V366" s="66">
        <f t="shared" si="6"/>
        <v>0</v>
      </c>
      <c r="W366" s="81">
        <f t="shared" si="7"/>
        <v>0</v>
      </c>
      <c r="X366" s="82" t="str">
        <f t="shared" si="8"/>
        <v>Liekensboys</v>
      </c>
      <c r="Y366" s="86" t="str">
        <f t="shared" si="9"/>
        <v>https://www.munzee.com/m/Liekensboys/397/</v>
      </c>
    </row>
    <row r="367" hidden="1" outlineLevel="1">
      <c r="A367" s="76" t="s">
        <v>884</v>
      </c>
      <c r="B367" s="77">
        <v>31.0</v>
      </c>
      <c r="C367" s="77">
        <v>22.0</v>
      </c>
      <c r="D367" s="64">
        <v>52.118129</v>
      </c>
      <c r="E367" s="64">
        <v>5.385627</v>
      </c>
      <c r="F367" s="78" t="s">
        <v>125</v>
      </c>
      <c r="G367" s="78" t="s">
        <v>126</v>
      </c>
      <c r="H367" s="78" t="s">
        <v>885</v>
      </c>
      <c r="I367" s="94" t="s">
        <v>886</v>
      </c>
      <c r="J367" s="80"/>
      <c r="K367" s="78" t="b">
        <v>1</v>
      </c>
      <c r="L367" s="66" t="str">
        <f t="shared" si="2"/>
        <v/>
      </c>
      <c r="M367" s="81" t="str">
        <f>IFERROR(__xludf.DUMMYFUNCTION("IF(W367=1,IFERROR(IMPORTXML(I367, ""//p[@class='status-date']""), ""Not deployed""),"""")"),"")</f>
        <v/>
      </c>
      <c r="N367" s="82"/>
      <c r="O367" s="66"/>
      <c r="P367" s="66"/>
      <c r="Q367" s="66"/>
      <c r="R367" s="83" t="str">
        <f t="shared" si="25"/>
        <v/>
      </c>
      <c r="S367" s="84" t="str">
        <f t="shared" si="4"/>
        <v/>
      </c>
      <c r="T367" s="85"/>
      <c r="U367" s="82">
        <f t="shared" si="5"/>
        <v>0</v>
      </c>
      <c r="V367" s="66">
        <f t="shared" si="6"/>
        <v>0</v>
      </c>
      <c r="W367" s="81">
        <f t="shared" si="7"/>
        <v>0</v>
      </c>
      <c r="X367" s="82" t="str">
        <f t="shared" si="8"/>
        <v>dQuest</v>
      </c>
      <c r="Y367" s="86" t="str">
        <f t="shared" si="9"/>
        <v>https://www.munzee.com/m/dQuest/8604/</v>
      </c>
    </row>
    <row r="368" hidden="1" outlineLevel="1">
      <c r="A368" s="76" t="s">
        <v>887</v>
      </c>
      <c r="B368" s="77">
        <v>31.0</v>
      </c>
      <c r="C368" s="77">
        <v>23.0</v>
      </c>
      <c r="D368" s="64">
        <v>52.118129</v>
      </c>
      <c r="E368" s="64">
        <v>5.385861</v>
      </c>
      <c r="F368" s="78" t="s">
        <v>78</v>
      </c>
      <c r="G368" s="78" t="s">
        <v>79</v>
      </c>
      <c r="H368" s="66" t="str">
        <f>IF(ISTEXT(X368),X368,"")</f>
        <v>anni56</v>
      </c>
      <c r="I368" s="79" t="s">
        <v>888</v>
      </c>
      <c r="J368" s="80"/>
      <c r="K368" s="78" t="b">
        <v>1</v>
      </c>
      <c r="L368" s="66" t="str">
        <f t="shared" si="2"/>
        <v/>
      </c>
      <c r="M368" s="81" t="str">
        <f>IFERROR(__xludf.DUMMYFUNCTION("IF(W368=1,IFERROR(IMPORTXML(I368, ""//p[@class='status-date']""), ""Not deployed""),"""")"),"")</f>
        <v/>
      </c>
      <c r="N368" s="82"/>
      <c r="O368" s="66"/>
      <c r="P368" s="66"/>
      <c r="Q368" s="66"/>
      <c r="R368" s="83" t="str">
        <f t="shared" si="25"/>
        <v/>
      </c>
      <c r="S368" s="84" t="str">
        <f t="shared" si="4"/>
        <v/>
      </c>
      <c r="T368" s="85"/>
      <c r="U368" s="82">
        <f t="shared" si="5"/>
        <v>0</v>
      </c>
      <c r="V368" s="66">
        <f t="shared" si="6"/>
        <v>0</v>
      </c>
      <c r="W368" s="81">
        <f t="shared" si="7"/>
        <v>0</v>
      </c>
      <c r="X368" s="82" t="str">
        <f t="shared" si="8"/>
        <v>anni56</v>
      </c>
      <c r="Y368" s="86" t="str">
        <f t="shared" si="9"/>
        <v>https://www.munzee.com/m/anni56/20946/</v>
      </c>
    </row>
    <row r="369" hidden="1" outlineLevel="1">
      <c r="A369" s="76" t="s">
        <v>889</v>
      </c>
      <c r="B369" s="77">
        <v>31.0</v>
      </c>
      <c r="C369" s="77">
        <v>24.0</v>
      </c>
      <c r="D369" s="64">
        <v>52.118129</v>
      </c>
      <c r="E369" s="64">
        <v>5.386095</v>
      </c>
      <c r="F369" s="78" t="s">
        <v>51</v>
      </c>
      <c r="G369" s="78" t="s">
        <v>52</v>
      </c>
      <c r="H369" s="78" t="s">
        <v>890</v>
      </c>
      <c r="I369" s="79" t="s">
        <v>891</v>
      </c>
      <c r="J369" s="80"/>
      <c r="K369" s="78" t="b">
        <v>1</v>
      </c>
      <c r="L369" s="66" t="str">
        <f t="shared" si="2"/>
        <v/>
      </c>
      <c r="M369" s="81" t="str">
        <f>IFERROR(__xludf.DUMMYFUNCTION("IF(W369=1,IFERROR(IMPORTXML(I369, ""//p[@class='status-date']""), ""Not deployed""),"""")"),"")</f>
        <v/>
      </c>
      <c r="N369" s="82"/>
      <c r="O369" s="66"/>
      <c r="P369" s="66"/>
      <c r="Q369" s="66"/>
      <c r="R369" s="83" t="str">
        <f t="shared" si="25"/>
        <v/>
      </c>
      <c r="S369" s="84" t="str">
        <f t="shared" si="4"/>
        <v/>
      </c>
      <c r="T369" s="85"/>
      <c r="U369" s="82">
        <f t="shared" si="5"/>
        <v>0</v>
      </c>
      <c r="V369" s="66">
        <f t="shared" si="6"/>
        <v>0</v>
      </c>
      <c r="W369" s="81">
        <f t="shared" si="7"/>
        <v>0</v>
      </c>
      <c r="X369" s="82" t="str">
        <f t="shared" si="8"/>
        <v>BrotherWilliam</v>
      </c>
      <c r="Y369" s="86" t="str">
        <f t="shared" si="9"/>
        <v>https://www.munzee.com/m/BrotherWilliam/6132/</v>
      </c>
    </row>
    <row r="370" hidden="1" outlineLevel="1">
      <c r="A370" s="76" t="s">
        <v>892</v>
      </c>
      <c r="B370" s="77">
        <v>31.0</v>
      </c>
      <c r="C370" s="77">
        <v>25.0</v>
      </c>
      <c r="D370" s="64">
        <v>52.118129</v>
      </c>
      <c r="E370" s="64">
        <v>5.386329</v>
      </c>
      <c r="F370" s="78" t="s">
        <v>70</v>
      </c>
      <c r="G370" s="78" t="s">
        <v>71</v>
      </c>
      <c r="H370" s="78" t="s">
        <v>893</v>
      </c>
      <c r="I370" s="79" t="s">
        <v>894</v>
      </c>
      <c r="J370" s="80"/>
      <c r="K370" s="78" t="b">
        <v>1</v>
      </c>
      <c r="L370" s="66" t="str">
        <f t="shared" si="2"/>
        <v/>
      </c>
      <c r="M370" s="81" t="str">
        <f>IFERROR(__xludf.DUMMYFUNCTION("IF(W370=1,IFERROR(IMPORTXML(I370, ""//p[@class='status-date']""), ""Not deployed""),"""")"),"")</f>
        <v/>
      </c>
      <c r="N370" s="82"/>
      <c r="O370" s="66"/>
      <c r="P370" s="66"/>
      <c r="Q370" s="66"/>
      <c r="R370" s="83" t="str">
        <f t="shared" si="25"/>
        <v/>
      </c>
      <c r="S370" s="84" t="str">
        <f t="shared" si="4"/>
        <v/>
      </c>
      <c r="T370" s="85"/>
      <c r="U370" s="82">
        <f t="shared" si="5"/>
        <v>0</v>
      </c>
      <c r="V370" s="66">
        <f t="shared" si="6"/>
        <v>0</v>
      </c>
      <c r="W370" s="81">
        <f t="shared" si="7"/>
        <v>0</v>
      </c>
      <c r="X370" s="82" t="str">
        <f t="shared" si="8"/>
        <v>ArtofEco</v>
      </c>
      <c r="Y370" s="86" t="str">
        <f t="shared" si="9"/>
        <v>https://www.munzee.com/m/ArtofEco/3850/</v>
      </c>
    </row>
    <row r="371" hidden="1" outlineLevel="1">
      <c r="A371" s="76" t="s">
        <v>895</v>
      </c>
      <c r="B371" s="77">
        <v>31.0</v>
      </c>
      <c r="C371" s="77">
        <v>26.0</v>
      </c>
      <c r="D371" s="64">
        <v>52.118129</v>
      </c>
      <c r="E371" s="64">
        <v>5.386563</v>
      </c>
      <c r="F371" s="78" t="s">
        <v>125</v>
      </c>
      <c r="G371" s="78" t="s">
        <v>126</v>
      </c>
      <c r="H371" s="78" t="s">
        <v>896</v>
      </c>
      <c r="I371" s="79" t="s">
        <v>897</v>
      </c>
      <c r="J371" s="80"/>
      <c r="K371" s="78" t="b">
        <v>1</v>
      </c>
      <c r="L371" s="66" t="str">
        <f t="shared" si="2"/>
        <v/>
      </c>
      <c r="M371" s="81" t="str">
        <f>IFERROR(__xludf.DUMMYFUNCTION("IF(W371=1,IFERROR(IMPORTXML(I371, ""//p[@class='status-date']""), ""Not deployed""),"""")"),"")</f>
        <v/>
      </c>
      <c r="N371" s="82"/>
      <c r="O371" s="66"/>
      <c r="P371" s="66"/>
      <c r="Q371" s="66"/>
      <c r="R371" s="83" t="str">
        <f t="shared" si="25"/>
        <v/>
      </c>
      <c r="S371" s="84" t="str">
        <f t="shared" si="4"/>
        <v/>
      </c>
      <c r="T371" s="85"/>
      <c r="U371" s="82">
        <f t="shared" si="5"/>
        <v>0</v>
      </c>
      <c r="V371" s="66">
        <f t="shared" si="6"/>
        <v>0</v>
      </c>
      <c r="W371" s="81">
        <f t="shared" si="7"/>
        <v>0</v>
      </c>
      <c r="X371" s="82" t="str">
        <f t="shared" si="8"/>
        <v>GroteSufferd</v>
      </c>
      <c r="Y371" s="86" t="str">
        <f t="shared" si="9"/>
        <v>https://www.munzee.com/m/GroteSufferd/767/</v>
      </c>
    </row>
    <row r="372" hidden="1" outlineLevel="1">
      <c r="A372" s="76" t="s">
        <v>898</v>
      </c>
      <c r="B372" s="77">
        <v>31.0</v>
      </c>
      <c r="C372" s="77">
        <v>27.0</v>
      </c>
      <c r="D372" s="64">
        <v>52.118129</v>
      </c>
      <c r="E372" s="64">
        <v>5.386797</v>
      </c>
      <c r="F372" s="78" t="s">
        <v>51</v>
      </c>
      <c r="G372" s="78" t="s">
        <v>52</v>
      </c>
      <c r="H372" s="78" t="s">
        <v>890</v>
      </c>
      <c r="I372" s="79" t="s">
        <v>899</v>
      </c>
      <c r="J372" s="80"/>
      <c r="K372" s="78" t="b">
        <v>1</v>
      </c>
      <c r="L372" s="66" t="str">
        <f t="shared" si="2"/>
        <v/>
      </c>
      <c r="M372" s="81" t="str">
        <f>IFERROR(__xludf.DUMMYFUNCTION("IF(W372=1,IFERROR(IMPORTXML(I372, ""//p[@class='status-date']""), ""Not deployed""),"""")"),"")</f>
        <v/>
      </c>
      <c r="N372" s="82"/>
      <c r="O372" s="66"/>
      <c r="P372" s="66"/>
      <c r="Q372" s="66"/>
      <c r="R372" s="83" t="str">
        <f t="shared" si="25"/>
        <v/>
      </c>
      <c r="S372" s="84" t="str">
        <f t="shared" si="4"/>
        <v/>
      </c>
      <c r="T372" s="85"/>
      <c r="U372" s="82">
        <f t="shared" si="5"/>
        <v>0</v>
      </c>
      <c r="V372" s="66">
        <f t="shared" si="6"/>
        <v>0</v>
      </c>
      <c r="W372" s="81">
        <f t="shared" si="7"/>
        <v>0</v>
      </c>
      <c r="X372" s="82" t="str">
        <f t="shared" si="8"/>
        <v>BrotherWilliam</v>
      </c>
      <c r="Y372" s="86" t="str">
        <f t="shared" si="9"/>
        <v>https://www.munzee.com/m/BrotherWilliam/6133/</v>
      </c>
    </row>
    <row r="373" hidden="1" outlineLevel="1">
      <c r="A373" s="76" t="s">
        <v>900</v>
      </c>
      <c r="B373" s="77">
        <v>31.0</v>
      </c>
      <c r="C373" s="77">
        <v>28.0</v>
      </c>
      <c r="D373" s="64">
        <v>52.118129</v>
      </c>
      <c r="E373" s="64">
        <v>5.387031</v>
      </c>
      <c r="F373" s="78" t="s">
        <v>100</v>
      </c>
      <c r="G373" s="78" t="s">
        <v>101</v>
      </c>
      <c r="H373" s="78" t="s">
        <v>893</v>
      </c>
      <c r="I373" s="79" t="s">
        <v>901</v>
      </c>
      <c r="J373" s="80"/>
      <c r="K373" s="78" t="b">
        <v>1</v>
      </c>
      <c r="L373" s="66" t="str">
        <f t="shared" si="2"/>
        <v/>
      </c>
      <c r="M373" s="81" t="str">
        <f>IFERROR(__xludf.DUMMYFUNCTION("IF(W373=1,IFERROR(IMPORTXML(I373, ""//p[@class='status-date']""), ""Not deployed""),"""")"),"")</f>
        <v/>
      </c>
      <c r="N373" s="82"/>
      <c r="O373" s="66"/>
      <c r="P373" s="66"/>
      <c r="Q373" s="66"/>
      <c r="R373" s="83" t="str">
        <f t="shared" si="25"/>
        <v/>
      </c>
      <c r="S373" s="84" t="str">
        <f t="shared" si="4"/>
        <v/>
      </c>
      <c r="T373" s="85"/>
      <c r="U373" s="82">
        <f t="shared" si="5"/>
        <v>0</v>
      </c>
      <c r="V373" s="66">
        <f t="shared" si="6"/>
        <v>0</v>
      </c>
      <c r="W373" s="81">
        <f t="shared" si="7"/>
        <v>0</v>
      </c>
      <c r="X373" s="82" t="str">
        <f t="shared" si="8"/>
        <v>ArtofEco</v>
      </c>
      <c r="Y373" s="86" t="str">
        <f t="shared" si="9"/>
        <v>https://www.munzee.com/m/ArtofEco/3851/</v>
      </c>
    </row>
    <row r="374" hidden="1" outlineLevel="1">
      <c r="A374" s="76" t="s">
        <v>902</v>
      </c>
      <c r="B374" s="77">
        <v>31.0</v>
      </c>
      <c r="C374" s="77">
        <v>29.0</v>
      </c>
      <c r="D374" s="64">
        <v>52.118129</v>
      </c>
      <c r="E374" s="64">
        <v>5.387265</v>
      </c>
      <c r="F374" s="78" t="s">
        <v>51</v>
      </c>
      <c r="G374" s="78" t="s">
        <v>52</v>
      </c>
      <c r="H374" s="78" t="s">
        <v>896</v>
      </c>
      <c r="I374" s="79" t="s">
        <v>903</v>
      </c>
      <c r="J374" s="80"/>
      <c r="K374" s="78" t="b">
        <v>1</v>
      </c>
      <c r="L374" s="66" t="str">
        <f t="shared" si="2"/>
        <v/>
      </c>
      <c r="M374" s="81" t="str">
        <f>IFERROR(__xludf.DUMMYFUNCTION("IF(W374=1,IFERROR(IMPORTXML(I374, ""//p[@class='status-date']""), ""Not deployed""),"""")"),"")</f>
        <v/>
      </c>
      <c r="N374" s="82"/>
      <c r="O374" s="66"/>
      <c r="P374" s="66"/>
      <c r="Q374" s="66"/>
      <c r="R374" s="83" t="str">
        <f t="shared" si="25"/>
        <v/>
      </c>
      <c r="S374" s="84" t="str">
        <f t="shared" si="4"/>
        <v/>
      </c>
      <c r="T374" s="85"/>
      <c r="U374" s="82">
        <f t="shared" si="5"/>
        <v>0</v>
      </c>
      <c r="V374" s="66">
        <f t="shared" si="6"/>
        <v>0</v>
      </c>
      <c r="W374" s="81">
        <f t="shared" si="7"/>
        <v>0</v>
      </c>
      <c r="X374" s="82" t="str">
        <f t="shared" si="8"/>
        <v>GroteSufferd</v>
      </c>
      <c r="Y374" s="86" t="str">
        <f t="shared" si="9"/>
        <v>https://www.munzee.com/m/GroteSufferd/768/</v>
      </c>
    </row>
    <row r="375" hidden="1" outlineLevel="1">
      <c r="A375" s="76" t="s">
        <v>904</v>
      </c>
      <c r="B375" s="77">
        <v>31.0</v>
      </c>
      <c r="C375" s="77">
        <v>30.0</v>
      </c>
      <c r="D375" s="64">
        <v>52.118129</v>
      </c>
      <c r="E375" s="64">
        <v>5.387499</v>
      </c>
      <c r="F375" s="78" t="s">
        <v>51</v>
      </c>
      <c r="G375" s="78" t="s">
        <v>52</v>
      </c>
      <c r="H375" s="78" t="s">
        <v>890</v>
      </c>
      <c r="I375" s="79" t="s">
        <v>905</v>
      </c>
      <c r="J375" s="80"/>
      <c r="K375" s="78" t="b">
        <v>1</v>
      </c>
      <c r="L375" s="66" t="str">
        <f t="shared" si="2"/>
        <v/>
      </c>
      <c r="M375" s="81" t="str">
        <f>IFERROR(__xludf.DUMMYFUNCTION("IF(W375=1,IFERROR(IMPORTXML(I375, ""//p[@class='status-date']""), ""Not deployed""),"""")"),"")</f>
        <v/>
      </c>
      <c r="N375" s="82"/>
      <c r="O375" s="66"/>
      <c r="P375" s="66"/>
      <c r="Q375" s="66"/>
      <c r="R375" s="83" t="str">
        <f t="shared" si="25"/>
        <v/>
      </c>
      <c r="S375" s="84" t="str">
        <f t="shared" si="4"/>
        <v/>
      </c>
      <c r="T375" s="85"/>
      <c r="U375" s="82">
        <f t="shared" si="5"/>
        <v>0</v>
      </c>
      <c r="V375" s="66">
        <f t="shared" si="6"/>
        <v>0</v>
      </c>
      <c r="W375" s="81">
        <f t="shared" si="7"/>
        <v>0</v>
      </c>
      <c r="X375" s="82" t="str">
        <f t="shared" si="8"/>
        <v>BrotherWilliam</v>
      </c>
      <c r="Y375" s="86" t="str">
        <f t="shared" si="9"/>
        <v>https://www.munzee.com/m/BrotherWilliam/6177/</v>
      </c>
    </row>
    <row r="376" hidden="1" outlineLevel="1">
      <c r="A376" s="76" t="s">
        <v>906</v>
      </c>
      <c r="B376" s="77">
        <v>31.0</v>
      </c>
      <c r="C376" s="77">
        <v>31.0</v>
      </c>
      <c r="D376" s="64">
        <v>52.118129</v>
      </c>
      <c r="E376" s="64">
        <v>5.387733</v>
      </c>
      <c r="F376" s="78" t="s">
        <v>51</v>
      </c>
      <c r="G376" s="78" t="s">
        <v>52</v>
      </c>
      <c r="H376" s="66" t="str">
        <f t="shared" ref="H376:H379" si="34">IF(ISTEXT(X376),X376,"")</f>
        <v>ArtofEco</v>
      </c>
      <c r="I376" s="79" t="s">
        <v>907</v>
      </c>
      <c r="J376" s="80"/>
      <c r="K376" s="78" t="b">
        <v>1</v>
      </c>
      <c r="L376" s="66" t="str">
        <f t="shared" si="2"/>
        <v/>
      </c>
      <c r="M376" s="81" t="str">
        <f>IFERROR(__xludf.DUMMYFUNCTION("IF(W376=1,IFERROR(IMPORTXML(I376, ""//p[@class='status-date']""), ""Not deployed""),"""")"),"")</f>
        <v/>
      </c>
      <c r="N376" s="82"/>
      <c r="O376" s="66"/>
      <c r="P376" s="66"/>
      <c r="Q376" s="66"/>
      <c r="R376" s="83" t="str">
        <f t="shared" si="25"/>
        <v/>
      </c>
      <c r="S376" s="84" t="str">
        <f t="shared" si="4"/>
        <v/>
      </c>
      <c r="T376" s="85"/>
      <c r="U376" s="82">
        <f t="shared" si="5"/>
        <v>0</v>
      </c>
      <c r="V376" s="66">
        <f t="shared" si="6"/>
        <v>0</v>
      </c>
      <c r="W376" s="81">
        <f t="shared" si="7"/>
        <v>0</v>
      </c>
      <c r="X376" s="82" t="str">
        <f t="shared" si="8"/>
        <v>ArtofEco</v>
      </c>
      <c r="Y376" s="86" t="str">
        <f t="shared" si="9"/>
        <v>https://www.munzee.com/m/ArtofEco/3852/</v>
      </c>
    </row>
    <row r="377" hidden="1" outlineLevel="1">
      <c r="A377" s="76" t="s">
        <v>908</v>
      </c>
      <c r="B377" s="77">
        <v>31.0</v>
      </c>
      <c r="C377" s="77">
        <v>32.0</v>
      </c>
      <c r="D377" s="64">
        <v>52.118129</v>
      </c>
      <c r="E377" s="64">
        <v>5.387968</v>
      </c>
      <c r="F377" s="78" t="s">
        <v>51</v>
      </c>
      <c r="G377" s="78" t="s">
        <v>52</v>
      </c>
      <c r="H377" s="66" t="str">
        <f t="shared" si="34"/>
        <v>GroteSufferd</v>
      </c>
      <c r="I377" s="79" t="s">
        <v>909</v>
      </c>
      <c r="J377" s="80"/>
      <c r="K377" s="78" t="b">
        <v>1</v>
      </c>
      <c r="L377" s="66" t="str">
        <f t="shared" si="2"/>
        <v/>
      </c>
      <c r="M377" s="81" t="str">
        <f>IFERROR(__xludf.DUMMYFUNCTION("IF(W377=1,IFERROR(IMPORTXML(I377, ""//p[@class='status-date']""), ""Not deployed""),"""")"),"")</f>
        <v/>
      </c>
      <c r="N377" s="82"/>
      <c r="O377" s="66"/>
      <c r="P377" s="66"/>
      <c r="Q377" s="66"/>
      <c r="R377" s="83" t="str">
        <f t="shared" si="25"/>
        <v/>
      </c>
      <c r="S377" s="84" t="str">
        <f t="shared" si="4"/>
        <v/>
      </c>
      <c r="T377" s="85"/>
      <c r="U377" s="82">
        <f t="shared" si="5"/>
        <v>0</v>
      </c>
      <c r="V377" s="66">
        <f t="shared" si="6"/>
        <v>0</v>
      </c>
      <c r="W377" s="81">
        <f t="shared" si="7"/>
        <v>0</v>
      </c>
      <c r="X377" s="82" t="str">
        <f t="shared" si="8"/>
        <v>GroteSufferd</v>
      </c>
      <c r="Y377" s="86" t="str">
        <f t="shared" si="9"/>
        <v>https://www.munzee.com/m/GroteSufferd/779/</v>
      </c>
    </row>
    <row r="378" hidden="1" outlineLevel="1">
      <c r="A378" s="76" t="s">
        <v>910</v>
      </c>
      <c r="B378" s="77">
        <v>31.0</v>
      </c>
      <c r="C378" s="77">
        <v>33.0</v>
      </c>
      <c r="D378" s="64">
        <v>52.118129</v>
      </c>
      <c r="E378" s="64">
        <v>5.388202</v>
      </c>
      <c r="F378" s="78" t="s">
        <v>51</v>
      </c>
      <c r="G378" s="78" t="s">
        <v>52</v>
      </c>
      <c r="H378" s="66" t="str">
        <f t="shared" si="34"/>
        <v>BrotherWilliam</v>
      </c>
      <c r="I378" s="79" t="s">
        <v>911</v>
      </c>
      <c r="J378" s="80"/>
      <c r="K378" s="78" t="b">
        <v>1</v>
      </c>
      <c r="L378" s="66" t="str">
        <f t="shared" si="2"/>
        <v/>
      </c>
      <c r="M378" s="81" t="str">
        <f>IFERROR(__xludf.DUMMYFUNCTION("IF(W378=1,IFERROR(IMPORTXML(I378, ""//p[@class='status-date']""), ""Not deployed""),"""")"),"")</f>
        <v/>
      </c>
      <c r="N378" s="82"/>
      <c r="O378" s="66"/>
      <c r="P378" s="66"/>
      <c r="Q378" s="66"/>
      <c r="R378" s="83" t="str">
        <f t="shared" si="25"/>
        <v/>
      </c>
      <c r="S378" s="84" t="str">
        <f t="shared" si="4"/>
        <v/>
      </c>
      <c r="T378" s="85"/>
      <c r="U378" s="82">
        <f t="shared" si="5"/>
        <v>0</v>
      </c>
      <c r="V378" s="66">
        <f t="shared" si="6"/>
        <v>0</v>
      </c>
      <c r="W378" s="81">
        <f t="shared" si="7"/>
        <v>0</v>
      </c>
      <c r="X378" s="82" t="str">
        <f t="shared" si="8"/>
        <v>BrotherWilliam</v>
      </c>
      <c r="Y378" s="86" t="str">
        <f t="shared" si="9"/>
        <v>https://www.munzee.com/m/BrotherWilliam/6183/</v>
      </c>
    </row>
    <row r="379" hidden="1" outlineLevel="1">
      <c r="A379" s="76" t="s">
        <v>912</v>
      </c>
      <c r="B379" s="77">
        <v>31.0</v>
      </c>
      <c r="C379" s="77">
        <v>34.0</v>
      </c>
      <c r="D379" s="64">
        <v>52.118129</v>
      </c>
      <c r="E379" s="64">
        <v>5.388436</v>
      </c>
      <c r="F379" s="78" t="s">
        <v>100</v>
      </c>
      <c r="G379" s="78" t="s">
        <v>101</v>
      </c>
      <c r="H379" s="66" t="str">
        <f t="shared" si="34"/>
        <v>Ingetje</v>
      </c>
      <c r="I379" s="94" t="s">
        <v>913</v>
      </c>
      <c r="J379" s="80"/>
      <c r="K379" s="78" t="b">
        <v>1</v>
      </c>
      <c r="L379" s="66" t="str">
        <f t="shared" si="2"/>
        <v/>
      </c>
      <c r="M379" s="81" t="str">
        <f>IFERROR(__xludf.DUMMYFUNCTION("IF(W379=1,IFERROR(IMPORTXML(I379, ""//p[@class='status-date']""), ""Not deployed""),"""")"),"")</f>
        <v/>
      </c>
      <c r="N379" s="82"/>
      <c r="O379" s="66"/>
      <c r="P379" s="66"/>
      <c r="Q379" s="66"/>
      <c r="R379" s="83" t="str">
        <f t="shared" si="25"/>
        <v/>
      </c>
      <c r="S379" s="84" t="str">
        <f t="shared" si="4"/>
        <v/>
      </c>
      <c r="T379" s="85"/>
      <c r="U379" s="82">
        <f t="shared" si="5"/>
        <v>0</v>
      </c>
      <c r="V379" s="66">
        <f t="shared" si="6"/>
        <v>0</v>
      </c>
      <c r="W379" s="81">
        <f t="shared" si="7"/>
        <v>0</v>
      </c>
      <c r="X379" s="82" t="str">
        <f t="shared" si="8"/>
        <v>Ingetje</v>
      </c>
      <c r="Y379" s="86" t="str">
        <f t="shared" si="9"/>
        <v>https://www.munzee.com/m/Ingetje/5531/</v>
      </c>
    </row>
    <row r="380" hidden="1" outlineLevel="1">
      <c r="A380" s="76" t="s">
        <v>914</v>
      </c>
      <c r="B380" s="77">
        <v>32.0</v>
      </c>
      <c r="C380" s="77">
        <v>9.0</v>
      </c>
      <c r="D380" s="64">
        <v>52.117986</v>
      </c>
      <c r="E380" s="64">
        <v>5.382584</v>
      </c>
      <c r="F380" s="78" t="s">
        <v>125</v>
      </c>
      <c r="G380" s="78" t="s">
        <v>126</v>
      </c>
      <c r="H380" s="78" t="s">
        <v>323</v>
      </c>
      <c r="I380" s="79" t="s">
        <v>915</v>
      </c>
      <c r="J380" s="80"/>
      <c r="K380" s="78" t="b">
        <v>1</v>
      </c>
      <c r="L380" s="66" t="str">
        <f t="shared" si="2"/>
        <v/>
      </c>
      <c r="M380" s="81" t="str">
        <f>IFERROR(__xludf.DUMMYFUNCTION("IF(W380=1,IFERROR(IMPORTXML(I380, ""//p[@class='status-date']""), ""Not deployed""),"""")"),"")</f>
        <v/>
      </c>
      <c r="N380" s="82"/>
      <c r="O380" s="66"/>
      <c r="P380" s="66"/>
      <c r="Q380" s="66"/>
      <c r="R380" s="83" t="str">
        <f t="shared" si="25"/>
        <v/>
      </c>
      <c r="S380" s="84" t="str">
        <f t="shared" si="4"/>
        <v/>
      </c>
      <c r="T380" s="85"/>
      <c r="U380" s="82">
        <f t="shared" si="5"/>
        <v>0</v>
      </c>
      <c r="V380" s="66">
        <f t="shared" si="6"/>
        <v>0</v>
      </c>
      <c r="W380" s="81">
        <f t="shared" si="7"/>
        <v>0</v>
      </c>
      <c r="X380" s="82" t="str">
        <f t="shared" si="8"/>
        <v>theLuckyFinders</v>
      </c>
      <c r="Y380" s="86" t="str">
        <f t="shared" si="9"/>
        <v>https://www.munzee.com/m/theLuckyFinders/3928/</v>
      </c>
    </row>
    <row r="381" hidden="1" outlineLevel="1">
      <c r="A381" s="76" t="s">
        <v>916</v>
      </c>
      <c r="B381" s="77">
        <v>32.0</v>
      </c>
      <c r="C381" s="77">
        <v>10.0</v>
      </c>
      <c r="D381" s="64">
        <v>52.117986</v>
      </c>
      <c r="E381" s="64">
        <v>5.382818</v>
      </c>
      <c r="F381" s="78" t="s">
        <v>78</v>
      </c>
      <c r="G381" s="78" t="s">
        <v>79</v>
      </c>
      <c r="H381" s="78" t="s">
        <v>917</v>
      </c>
      <c r="I381" s="79" t="s">
        <v>918</v>
      </c>
      <c r="J381" s="80"/>
      <c r="K381" s="78" t="b">
        <v>1</v>
      </c>
      <c r="L381" s="66" t="str">
        <f t="shared" si="2"/>
        <v/>
      </c>
      <c r="M381" s="81" t="str">
        <f>IFERROR(__xludf.DUMMYFUNCTION("IF(W381=1,IFERROR(IMPORTXML(I381, ""//p[@class='status-date']""), ""Not deployed""),"""")"),"")</f>
        <v/>
      </c>
      <c r="N381" s="82"/>
      <c r="O381" s="66"/>
      <c r="P381" s="66"/>
      <c r="Q381" s="66"/>
      <c r="R381" s="83" t="str">
        <f t="shared" si="25"/>
        <v/>
      </c>
      <c r="S381" s="84" t="str">
        <f t="shared" si="4"/>
        <v/>
      </c>
      <c r="T381" s="85"/>
      <c r="U381" s="82">
        <f t="shared" si="5"/>
        <v>0</v>
      </c>
      <c r="V381" s="66">
        <f t="shared" si="6"/>
        <v>0</v>
      </c>
      <c r="W381" s="81">
        <f t="shared" si="7"/>
        <v>0</v>
      </c>
      <c r="X381" s="82" t="str">
        <f t="shared" si="8"/>
        <v>sidekicks</v>
      </c>
      <c r="Y381" s="86" t="str">
        <f t="shared" si="9"/>
        <v>https://www.munzee.com/m/sidekicks/7908/</v>
      </c>
    </row>
    <row r="382" hidden="1" outlineLevel="1">
      <c r="A382" s="76" t="s">
        <v>919</v>
      </c>
      <c r="B382" s="77">
        <v>32.0</v>
      </c>
      <c r="C382" s="77">
        <v>11.0</v>
      </c>
      <c r="D382" s="64">
        <v>52.117986</v>
      </c>
      <c r="E382" s="64">
        <v>5.383052</v>
      </c>
      <c r="F382" s="78" t="s">
        <v>78</v>
      </c>
      <c r="G382" s="78" t="s">
        <v>79</v>
      </c>
      <c r="H382" s="78" t="s">
        <v>813</v>
      </c>
      <c r="I382" s="79" t="s">
        <v>920</v>
      </c>
      <c r="J382" s="80"/>
      <c r="K382" s="78" t="b">
        <v>1</v>
      </c>
      <c r="L382" s="66" t="str">
        <f t="shared" si="2"/>
        <v/>
      </c>
      <c r="M382" s="81" t="str">
        <f>IFERROR(__xludf.DUMMYFUNCTION("IF(W382=1,IFERROR(IMPORTXML(I382, ""//p[@class='status-date']""), ""Not deployed""),"""")"),"")</f>
        <v/>
      </c>
      <c r="N382" s="82"/>
      <c r="O382" s="66"/>
      <c r="P382" s="66"/>
      <c r="Q382" s="66"/>
      <c r="R382" s="83" t="str">
        <f t="shared" si="25"/>
        <v/>
      </c>
      <c r="S382" s="84" t="str">
        <f t="shared" si="4"/>
        <v/>
      </c>
      <c r="T382" s="85"/>
      <c r="U382" s="82">
        <f t="shared" si="5"/>
        <v>0</v>
      </c>
      <c r="V382" s="66">
        <f t="shared" si="6"/>
        <v>0</v>
      </c>
      <c r="W382" s="81">
        <f t="shared" si="7"/>
        <v>0</v>
      </c>
      <c r="X382" s="82" t="str">
        <f t="shared" si="8"/>
        <v>Warriors</v>
      </c>
      <c r="Y382" s="86" t="str">
        <f t="shared" si="9"/>
        <v>https://www.munzee.com/m/Warriors/6547/</v>
      </c>
    </row>
    <row r="383" hidden="1" outlineLevel="1">
      <c r="A383" s="76" t="s">
        <v>921</v>
      </c>
      <c r="B383" s="77">
        <v>32.0</v>
      </c>
      <c r="C383" s="77">
        <v>12.0</v>
      </c>
      <c r="D383" s="64">
        <v>52.117986</v>
      </c>
      <c r="E383" s="64">
        <v>5.383286</v>
      </c>
      <c r="F383" s="78" t="s">
        <v>100</v>
      </c>
      <c r="G383" s="78" t="s">
        <v>101</v>
      </c>
      <c r="H383" s="66" t="str">
        <f t="shared" ref="H383:H384" si="35">IF(ISTEXT(X383),X383,"")</f>
        <v>Marnic</v>
      </c>
      <c r="I383" s="79" t="s">
        <v>922</v>
      </c>
      <c r="J383" s="80"/>
      <c r="K383" s="78" t="b">
        <v>1</v>
      </c>
      <c r="L383" s="66" t="str">
        <f t="shared" si="2"/>
        <v/>
      </c>
      <c r="M383" s="81" t="str">
        <f>IFERROR(__xludf.DUMMYFUNCTION("IF(W383=1,IFERROR(IMPORTXML(I383, ""//p[@class='status-date']""), ""Not deployed""),"""")"),"")</f>
        <v/>
      </c>
      <c r="N383" s="82"/>
      <c r="O383" s="66"/>
      <c r="P383" s="66"/>
      <c r="Q383" s="66"/>
      <c r="R383" s="83" t="str">
        <f t="shared" si="25"/>
        <v/>
      </c>
      <c r="S383" s="84" t="str">
        <f t="shared" si="4"/>
        <v/>
      </c>
      <c r="T383" s="85"/>
      <c r="U383" s="82">
        <f t="shared" si="5"/>
        <v>0</v>
      </c>
      <c r="V383" s="66">
        <f t="shared" si="6"/>
        <v>0</v>
      </c>
      <c r="W383" s="81">
        <f t="shared" si="7"/>
        <v>0</v>
      </c>
      <c r="X383" s="82" t="str">
        <f t="shared" si="8"/>
        <v>Marnic</v>
      </c>
      <c r="Y383" s="86" t="str">
        <f t="shared" si="9"/>
        <v>https://www.munzee.com/m/Marnic/12348/</v>
      </c>
    </row>
    <row r="384" hidden="1" outlineLevel="1">
      <c r="A384" s="76" t="s">
        <v>923</v>
      </c>
      <c r="B384" s="77">
        <v>32.0</v>
      </c>
      <c r="C384" s="77">
        <v>13.0</v>
      </c>
      <c r="D384" s="64">
        <v>52.117986</v>
      </c>
      <c r="E384" s="64">
        <v>5.38352</v>
      </c>
      <c r="F384" s="78" t="s">
        <v>125</v>
      </c>
      <c r="G384" s="78" t="s">
        <v>126</v>
      </c>
      <c r="H384" s="66" t="str">
        <f t="shared" si="35"/>
        <v>nicmar</v>
      </c>
      <c r="I384" s="79" t="s">
        <v>924</v>
      </c>
      <c r="J384" s="80"/>
      <c r="K384" s="78" t="b">
        <v>1</v>
      </c>
      <c r="L384" s="66" t="str">
        <f t="shared" si="2"/>
        <v/>
      </c>
      <c r="M384" s="81" t="str">
        <f>IFERROR(__xludf.DUMMYFUNCTION("IF(W384=1,IFERROR(IMPORTXML(I384, ""//p[@class='status-date']""), ""Not deployed""),"""")"),"")</f>
        <v/>
      </c>
      <c r="N384" s="82"/>
      <c r="O384" s="66"/>
      <c r="P384" s="66"/>
      <c r="Q384" s="66"/>
      <c r="R384" s="83" t="str">
        <f t="shared" si="25"/>
        <v/>
      </c>
      <c r="S384" s="84" t="str">
        <f t="shared" si="4"/>
        <v/>
      </c>
      <c r="T384" s="85"/>
      <c r="U384" s="82">
        <f t="shared" si="5"/>
        <v>0</v>
      </c>
      <c r="V384" s="66">
        <f t="shared" si="6"/>
        <v>0</v>
      </c>
      <c r="W384" s="81">
        <f t="shared" si="7"/>
        <v>0</v>
      </c>
      <c r="X384" s="82" t="str">
        <f t="shared" si="8"/>
        <v>nicmar</v>
      </c>
      <c r="Y384" s="86" t="str">
        <f t="shared" si="9"/>
        <v>https://www.munzee.com/m/nicmar/10031/</v>
      </c>
    </row>
    <row r="385" hidden="1" outlineLevel="1">
      <c r="A385" s="76" t="s">
        <v>925</v>
      </c>
      <c r="B385" s="77">
        <v>32.0</v>
      </c>
      <c r="C385" s="77">
        <v>14.0</v>
      </c>
      <c r="D385" s="64">
        <v>52.117986</v>
      </c>
      <c r="E385" s="64">
        <v>5.383754</v>
      </c>
      <c r="F385" s="78" t="s">
        <v>70</v>
      </c>
      <c r="G385" s="78" t="s">
        <v>71</v>
      </c>
      <c r="H385" s="78" t="s">
        <v>824</v>
      </c>
      <c r="I385" s="79" t="s">
        <v>926</v>
      </c>
      <c r="J385" s="80"/>
      <c r="K385" s="78" t="b">
        <v>1</v>
      </c>
      <c r="L385" s="66" t="str">
        <f t="shared" si="2"/>
        <v/>
      </c>
      <c r="M385" s="81" t="str">
        <f>IFERROR(__xludf.DUMMYFUNCTION("IF(W385=1,IFERROR(IMPORTXML(I385, ""//p[@class='status-date']""), ""Not deployed""),"""")"),"")</f>
        <v/>
      </c>
      <c r="N385" s="82"/>
      <c r="O385" s="66"/>
      <c r="P385" s="66"/>
      <c r="Q385" s="66"/>
      <c r="R385" s="83" t="str">
        <f t="shared" si="25"/>
        <v/>
      </c>
      <c r="S385" s="84" t="str">
        <f t="shared" si="4"/>
        <v/>
      </c>
      <c r="T385" s="85"/>
      <c r="U385" s="82">
        <f t="shared" si="5"/>
        <v>0</v>
      </c>
      <c r="V385" s="66">
        <f t="shared" si="6"/>
        <v>0</v>
      </c>
      <c r="W385" s="81">
        <f t="shared" si="7"/>
        <v>0</v>
      </c>
      <c r="X385" s="82" t="str">
        <f t="shared" si="8"/>
        <v>nufrat</v>
      </c>
      <c r="Y385" s="86" t="str">
        <f t="shared" si="9"/>
        <v>https://www.munzee.com/m/nufrat/432/</v>
      </c>
    </row>
    <row r="386" hidden="1" outlineLevel="1">
      <c r="A386" s="76" t="s">
        <v>927</v>
      </c>
      <c r="B386" s="77">
        <v>32.0</v>
      </c>
      <c r="C386" s="77">
        <v>15.0</v>
      </c>
      <c r="D386" s="64">
        <v>52.117986</v>
      </c>
      <c r="E386" s="64">
        <v>5.383988</v>
      </c>
      <c r="F386" s="78" t="s">
        <v>125</v>
      </c>
      <c r="G386" s="78" t="s">
        <v>126</v>
      </c>
      <c r="H386" s="66" t="str">
        <f t="shared" ref="H386:H393" si="36">IF(ISTEXT(X386),X386,"")</f>
        <v>Marnic</v>
      </c>
      <c r="I386" s="79" t="s">
        <v>928</v>
      </c>
      <c r="J386" s="80"/>
      <c r="K386" s="78" t="b">
        <v>1</v>
      </c>
      <c r="L386" s="66" t="str">
        <f t="shared" si="2"/>
        <v/>
      </c>
      <c r="M386" s="81" t="str">
        <f>IFERROR(__xludf.DUMMYFUNCTION("IF(W386=1,IFERROR(IMPORTXML(I386, ""//p[@class='status-date']""), ""Not deployed""),"""")"),"")</f>
        <v/>
      </c>
      <c r="N386" s="82"/>
      <c r="O386" s="66"/>
      <c r="P386" s="66"/>
      <c r="Q386" s="66"/>
      <c r="R386" s="83" t="str">
        <f t="shared" si="25"/>
        <v/>
      </c>
      <c r="S386" s="84" t="str">
        <f t="shared" si="4"/>
        <v/>
      </c>
      <c r="T386" s="85"/>
      <c r="U386" s="82">
        <f t="shared" si="5"/>
        <v>0</v>
      </c>
      <c r="V386" s="66">
        <f t="shared" si="6"/>
        <v>0</v>
      </c>
      <c r="W386" s="81">
        <f t="shared" si="7"/>
        <v>0</v>
      </c>
      <c r="X386" s="82" t="str">
        <f t="shared" si="8"/>
        <v>Marnic</v>
      </c>
      <c r="Y386" s="86" t="str">
        <f t="shared" si="9"/>
        <v>https://www.munzee.com/m/Marnic/12376/</v>
      </c>
    </row>
    <row r="387" hidden="1" outlineLevel="1">
      <c r="A387" s="76" t="s">
        <v>929</v>
      </c>
      <c r="B387" s="77">
        <v>32.0</v>
      </c>
      <c r="C387" s="77">
        <v>16.0</v>
      </c>
      <c r="D387" s="64">
        <v>52.117986</v>
      </c>
      <c r="E387" s="64">
        <v>5.384222</v>
      </c>
      <c r="F387" s="78" t="s">
        <v>51</v>
      </c>
      <c r="G387" s="78" t="s">
        <v>52</v>
      </c>
      <c r="H387" s="66" t="str">
        <f t="shared" si="36"/>
        <v>nicmar</v>
      </c>
      <c r="I387" s="79" t="s">
        <v>930</v>
      </c>
      <c r="J387" s="80"/>
      <c r="K387" s="78" t="b">
        <v>1</v>
      </c>
      <c r="L387" s="66" t="str">
        <f t="shared" si="2"/>
        <v/>
      </c>
      <c r="M387" s="81" t="str">
        <f>IFERROR(__xludf.DUMMYFUNCTION("IF(W387=1,IFERROR(IMPORTXML(I387, ""//p[@class='status-date']""), ""Not deployed""),"""")"),"")</f>
        <v/>
      </c>
      <c r="N387" s="82"/>
      <c r="O387" s="66"/>
      <c r="P387" s="66"/>
      <c r="Q387" s="66"/>
      <c r="R387" s="83" t="str">
        <f t="shared" si="25"/>
        <v/>
      </c>
      <c r="S387" s="84" t="str">
        <f t="shared" si="4"/>
        <v/>
      </c>
      <c r="T387" s="85"/>
      <c r="U387" s="82">
        <f t="shared" si="5"/>
        <v>0</v>
      </c>
      <c r="V387" s="66">
        <f t="shared" si="6"/>
        <v>0</v>
      </c>
      <c r="W387" s="81">
        <f t="shared" si="7"/>
        <v>0</v>
      </c>
      <c r="X387" s="82" t="str">
        <f t="shared" si="8"/>
        <v>nicmar</v>
      </c>
      <c r="Y387" s="86" t="str">
        <f t="shared" si="9"/>
        <v>https://www.munzee.com/m/nicmar/10034/</v>
      </c>
    </row>
    <row r="388" hidden="1" outlineLevel="1">
      <c r="A388" s="76" t="s">
        <v>931</v>
      </c>
      <c r="B388" s="77">
        <v>32.0</v>
      </c>
      <c r="C388" s="77">
        <v>17.0</v>
      </c>
      <c r="D388" s="64">
        <v>52.117986</v>
      </c>
      <c r="E388" s="64">
        <v>5.384456</v>
      </c>
      <c r="F388" s="78" t="s">
        <v>100</v>
      </c>
      <c r="G388" s="78" t="s">
        <v>101</v>
      </c>
      <c r="H388" s="66" t="str">
        <f t="shared" si="36"/>
        <v>Ingetje</v>
      </c>
      <c r="I388" s="94" t="s">
        <v>932</v>
      </c>
      <c r="J388" s="80"/>
      <c r="K388" s="78" t="b">
        <v>1</v>
      </c>
      <c r="L388" s="66" t="str">
        <f t="shared" si="2"/>
        <v/>
      </c>
      <c r="M388" s="81" t="str">
        <f>IFERROR(__xludf.DUMMYFUNCTION("IF(W388=1,IFERROR(IMPORTXML(I388, ""//p[@class='status-date']""), ""Not deployed""),"""")"),"")</f>
        <v/>
      </c>
      <c r="N388" s="82"/>
      <c r="O388" s="66"/>
      <c r="P388" s="66"/>
      <c r="Q388" s="66"/>
      <c r="R388" s="83" t="str">
        <f t="shared" si="25"/>
        <v/>
      </c>
      <c r="S388" s="84" t="str">
        <f t="shared" si="4"/>
        <v/>
      </c>
      <c r="T388" s="85"/>
      <c r="U388" s="82">
        <f t="shared" si="5"/>
        <v>0</v>
      </c>
      <c r="V388" s="66">
        <f t="shared" si="6"/>
        <v>0</v>
      </c>
      <c r="W388" s="81">
        <f t="shared" si="7"/>
        <v>0</v>
      </c>
      <c r="X388" s="82" t="str">
        <f t="shared" si="8"/>
        <v>Ingetje</v>
      </c>
      <c r="Y388" s="86" t="str">
        <f t="shared" si="9"/>
        <v>https://www.munzee.com/m/Ingetje/5537/</v>
      </c>
    </row>
    <row r="389" hidden="1" outlineLevel="1">
      <c r="A389" s="76" t="s">
        <v>933</v>
      </c>
      <c r="B389" s="77">
        <v>32.0</v>
      </c>
      <c r="C389" s="77">
        <v>18.0</v>
      </c>
      <c r="D389" s="64">
        <v>52.117986</v>
      </c>
      <c r="E389" s="64">
        <v>5.38469</v>
      </c>
      <c r="F389" s="78" t="s">
        <v>100</v>
      </c>
      <c r="G389" s="78" t="s">
        <v>101</v>
      </c>
      <c r="H389" s="66" t="str">
        <f t="shared" si="36"/>
        <v>Marnic</v>
      </c>
      <c r="I389" s="79" t="s">
        <v>934</v>
      </c>
      <c r="J389" s="80"/>
      <c r="K389" s="78" t="b">
        <v>1</v>
      </c>
      <c r="L389" s="66" t="str">
        <f t="shared" si="2"/>
        <v/>
      </c>
      <c r="M389" s="81" t="str">
        <f>IFERROR(__xludf.DUMMYFUNCTION("IF(W389=1,IFERROR(IMPORTXML(I389, ""//p[@class='status-date']""), ""Not deployed""),"""")"),"")</f>
        <v/>
      </c>
      <c r="N389" s="82"/>
      <c r="O389" s="66"/>
      <c r="P389" s="66"/>
      <c r="Q389" s="66"/>
      <c r="R389" s="83" t="str">
        <f t="shared" si="25"/>
        <v/>
      </c>
      <c r="S389" s="84" t="str">
        <f t="shared" si="4"/>
        <v/>
      </c>
      <c r="T389" s="85"/>
      <c r="U389" s="82">
        <f t="shared" si="5"/>
        <v>0</v>
      </c>
      <c r="V389" s="66">
        <f t="shared" si="6"/>
        <v>0</v>
      </c>
      <c r="W389" s="81">
        <f t="shared" si="7"/>
        <v>0</v>
      </c>
      <c r="X389" s="82" t="str">
        <f t="shared" si="8"/>
        <v>Marnic</v>
      </c>
      <c r="Y389" s="86" t="str">
        <f t="shared" si="9"/>
        <v>https://www.munzee.com/m/Marnic/12377/</v>
      </c>
    </row>
    <row r="390" hidden="1" outlineLevel="1">
      <c r="A390" s="76" t="s">
        <v>935</v>
      </c>
      <c r="B390" s="77">
        <v>32.0</v>
      </c>
      <c r="C390" s="77">
        <v>19.0</v>
      </c>
      <c r="D390" s="64">
        <v>52.117986</v>
      </c>
      <c r="E390" s="64">
        <v>5.384925</v>
      </c>
      <c r="F390" s="78" t="s">
        <v>100</v>
      </c>
      <c r="G390" s="78" t="s">
        <v>101</v>
      </c>
      <c r="H390" s="66" t="str">
        <f t="shared" si="36"/>
        <v>nicmar</v>
      </c>
      <c r="I390" s="79" t="s">
        <v>936</v>
      </c>
      <c r="J390" s="80"/>
      <c r="K390" s="78" t="b">
        <v>1</v>
      </c>
      <c r="L390" s="66" t="str">
        <f t="shared" si="2"/>
        <v/>
      </c>
      <c r="M390" s="81" t="str">
        <f>IFERROR(__xludf.DUMMYFUNCTION("IF(W390=1,IFERROR(IMPORTXML(I390, ""//p[@class='status-date']""), ""Not deployed""),"""")"),"")</f>
        <v/>
      </c>
      <c r="N390" s="82"/>
      <c r="O390" s="66"/>
      <c r="P390" s="66"/>
      <c r="Q390" s="66"/>
      <c r="R390" s="83" t="str">
        <f t="shared" si="25"/>
        <v/>
      </c>
      <c r="S390" s="84" t="str">
        <f t="shared" si="4"/>
        <v/>
      </c>
      <c r="T390" s="85"/>
      <c r="U390" s="82">
        <f t="shared" si="5"/>
        <v>0</v>
      </c>
      <c r="V390" s="66">
        <f t="shared" si="6"/>
        <v>0</v>
      </c>
      <c r="W390" s="81">
        <f t="shared" si="7"/>
        <v>0</v>
      </c>
      <c r="X390" s="82" t="str">
        <f t="shared" si="8"/>
        <v>nicmar</v>
      </c>
      <c r="Y390" s="86" t="str">
        <f t="shared" si="9"/>
        <v>https://www.munzee.com/m/nicmar/10037/</v>
      </c>
    </row>
    <row r="391" hidden="1" outlineLevel="1">
      <c r="A391" s="76" t="s">
        <v>937</v>
      </c>
      <c r="B391" s="77">
        <v>32.0</v>
      </c>
      <c r="C391" s="77">
        <v>20.0</v>
      </c>
      <c r="D391" s="64">
        <v>52.117986</v>
      </c>
      <c r="E391" s="64">
        <v>5.385159</v>
      </c>
      <c r="F391" s="78" t="s">
        <v>100</v>
      </c>
      <c r="G391" s="78" t="s">
        <v>101</v>
      </c>
      <c r="H391" s="66" t="str">
        <f t="shared" si="36"/>
        <v>Ingetje</v>
      </c>
      <c r="I391" s="87" t="s">
        <v>938</v>
      </c>
      <c r="J391" s="80"/>
      <c r="K391" s="78" t="b">
        <v>1</v>
      </c>
      <c r="L391" s="66" t="str">
        <f t="shared" si="2"/>
        <v/>
      </c>
      <c r="M391" s="81" t="str">
        <f>IFERROR(__xludf.DUMMYFUNCTION("IF(W391=1,IFERROR(IMPORTXML(I391, ""//p[@class='status-date']""), ""Not deployed""),"""")"),"")</f>
        <v/>
      </c>
      <c r="N391" s="82"/>
      <c r="O391" s="66"/>
      <c r="P391" s="66"/>
      <c r="Q391" s="66"/>
      <c r="R391" s="83" t="str">
        <f t="shared" si="25"/>
        <v/>
      </c>
      <c r="S391" s="84" t="str">
        <f t="shared" si="4"/>
        <v/>
      </c>
      <c r="T391" s="85"/>
      <c r="U391" s="82">
        <f t="shared" si="5"/>
        <v>0</v>
      </c>
      <c r="V391" s="66">
        <f t="shared" si="6"/>
        <v>0</v>
      </c>
      <c r="W391" s="81">
        <f t="shared" si="7"/>
        <v>0</v>
      </c>
      <c r="X391" s="82" t="str">
        <f t="shared" si="8"/>
        <v>Ingetje</v>
      </c>
      <c r="Y391" s="86" t="str">
        <f t="shared" si="9"/>
        <v>https://www.munzee.com/m/Ingetje/4582/</v>
      </c>
    </row>
    <row r="392" hidden="1" outlineLevel="1">
      <c r="A392" s="76" t="s">
        <v>939</v>
      </c>
      <c r="B392" s="77">
        <v>32.0</v>
      </c>
      <c r="C392" s="77">
        <v>21.0</v>
      </c>
      <c r="D392" s="64">
        <v>52.117986</v>
      </c>
      <c r="E392" s="64">
        <v>5.385393</v>
      </c>
      <c r="F392" s="78" t="s">
        <v>70</v>
      </c>
      <c r="G392" s="78" t="s">
        <v>71</v>
      </c>
      <c r="H392" s="66" t="str">
        <f t="shared" si="36"/>
        <v>Marnic</v>
      </c>
      <c r="I392" s="79" t="s">
        <v>940</v>
      </c>
      <c r="J392" s="80"/>
      <c r="K392" s="78" t="b">
        <v>1</v>
      </c>
      <c r="L392" s="66" t="str">
        <f t="shared" si="2"/>
        <v/>
      </c>
      <c r="M392" s="81" t="str">
        <f>IFERROR(__xludf.DUMMYFUNCTION("IF(W392=1,IFERROR(IMPORTXML(I392, ""//p[@class='status-date']""), ""Not deployed""),"""")"),"")</f>
        <v/>
      </c>
      <c r="N392" s="82"/>
      <c r="O392" s="66"/>
      <c r="P392" s="66"/>
      <c r="Q392" s="66"/>
      <c r="R392" s="83" t="str">
        <f t="shared" si="25"/>
        <v/>
      </c>
      <c r="S392" s="84" t="str">
        <f t="shared" si="4"/>
        <v/>
      </c>
      <c r="T392" s="85"/>
      <c r="U392" s="82">
        <f t="shared" si="5"/>
        <v>0</v>
      </c>
      <c r="V392" s="66">
        <f t="shared" si="6"/>
        <v>0</v>
      </c>
      <c r="W392" s="81">
        <f t="shared" si="7"/>
        <v>0</v>
      </c>
      <c r="X392" s="82" t="str">
        <f t="shared" si="8"/>
        <v>Marnic</v>
      </c>
      <c r="Y392" s="86" t="str">
        <f t="shared" si="9"/>
        <v>https://www.munzee.com/m/Marnic/12382/</v>
      </c>
    </row>
    <row r="393" hidden="1" outlineLevel="1">
      <c r="A393" s="76" t="s">
        <v>941</v>
      </c>
      <c r="B393" s="77">
        <v>32.0</v>
      </c>
      <c r="C393" s="77">
        <v>22.0</v>
      </c>
      <c r="D393" s="64">
        <v>52.117986</v>
      </c>
      <c r="E393" s="64">
        <v>5.385627</v>
      </c>
      <c r="F393" s="78" t="s">
        <v>51</v>
      </c>
      <c r="G393" s="78" t="s">
        <v>52</v>
      </c>
      <c r="H393" s="66" t="str">
        <f t="shared" si="36"/>
        <v>nicmar</v>
      </c>
      <c r="I393" s="79" t="s">
        <v>942</v>
      </c>
      <c r="J393" s="80"/>
      <c r="K393" s="78" t="b">
        <v>1</v>
      </c>
      <c r="L393" s="66" t="str">
        <f t="shared" si="2"/>
        <v/>
      </c>
      <c r="M393" s="81" t="str">
        <f>IFERROR(__xludf.DUMMYFUNCTION("IF(W393=1,IFERROR(IMPORTXML(I393, ""//p[@class='status-date']""), ""Not deployed""),"""")"),"")</f>
        <v/>
      </c>
      <c r="N393" s="82"/>
      <c r="O393" s="66"/>
      <c r="P393" s="66"/>
      <c r="Q393" s="66"/>
      <c r="R393" s="83" t="str">
        <f t="shared" si="25"/>
        <v/>
      </c>
      <c r="S393" s="84" t="str">
        <f t="shared" si="4"/>
        <v/>
      </c>
      <c r="T393" s="85"/>
      <c r="U393" s="82">
        <f t="shared" si="5"/>
        <v>0</v>
      </c>
      <c r="V393" s="66">
        <f t="shared" si="6"/>
        <v>0</v>
      </c>
      <c r="W393" s="81">
        <f t="shared" si="7"/>
        <v>0</v>
      </c>
      <c r="X393" s="82" t="str">
        <f t="shared" si="8"/>
        <v>nicmar</v>
      </c>
      <c r="Y393" s="86" t="str">
        <f t="shared" si="9"/>
        <v>https://www.munzee.com/m/nicmar/10040/</v>
      </c>
    </row>
    <row r="394" hidden="1" outlineLevel="1">
      <c r="A394" s="76" t="s">
        <v>943</v>
      </c>
      <c r="B394" s="77">
        <v>32.0</v>
      </c>
      <c r="C394" s="77">
        <v>23.0</v>
      </c>
      <c r="D394" s="64">
        <v>52.117986</v>
      </c>
      <c r="E394" s="64">
        <v>5.385861</v>
      </c>
      <c r="F394" s="78" t="s">
        <v>125</v>
      </c>
      <c r="G394" s="78" t="s">
        <v>126</v>
      </c>
      <c r="H394" s="78" t="s">
        <v>944</v>
      </c>
      <c r="I394" s="94" t="s">
        <v>945</v>
      </c>
      <c r="J394" s="80"/>
      <c r="K394" s="78" t="b">
        <v>1</v>
      </c>
      <c r="L394" s="66" t="str">
        <f t="shared" si="2"/>
        <v/>
      </c>
      <c r="M394" s="81" t="str">
        <f>IFERROR(__xludf.DUMMYFUNCTION("IF(W394=1,IFERROR(IMPORTXML(I394, ""//p[@class='status-date']""), ""Not deployed""),"""")"),"")</f>
        <v/>
      </c>
      <c r="N394" s="82"/>
      <c r="O394" s="66"/>
      <c r="P394" s="66"/>
      <c r="Q394" s="66"/>
      <c r="R394" s="83" t="str">
        <f t="shared" si="25"/>
        <v/>
      </c>
      <c r="S394" s="84" t="str">
        <f t="shared" si="4"/>
        <v/>
      </c>
      <c r="T394" s="85"/>
      <c r="U394" s="82">
        <f t="shared" si="5"/>
        <v>0</v>
      </c>
      <c r="V394" s="66">
        <f t="shared" si="6"/>
        <v>0</v>
      </c>
      <c r="W394" s="81">
        <f t="shared" si="7"/>
        <v>0</v>
      </c>
      <c r="X394" s="82" t="str">
        <f t="shared" si="8"/>
        <v>piupardo</v>
      </c>
      <c r="Y394" s="86" t="str">
        <f t="shared" si="9"/>
        <v>https://www.munzee.com/m/piupardo/4903/</v>
      </c>
    </row>
    <row r="395" hidden="1" outlineLevel="1">
      <c r="A395" s="76" t="s">
        <v>946</v>
      </c>
      <c r="B395" s="77">
        <v>32.0</v>
      </c>
      <c r="C395" s="77">
        <v>24.0</v>
      </c>
      <c r="D395" s="64">
        <v>52.117986</v>
      </c>
      <c r="E395" s="64">
        <v>5.386095</v>
      </c>
      <c r="F395" s="78" t="s">
        <v>100</v>
      </c>
      <c r="G395" s="78" t="s">
        <v>101</v>
      </c>
      <c r="H395" s="66" t="str">
        <f t="shared" ref="H395:H396" si="37">IF(ISTEXT(X395),X395,"")</f>
        <v>Marnic</v>
      </c>
      <c r="I395" s="79" t="s">
        <v>947</v>
      </c>
      <c r="J395" s="80"/>
      <c r="K395" s="78" t="b">
        <v>1</v>
      </c>
      <c r="L395" s="66" t="str">
        <f t="shared" si="2"/>
        <v/>
      </c>
      <c r="M395" s="81" t="str">
        <f>IFERROR(__xludf.DUMMYFUNCTION("IF(W395=1,IFERROR(IMPORTXML(I395, ""//p[@class='status-date']""), ""Not deployed""),"""")"),"")</f>
        <v/>
      </c>
      <c r="N395" s="82"/>
      <c r="O395" s="66"/>
      <c r="P395" s="66"/>
      <c r="Q395" s="66"/>
      <c r="R395" s="83" t="str">
        <f t="shared" si="25"/>
        <v/>
      </c>
      <c r="S395" s="84" t="str">
        <f t="shared" si="4"/>
        <v/>
      </c>
      <c r="T395" s="85"/>
      <c r="U395" s="82">
        <f t="shared" si="5"/>
        <v>0</v>
      </c>
      <c r="V395" s="66">
        <f t="shared" si="6"/>
        <v>0</v>
      </c>
      <c r="W395" s="81">
        <f t="shared" si="7"/>
        <v>0</v>
      </c>
      <c r="X395" s="82" t="str">
        <f t="shared" si="8"/>
        <v>Marnic</v>
      </c>
      <c r="Y395" s="86" t="str">
        <f t="shared" si="9"/>
        <v>https://www.munzee.com/m/Marnic/12406/</v>
      </c>
    </row>
    <row r="396" hidden="1" outlineLevel="1">
      <c r="A396" s="76" t="s">
        <v>948</v>
      </c>
      <c r="B396" s="77">
        <v>32.0</v>
      </c>
      <c r="C396" s="77">
        <v>25.0</v>
      </c>
      <c r="D396" s="64">
        <v>52.117986</v>
      </c>
      <c r="E396" s="64">
        <v>5.386329</v>
      </c>
      <c r="F396" s="78" t="s">
        <v>100</v>
      </c>
      <c r="G396" s="78" t="s">
        <v>101</v>
      </c>
      <c r="H396" s="66" t="str">
        <f t="shared" si="37"/>
        <v>nicmar</v>
      </c>
      <c r="I396" s="79" t="s">
        <v>949</v>
      </c>
      <c r="J396" s="80"/>
      <c r="K396" s="78" t="b">
        <v>1</v>
      </c>
      <c r="L396" s="66" t="str">
        <f t="shared" si="2"/>
        <v/>
      </c>
      <c r="M396" s="81" t="str">
        <f>IFERROR(__xludf.DUMMYFUNCTION("IF(W396=1,IFERROR(IMPORTXML(I396, ""//p[@class='status-date']""), ""Not deployed""),"""")"),"")</f>
        <v/>
      </c>
      <c r="N396" s="82"/>
      <c r="O396" s="66"/>
      <c r="P396" s="66"/>
      <c r="Q396" s="66"/>
      <c r="R396" s="83" t="str">
        <f t="shared" si="25"/>
        <v/>
      </c>
      <c r="S396" s="84" t="str">
        <f t="shared" si="4"/>
        <v/>
      </c>
      <c r="T396" s="85"/>
      <c r="U396" s="82">
        <f t="shared" si="5"/>
        <v>0</v>
      </c>
      <c r="V396" s="66">
        <f t="shared" si="6"/>
        <v>0</v>
      </c>
      <c r="W396" s="81">
        <f t="shared" si="7"/>
        <v>0</v>
      </c>
      <c r="X396" s="82" t="str">
        <f t="shared" si="8"/>
        <v>nicmar</v>
      </c>
      <c r="Y396" s="86" t="str">
        <f t="shared" si="9"/>
        <v>https://www.munzee.com/m/nicmar/10122/</v>
      </c>
    </row>
    <row r="397" hidden="1" outlineLevel="1">
      <c r="A397" s="76" t="s">
        <v>950</v>
      </c>
      <c r="B397" s="77">
        <v>32.0</v>
      </c>
      <c r="C397" s="77">
        <v>26.0</v>
      </c>
      <c r="D397" s="64">
        <v>52.117986</v>
      </c>
      <c r="E397" s="64">
        <v>5.386563</v>
      </c>
      <c r="F397" s="78" t="s">
        <v>100</v>
      </c>
      <c r="G397" s="78" t="s">
        <v>101</v>
      </c>
      <c r="H397" s="78" t="s">
        <v>944</v>
      </c>
      <c r="I397" s="94" t="s">
        <v>951</v>
      </c>
      <c r="J397" s="80"/>
      <c r="K397" s="78" t="b">
        <v>1</v>
      </c>
      <c r="L397" s="66" t="str">
        <f t="shared" si="2"/>
        <v/>
      </c>
      <c r="M397" s="81" t="str">
        <f>IFERROR(__xludf.DUMMYFUNCTION("IF(W397=1,IFERROR(IMPORTXML(I397, ""//p[@class='status-date']""), ""Not deployed""),"""")"),"")</f>
        <v/>
      </c>
      <c r="N397" s="82"/>
      <c r="O397" s="66"/>
      <c r="P397" s="66"/>
      <c r="Q397" s="66"/>
      <c r="R397" s="83" t="str">
        <f t="shared" si="25"/>
        <v/>
      </c>
      <c r="S397" s="84" t="str">
        <f t="shared" si="4"/>
        <v/>
      </c>
      <c r="T397" s="85"/>
      <c r="U397" s="82">
        <f t="shared" si="5"/>
        <v>0</v>
      </c>
      <c r="V397" s="66">
        <f t="shared" si="6"/>
        <v>0</v>
      </c>
      <c r="W397" s="81">
        <f t="shared" si="7"/>
        <v>0</v>
      </c>
      <c r="X397" s="82" t="str">
        <f t="shared" si="8"/>
        <v>piupardo</v>
      </c>
      <c r="Y397" s="86" t="str">
        <f t="shared" si="9"/>
        <v>https://www.munzee.com/m/piupardo/4977/</v>
      </c>
    </row>
    <row r="398" hidden="1" outlineLevel="1">
      <c r="A398" s="76" t="s">
        <v>952</v>
      </c>
      <c r="B398" s="77">
        <v>32.0</v>
      </c>
      <c r="C398" s="77">
        <v>27.0</v>
      </c>
      <c r="D398" s="64">
        <v>52.117986</v>
      </c>
      <c r="E398" s="64">
        <v>5.386797</v>
      </c>
      <c r="F398" s="78" t="s">
        <v>100</v>
      </c>
      <c r="G398" s="78" t="s">
        <v>101</v>
      </c>
      <c r="H398" s="66" t="str">
        <f t="shared" ref="H398:H399" si="38">IF(ISTEXT(X398),X398,"")</f>
        <v>Marnic</v>
      </c>
      <c r="I398" s="79" t="s">
        <v>953</v>
      </c>
      <c r="J398" s="80"/>
      <c r="K398" s="78" t="b">
        <v>1</v>
      </c>
      <c r="L398" s="66" t="str">
        <f t="shared" si="2"/>
        <v/>
      </c>
      <c r="M398" s="81" t="str">
        <f>IFERROR(__xludf.DUMMYFUNCTION("IF(W398=1,IFERROR(IMPORTXML(I398, ""//p[@class='status-date']""), ""Not deployed""),"""")"),"")</f>
        <v/>
      </c>
      <c r="N398" s="82"/>
      <c r="O398" s="66"/>
      <c r="P398" s="66"/>
      <c r="Q398" s="66"/>
      <c r="R398" s="83" t="str">
        <f t="shared" si="25"/>
        <v/>
      </c>
      <c r="S398" s="84" t="str">
        <f t="shared" si="4"/>
        <v/>
      </c>
      <c r="T398" s="85"/>
      <c r="U398" s="82">
        <f t="shared" si="5"/>
        <v>0</v>
      </c>
      <c r="V398" s="66">
        <f t="shared" si="6"/>
        <v>0</v>
      </c>
      <c r="W398" s="81">
        <f t="shared" si="7"/>
        <v>0</v>
      </c>
      <c r="X398" s="82" t="str">
        <f t="shared" si="8"/>
        <v>Marnic</v>
      </c>
      <c r="Y398" s="86" t="str">
        <f t="shared" si="9"/>
        <v>https://www.munzee.com/m/Marnic/12462/</v>
      </c>
    </row>
    <row r="399" hidden="1" outlineLevel="1">
      <c r="A399" s="76" t="s">
        <v>954</v>
      </c>
      <c r="B399" s="77">
        <v>32.0</v>
      </c>
      <c r="C399" s="77">
        <v>28.0</v>
      </c>
      <c r="D399" s="64">
        <v>52.117986</v>
      </c>
      <c r="E399" s="64">
        <v>5.387031</v>
      </c>
      <c r="F399" s="78" t="s">
        <v>125</v>
      </c>
      <c r="G399" s="78" t="s">
        <v>126</v>
      </c>
      <c r="H399" s="66" t="str">
        <f t="shared" si="38"/>
        <v>nicmar</v>
      </c>
      <c r="I399" s="79" t="s">
        <v>955</v>
      </c>
      <c r="J399" s="80"/>
      <c r="K399" s="78" t="b">
        <v>1</v>
      </c>
      <c r="L399" s="66" t="str">
        <f t="shared" si="2"/>
        <v/>
      </c>
      <c r="M399" s="81" t="str">
        <f>IFERROR(__xludf.DUMMYFUNCTION("IF(W399=1,IFERROR(IMPORTXML(I399, ""//p[@class='status-date']""), ""Not deployed""),"""")"),"")</f>
        <v/>
      </c>
      <c r="N399" s="82"/>
      <c r="O399" s="66"/>
      <c r="P399" s="66"/>
      <c r="Q399" s="66"/>
      <c r="R399" s="83" t="str">
        <f t="shared" si="25"/>
        <v/>
      </c>
      <c r="S399" s="84" t="str">
        <f t="shared" si="4"/>
        <v/>
      </c>
      <c r="T399" s="85"/>
      <c r="U399" s="82">
        <f t="shared" si="5"/>
        <v>0</v>
      </c>
      <c r="V399" s="66">
        <f t="shared" si="6"/>
        <v>0</v>
      </c>
      <c r="W399" s="81">
        <f t="shared" si="7"/>
        <v>0</v>
      </c>
      <c r="X399" s="82" t="str">
        <f t="shared" si="8"/>
        <v>nicmar</v>
      </c>
      <c r="Y399" s="86" t="str">
        <f t="shared" si="9"/>
        <v>https://www.munzee.com/m/nicmar/10123/</v>
      </c>
    </row>
    <row r="400" hidden="1" outlineLevel="1">
      <c r="A400" s="76" t="s">
        <v>956</v>
      </c>
      <c r="B400" s="77">
        <v>32.0</v>
      </c>
      <c r="C400" s="77">
        <v>29.0</v>
      </c>
      <c r="D400" s="64">
        <v>52.117986</v>
      </c>
      <c r="E400" s="64">
        <v>5.387265</v>
      </c>
      <c r="F400" s="78" t="s">
        <v>70</v>
      </c>
      <c r="G400" s="78" t="s">
        <v>71</v>
      </c>
      <c r="H400" s="78" t="s">
        <v>944</v>
      </c>
      <c r="I400" s="94" t="s">
        <v>957</v>
      </c>
      <c r="J400" s="80"/>
      <c r="K400" s="78" t="b">
        <v>1</v>
      </c>
      <c r="L400" s="66" t="str">
        <f t="shared" si="2"/>
        <v/>
      </c>
      <c r="M400" s="81" t="str">
        <f>IFERROR(__xludf.DUMMYFUNCTION("IF(W400=1,IFERROR(IMPORTXML(I400, ""//p[@class='status-date']""), ""Not deployed""),"""")"),"")</f>
        <v/>
      </c>
      <c r="N400" s="82"/>
      <c r="O400" s="66"/>
      <c r="P400" s="66"/>
      <c r="Q400" s="66"/>
      <c r="R400" s="83" t="str">
        <f t="shared" si="25"/>
        <v/>
      </c>
      <c r="S400" s="84" t="str">
        <f t="shared" si="4"/>
        <v/>
      </c>
      <c r="T400" s="85"/>
      <c r="U400" s="82">
        <f t="shared" si="5"/>
        <v>0</v>
      </c>
      <c r="V400" s="66">
        <f t="shared" si="6"/>
        <v>0</v>
      </c>
      <c r="W400" s="81">
        <f t="shared" si="7"/>
        <v>0</v>
      </c>
      <c r="X400" s="82" t="str">
        <f t="shared" si="8"/>
        <v>piupardo</v>
      </c>
      <c r="Y400" s="86" t="str">
        <f t="shared" si="9"/>
        <v>https://www.munzee.com/m/piupardo/5042/</v>
      </c>
    </row>
    <row r="401" hidden="1" outlineLevel="1">
      <c r="A401" s="76" t="s">
        <v>958</v>
      </c>
      <c r="B401" s="77">
        <v>32.0</v>
      </c>
      <c r="C401" s="77">
        <v>30.0</v>
      </c>
      <c r="D401" s="64">
        <v>52.117986</v>
      </c>
      <c r="E401" s="64">
        <v>5.387499</v>
      </c>
      <c r="F401" s="78" t="s">
        <v>70</v>
      </c>
      <c r="G401" s="78" t="s">
        <v>71</v>
      </c>
      <c r="H401" s="66" t="str">
        <f t="shared" ref="H401:H403" si="39">IF(ISTEXT(X401),X401,"")</f>
        <v>Ingetje</v>
      </c>
      <c r="I401" s="79" t="s">
        <v>959</v>
      </c>
      <c r="J401" s="80"/>
      <c r="K401" s="78" t="b">
        <v>1</v>
      </c>
      <c r="L401" s="66" t="str">
        <f t="shared" si="2"/>
        <v/>
      </c>
      <c r="M401" s="81" t="str">
        <f>IFERROR(__xludf.DUMMYFUNCTION("IF(W401=1,IFERROR(IMPORTXML(I401, ""//p[@class='status-date']""), ""Not deployed""),"""")"),"")</f>
        <v/>
      </c>
      <c r="N401" s="82"/>
      <c r="O401" s="66"/>
      <c r="P401" s="66"/>
      <c r="Q401" s="66"/>
      <c r="R401" s="83" t="str">
        <f t="shared" si="25"/>
        <v/>
      </c>
      <c r="S401" s="84" t="str">
        <f t="shared" si="4"/>
        <v/>
      </c>
      <c r="T401" s="85"/>
      <c r="U401" s="82">
        <f t="shared" si="5"/>
        <v>0</v>
      </c>
      <c r="V401" s="66">
        <f t="shared" si="6"/>
        <v>0</v>
      </c>
      <c r="W401" s="81">
        <f t="shared" si="7"/>
        <v>0</v>
      </c>
      <c r="X401" s="82" t="str">
        <f t="shared" si="8"/>
        <v>Ingetje</v>
      </c>
      <c r="Y401" s="86" t="str">
        <f t="shared" si="9"/>
        <v>https://www.munzee.com/m/Ingetje/5536/</v>
      </c>
    </row>
    <row r="402" hidden="1" outlineLevel="1">
      <c r="A402" s="76" t="s">
        <v>960</v>
      </c>
      <c r="B402" s="77">
        <v>32.0</v>
      </c>
      <c r="C402" s="77">
        <v>31.0</v>
      </c>
      <c r="D402" s="64">
        <v>52.117986</v>
      </c>
      <c r="E402" s="64">
        <v>5.387733</v>
      </c>
      <c r="F402" s="78" t="s">
        <v>51</v>
      </c>
      <c r="G402" s="78" t="s">
        <v>52</v>
      </c>
      <c r="H402" s="66" t="str">
        <f t="shared" si="39"/>
        <v>nicmar</v>
      </c>
      <c r="I402" s="79" t="s">
        <v>961</v>
      </c>
      <c r="J402" s="80"/>
      <c r="K402" s="78" t="b">
        <v>1</v>
      </c>
      <c r="L402" s="66" t="str">
        <f t="shared" si="2"/>
        <v/>
      </c>
      <c r="M402" s="81" t="str">
        <f>IFERROR(__xludf.DUMMYFUNCTION("IF(W402=1,IFERROR(IMPORTXML(I402, ""//p[@class='status-date']""), ""Not deployed""),"""")"),"")</f>
        <v/>
      </c>
      <c r="N402" s="82"/>
      <c r="O402" s="66"/>
      <c r="P402" s="66"/>
      <c r="Q402" s="66"/>
      <c r="R402" s="83" t="str">
        <f t="shared" si="25"/>
        <v/>
      </c>
      <c r="S402" s="84" t="str">
        <f t="shared" si="4"/>
        <v/>
      </c>
      <c r="T402" s="85"/>
      <c r="U402" s="82">
        <f t="shared" si="5"/>
        <v>0</v>
      </c>
      <c r="V402" s="66">
        <f t="shared" si="6"/>
        <v>0</v>
      </c>
      <c r="W402" s="81">
        <f t="shared" si="7"/>
        <v>0</v>
      </c>
      <c r="X402" s="82" t="str">
        <f t="shared" si="8"/>
        <v>nicmar</v>
      </c>
      <c r="Y402" s="86" t="str">
        <f t="shared" si="9"/>
        <v>https://www.munzee.com/m/nicmar/10174/</v>
      </c>
    </row>
    <row r="403" hidden="1" outlineLevel="1">
      <c r="A403" s="76" t="s">
        <v>962</v>
      </c>
      <c r="B403" s="77">
        <v>32.0</v>
      </c>
      <c r="C403" s="77">
        <v>32.0</v>
      </c>
      <c r="D403" s="64">
        <v>52.117986</v>
      </c>
      <c r="E403" s="64">
        <v>5.387968</v>
      </c>
      <c r="F403" s="78" t="s">
        <v>100</v>
      </c>
      <c r="G403" s="78" t="s">
        <v>101</v>
      </c>
      <c r="H403" s="66" t="str">
        <f t="shared" si="39"/>
        <v>does</v>
      </c>
      <c r="I403" s="79" t="s">
        <v>963</v>
      </c>
      <c r="J403" s="80"/>
      <c r="K403" s="78" t="b">
        <v>1</v>
      </c>
      <c r="L403" s="66" t="str">
        <f t="shared" si="2"/>
        <v/>
      </c>
      <c r="M403" s="81" t="str">
        <f>IFERROR(__xludf.DUMMYFUNCTION("IF(W403=1,IFERROR(IMPORTXML(I403, ""//p[@class='status-date']""), ""Not deployed""),"""")"),"")</f>
        <v/>
      </c>
      <c r="N403" s="82"/>
      <c r="O403" s="66"/>
      <c r="P403" s="66"/>
      <c r="Q403" s="66"/>
      <c r="R403" s="83" t="str">
        <f t="shared" si="25"/>
        <v/>
      </c>
      <c r="S403" s="84" t="str">
        <f t="shared" si="4"/>
        <v/>
      </c>
      <c r="T403" s="85"/>
      <c r="U403" s="82">
        <f t="shared" si="5"/>
        <v>0</v>
      </c>
      <c r="V403" s="66">
        <f t="shared" si="6"/>
        <v>0</v>
      </c>
      <c r="W403" s="81">
        <f t="shared" si="7"/>
        <v>0</v>
      </c>
      <c r="X403" s="82" t="str">
        <f t="shared" si="8"/>
        <v>does</v>
      </c>
      <c r="Y403" s="86" t="str">
        <f t="shared" si="9"/>
        <v>https://www.munzee.com/m/does/1203/</v>
      </c>
    </row>
    <row r="404" hidden="1" outlineLevel="1">
      <c r="A404" s="76" t="s">
        <v>964</v>
      </c>
      <c r="B404" s="77">
        <v>32.0</v>
      </c>
      <c r="C404" s="77">
        <v>33.0</v>
      </c>
      <c r="D404" s="64">
        <v>52.117986</v>
      </c>
      <c r="E404" s="64">
        <v>5.388202</v>
      </c>
      <c r="F404" s="78" t="s">
        <v>100</v>
      </c>
      <c r="G404" s="78" t="s">
        <v>101</v>
      </c>
      <c r="H404" s="78" t="s">
        <v>443</v>
      </c>
      <c r="I404" s="79" t="s">
        <v>965</v>
      </c>
      <c r="J404" s="80"/>
      <c r="K404" s="78" t="b">
        <v>1</v>
      </c>
      <c r="L404" s="66" t="str">
        <f t="shared" si="2"/>
        <v/>
      </c>
      <c r="M404" s="81" t="str">
        <f>IFERROR(__xludf.DUMMYFUNCTION("IF(W404=1,IFERROR(IMPORTXML(I404, ""//p[@class='status-date']""), ""Not deployed""),"""")"),"")</f>
        <v/>
      </c>
      <c r="N404" s="82"/>
      <c r="O404" s="66"/>
      <c r="P404" s="66"/>
      <c r="Q404" s="66"/>
      <c r="R404" s="83" t="str">
        <f t="shared" si="25"/>
        <v/>
      </c>
      <c r="S404" s="84" t="str">
        <f t="shared" si="4"/>
        <v/>
      </c>
      <c r="T404" s="85"/>
      <c r="U404" s="82">
        <f t="shared" si="5"/>
        <v>0</v>
      </c>
      <c r="V404" s="66">
        <f t="shared" si="6"/>
        <v>0</v>
      </c>
      <c r="W404" s="81">
        <f t="shared" si="7"/>
        <v>0</v>
      </c>
      <c r="X404" s="82" t="str">
        <f t="shared" si="8"/>
        <v>RoversEnd</v>
      </c>
      <c r="Y404" s="86" t="str">
        <f t="shared" si="9"/>
        <v>https://www.munzee.com/m/RoversEnd/4305/</v>
      </c>
    </row>
    <row r="405" hidden="1" outlineLevel="1">
      <c r="A405" s="76" t="s">
        <v>966</v>
      </c>
      <c r="B405" s="77">
        <v>33.0</v>
      </c>
      <c r="C405" s="77">
        <v>10.0</v>
      </c>
      <c r="D405" s="64">
        <v>52.117842</v>
      </c>
      <c r="E405" s="64">
        <v>5.382818</v>
      </c>
      <c r="F405" s="78" t="s">
        <v>51</v>
      </c>
      <c r="G405" s="78" t="s">
        <v>52</v>
      </c>
      <c r="H405" s="66" t="str">
        <f t="shared" ref="H405:H406" si="40">IF(ISTEXT(X405),X405,"")</f>
        <v>RobS</v>
      </c>
      <c r="I405" s="79" t="s">
        <v>967</v>
      </c>
      <c r="J405" s="80"/>
      <c r="K405" s="78" t="b">
        <v>1</v>
      </c>
      <c r="L405" s="66" t="str">
        <f t="shared" si="2"/>
        <v/>
      </c>
      <c r="M405" s="81" t="str">
        <f>IFERROR(__xludf.DUMMYFUNCTION("IF(W405=1,IFERROR(IMPORTXML(I405, ""//p[@class='status-date']""), ""Not deployed""),"""")"),"")</f>
        <v/>
      </c>
      <c r="N405" s="82"/>
      <c r="O405" s="66"/>
      <c r="P405" s="66"/>
      <c r="Q405" s="66"/>
      <c r="R405" s="83" t="str">
        <f t="shared" si="25"/>
        <v/>
      </c>
      <c r="S405" s="84" t="str">
        <f t="shared" si="4"/>
        <v/>
      </c>
      <c r="T405" s="85"/>
      <c r="U405" s="82">
        <f t="shared" si="5"/>
        <v>0</v>
      </c>
      <c r="V405" s="66">
        <f t="shared" si="6"/>
        <v>0</v>
      </c>
      <c r="W405" s="81">
        <f t="shared" si="7"/>
        <v>0</v>
      </c>
      <c r="X405" s="82" t="str">
        <f t="shared" si="8"/>
        <v>RobS</v>
      </c>
      <c r="Y405" s="86" t="str">
        <f t="shared" si="9"/>
        <v>https://www.munzee.com/m/RobS/5044/</v>
      </c>
    </row>
    <row r="406" hidden="1" outlineLevel="1">
      <c r="A406" s="76" t="s">
        <v>968</v>
      </c>
      <c r="B406" s="77">
        <v>33.0</v>
      </c>
      <c r="C406" s="77">
        <v>11.0</v>
      </c>
      <c r="D406" s="64">
        <v>52.117842</v>
      </c>
      <c r="E406" s="64">
        <v>5.383052</v>
      </c>
      <c r="F406" s="78" t="s">
        <v>70</v>
      </c>
      <c r="G406" s="78" t="s">
        <v>71</v>
      </c>
      <c r="H406" s="66" t="str">
        <f t="shared" si="40"/>
        <v>does</v>
      </c>
      <c r="I406" s="102" t="s">
        <v>969</v>
      </c>
      <c r="J406" s="80"/>
      <c r="K406" s="78" t="b">
        <v>1</v>
      </c>
      <c r="L406" s="66" t="str">
        <f t="shared" si="2"/>
        <v/>
      </c>
      <c r="M406" s="81" t="str">
        <f>IFERROR(__xludf.DUMMYFUNCTION("IF(W406=1,IFERROR(IMPORTXML(I406, ""//p[@class='status-date']""), ""Not deployed""),"""")"),"")</f>
        <v/>
      </c>
      <c r="N406" s="82"/>
      <c r="O406" s="66"/>
      <c r="P406" s="66"/>
      <c r="Q406" s="66"/>
      <c r="R406" s="83" t="str">
        <f t="shared" si="25"/>
        <v/>
      </c>
      <c r="S406" s="84" t="str">
        <f t="shared" si="4"/>
        <v/>
      </c>
      <c r="T406" s="85"/>
      <c r="U406" s="82">
        <f t="shared" si="5"/>
        <v>0</v>
      </c>
      <c r="V406" s="66">
        <f t="shared" si="6"/>
        <v>0</v>
      </c>
      <c r="W406" s="81">
        <f t="shared" si="7"/>
        <v>0</v>
      </c>
      <c r="X406" s="82" t="str">
        <f t="shared" si="8"/>
        <v>does</v>
      </c>
      <c r="Y406" s="86" t="str">
        <f t="shared" si="9"/>
        <v>https://www.munzee.com/m/does/1201/</v>
      </c>
    </row>
    <row r="407" hidden="1" outlineLevel="1">
      <c r="A407" s="76" t="s">
        <v>970</v>
      </c>
      <c r="B407" s="77">
        <v>33.0</v>
      </c>
      <c r="C407" s="77">
        <v>12.0</v>
      </c>
      <c r="D407" s="64">
        <v>52.117842</v>
      </c>
      <c r="E407" s="64">
        <v>5.383286</v>
      </c>
      <c r="F407" s="78" t="s">
        <v>70</v>
      </c>
      <c r="G407" s="78" t="s">
        <v>71</v>
      </c>
      <c r="H407" s="78" t="s">
        <v>971</v>
      </c>
      <c r="I407" s="102" t="s">
        <v>972</v>
      </c>
      <c r="J407" s="80"/>
      <c r="K407" s="78" t="b">
        <v>1</v>
      </c>
      <c r="L407" s="66" t="str">
        <f t="shared" si="2"/>
        <v/>
      </c>
      <c r="M407" s="81" t="str">
        <f>IFERROR(__xludf.DUMMYFUNCTION("IF(W407=1,IFERROR(IMPORTXML(I407, ""//p[@class='status-date']""), ""Not deployed""),"""")"),"")</f>
        <v/>
      </c>
      <c r="N407" s="82"/>
      <c r="O407" s="66"/>
      <c r="P407" s="66"/>
      <c r="Q407" s="66"/>
      <c r="R407" s="83" t="str">
        <f t="shared" si="25"/>
        <v/>
      </c>
      <c r="S407" s="84" t="str">
        <f t="shared" si="4"/>
        <v/>
      </c>
      <c r="T407" s="85"/>
      <c r="U407" s="82">
        <f t="shared" si="5"/>
        <v>0</v>
      </c>
      <c r="V407" s="66">
        <f t="shared" si="6"/>
        <v>0</v>
      </c>
      <c r="W407" s="81">
        <f t="shared" si="7"/>
        <v>0</v>
      </c>
      <c r="X407" s="82" t="str">
        <f t="shared" si="8"/>
        <v>TeamBlackie</v>
      </c>
      <c r="Y407" s="86" t="str">
        <f t="shared" si="9"/>
        <v>https://www.munzee.com/m/TeamBlackie/1095/</v>
      </c>
    </row>
    <row r="408" hidden="1" outlineLevel="1">
      <c r="A408" s="76" t="s">
        <v>973</v>
      </c>
      <c r="B408" s="77">
        <v>33.0</v>
      </c>
      <c r="C408" s="77">
        <v>13.0</v>
      </c>
      <c r="D408" s="64">
        <v>52.117842</v>
      </c>
      <c r="E408" s="64">
        <v>5.38352</v>
      </c>
      <c r="F408" s="78" t="s">
        <v>125</v>
      </c>
      <c r="G408" s="78" t="s">
        <v>126</v>
      </c>
      <c r="H408" s="66" t="str">
        <f>IF(ISTEXT(X408),X408,"")</f>
        <v>RobS</v>
      </c>
      <c r="I408" s="79" t="s">
        <v>974</v>
      </c>
      <c r="J408" s="80"/>
      <c r="K408" s="78" t="b">
        <v>1</v>
      </c>
      <c r="L408" s="66" t="str">
        <f t="shared" si="2"/>
        <v/>
      </c>
      <c r="M408" s="81" t="str">
        <f>IFERROR(__xludf.DUMMYFUNCTION("IF(W408=1,IFERROR(IMPORTXML(I408, ""//p[@class='status-date']""), ""Not deployed""),"""")"),"")</f>
        <v/>
      </c>
      <c r="N408" s="82"/>
      <c r="O408" s="66"/>
      <c r="P408" s="66"/>
      <c r="Q408" s="66"/>
      <c r="R408" s="83" t="str">
        <f t="shared" si="25"/>
        <v/>
      </c>
      <c r="S408" s="84" t="str">
        <f t="shared" si="4"/>
        <v/>
      </c>
      <c r="T408" s="85"/>
      <c r="U408" s="82">
        <f t="shared" si="5"/>
        <v>0</v>
      </c>
      <c r="V408" s="66">
        <f t="shared" si="6"/>
        <v>0</v>
      </c>
      <c r="W408" s="81">
        <f t="shared" si="7"/>
        <v>0</v>
      </c>
      <c r="X408" s="82" t="str">
        <f t="shared" si="8"/>
        <v>RobS</v>
      </c>
      <c r="Y408" s="86" t="str">
        <f t="shared" si="9"/>
        <v>https://www.munzee.com/m/RobS/5060/</v>
      </c>
    </row>
    <row r="409" hidden="1" outlineLevel="1">
      <c r="A409" s="76" t="s">
        <v>975</v>
      </c>
      <c r="B409" s="77">
        <v>33.0</v>
      </c>
      <c r="C409" s="77">
        <v>14.0</v>
      </c>
      <c r="D409" s="64">
        <v>52.117842</v>
      </c>
      <c r="E409" s="64">
        <v>5.383754</v>
      </c>
      <c r="F409" s="78" t="s">
        <v>125</v>
      </c>
      <c r="G409" s="78" t="s">
        <v>126</v>
      </c>
      <c r="H409" s="78" t="s">
        <v>976</v>
      </c>
      <c r="I409" s="79" t="s">
        <v>977</v>
      </c>
      <c r="J409" s="80"/>
      <c r="K409" s="78" t="b">
        <v>1</v>
      </c>
      <c r="L409" s="66" t="str">
        <f t="shared" si="2"/>
        <v/>
      </c>
      <c r="M409" s="81" t="str">
        <f>IFERROR(__xludf.DUMMYFUNCTION("IF(W409=1,IFERROR(IMPORTXML(I409, ""//p[@class='status-date']""), ""Not deployed""),"""")"),"")</f>
        <v/>
      </c>
      <c r="N409" s="82"/>
      <c r="O409" s="66"/>
      <c r="P409" s="66"/>
      <c r="Q409" s="66"/>
      <c r="R409" s="83" t="str">
        <f t="shared" si="25"/>
        <v/>
      </c>
      <c r="S409" s="84" t="str">
        <f t="shared" si="4"/>
        <v/>
      </c>
      <c r="T409" s="85"/>
      <c r="U409" s="82">
        <f t="shared" si="5"/>
        <v>0</v>
      </c>
      <c r="V409" s="66">
        <f t="shared" si="6"/>
        <v>0</v>
      </c>
      <c r="W409" s="81">
        <f t="shared" si="7"/>
        <v>0</v>
      </c>
      <c r="X409" s="82" t="str">
        <f t="shared" si="8"/>
        <v>Bayermunzeer</v>
      </c>
      <c r="Y409" s="86" t="str">
        <f t="shared" si="9"/>
        <v>https://www.munzee.com/m/Bayermunzeer/1471/</v>
      </c>
    </row>
    <row r="410" hidden="1" outlineLevel="1">
      <c r="A410" s="76" t="s">
        <v>978</v>
      </c>
      <c r="B410" s="77">
        <v>33.0</v>
      </c>
      <c r="C410" s="77">
        <v>15.0</v>
      </c>
      <c r="D410" s="64">
        <v>52.117842</v>
      </c>
      <c r="E410" s="64">
        <v>5.383988</v>
      </c>
      <c r="F410" s="78" t="s">
        <v>125</v>
      </c>
      <c r="G410" s="78" t="s">
        <v>126</v>
      </c>
      <c r="H410" s="78" t="s">
        <v>219</v>
      </c>
      <c r="I410" s="102" t="s">
        <v>979</v>
      </c>
      <c r="J410" s="88"/>
      <c r="K410" s="78" t="b">
        <v>1</v>
      </c>
      <c r="L410" s="66" t="str">
        <f t="shared" si="2"/>
        <v/>
      </c>
      <c r="M410" s="81" t="str">
        <f>IFERROR(__xludf.DUMMYFUNCTION("IF(W410=1,IFERROR(IMPORTXML(I410, ""//p[@class='status-date']""), ""Not deployed""),"""")"),"")</f>
        <v/>
      </c>
      <c r="N410" s="82"/>
      <c r="O410" s="66"/>
      <c r="P410" s="66"/>
      <c r="Q410" s="66"/>
      <c r="R410" s="83" t="str">
        <f t="shared" si="25"/>
        <v/>
      </c>
      <c r="S410" s="84" t="str">
        <f t="shared" si="4"/>
        <v/>
      </c>
      <c r="T410" s="85"/>
      <c r="U410" s="82">
        <f t="shared" si="5"/>
        <v>0</v>
      </c>
      <c r="V410" s="66">
        <f t="shared" si="6"/>
        <v>0</v>
      </c>
      <c r="W410" s="81">
        <f t="shared" si="7"/>
        <v>0</v>
      </c>
      <c r="X410" s="82" t="str">
        <f t="shared" si="8"/>
        <v>raftjen</v>
      </c>
      <c r="Y410" s="86" t="str">
        <f t="shared" si="9"/>
        <v>https://www.munzee.com/m/raftjen/7642/</v>
      </c>
    </row>
    <row r="411" hidden="1" outlineLevel="1">
      <c r="A411" s="76" t="s">
        <v>980</v>
      </c>
      <c r="B411" s="77">
        <v>33.0</v>
      </c>
      <c r="C411" s="77">
        <v>16.0</v>
      </c>
      <c r="D411" s="64">
        <v>52.117842</v>
      </c>
      <c r="E411" s="64">
        <v>5.384222</v>
      </c>
      <c r="F411" s="78" t="s">
        <v>125</v>
      </c>
      <c r="G411" s="78" t="s">
        <v>126</v>
      </c>
      <c r="H411" s="66" t="str">
        <f>IF(ISTEXT(X411),X411,"")</f>
        <v>RobS</v>
      </c>
      <c r="I411" s="79" t="s">
        <v>981</v>
      </c>
      <c r="J411" s="80"/>
      <c r="K411" s="78" t="b">
        <v>1</v>
      </c>
      <c r="L411" s="66" t="str">
        <f t="shared" si="2"/>
        <v/>
      </c>
      <c r="M411" s="81" t="str">
        <f>IFERROR(__xludf.DUMMYFUNCTION("IF(W411=1,IFERROR(IMPORTXML(I411, ""//p[@class='status-date']""), ""Not deployed""),"""")"),"")</f>
        <v/>
      </c>
      <c r="N411" s="82"/>
      <c r="O411" s="66"/>
      <c r="P411" s="66"/>
      <c r="Q411" s="66"/>
      <c r="R411" s="83" t="str">
        <f t="shared" si="25"/>
        <v/>
      </c>
      <c r="S411" s="84" t="str">
        <f t="shared" si="4"/>
        <v/>
      </c>
      <c r="T411" s="85"/>
      <c r="U411" s="82">
        <f t="shared" si="5"/>
        <v>0</v>
      </c>
      <c r="V411" s="66">
        <f t="shared" si="6"/>
        <v>0</v>
      </c>
      <c r="W411" s="81">
        <f t="shared" si="7"/>
        <v>0</v>
      </c>
      <c r="X411" s="82" t="str">
        <f t="shared" si="8"/>
        <v>RobS</v>
      </c>
      <c r="Y411" s="86" t="str">
        <f t="shared" si="9"/>
        <v>https://www.munzee.com/m/RobS/5061/</v>
      </c>
    </row>
    <row r="412" hidden="1" outlineLevel="1">
      <c r="A412" s="76" t="s">
        <v>982</v>
      </c>
      <c r="B412" s="77">
        <v>33.0</v>
      </c>
      <c r="C412" s="77">
        <v>17.0</v>
      </c>
      <c r="D412" s="64">
        <v>52.117842</v>
      </c>
      <c r="E412" s="64">
        <v>5.384456</v>
      </c>
      <c r="F412" s="78" t="s">
        <v>125</v>
      </c>
      <c r="G412" s="78" t="s">
        <v>126</v>
      </c>
      <c r="H412" s="78" t="s">
        <v>983</v>
      </c>
      <c r="I412" s="79" t="s">
        <v>984</v>
      </c>
      <c r="J412" s="80"/>
      <c r="K412" s="78" t="b">
        <v>1</v>
      </c>
      <c r="L412" s="66" t="str">
        <f t="shared" si="2"/>
        <v/>
      </c>
      <c r="M412" s="81" t="str">
        <f>IFERROR(__xludf.DUMMYFUNCTION("IF(W412=1,IFERROR(IMPORTXML(I412, ""//p[@class='status-date']""), ""Not deployed""),"""")"),"")</f>
        <v/>
      </c>
      <c r="N412" s="82"/>
      <c r="O412" s="66"/>
      <c r="P412" s="66"/>
      <c r="Q412" s="66"/>
      <c r="R412" s="83" t="str">
        <f t="shared" si="25"/>
        <v/>
      </c>
      <c r="S412" s="84" t="str">
        <f t="shared" si="4"/>
        <v/>
      </c>
      <c r="T412" s="85"/>
      <c r="U412" s="82">
        <f t="shared" si="5"/>
        <v>0</v>
      </c>
      <c r="V412" s="66">
        <f t="shared" si="6"/>
        <v>0</v>
      </c>
      <c r="W412" s="81">
        <f t="shared" si="7"/>
        <v>0</v>
      </c>
      <c r="X412" s="82" t="str">
        <f t="shared" si="8"/>
        <v>Boersentrader</v>
      </c>
      <c r="Y412" s="86" t="str">
        <f t="shared" si="9"/>
        <v>https://www.munzee.com/m/Boersentrader/7904/</v>
      </c>
    </row>
    <row r="413" hidden="1" outlineLevel="1">
      <c r="A413" s="76" t="s">
        <v>985</v>
      </c>
      <c r="B413" s="77">
        <v>33.0</v>
      </c>
      <c r="C413" s="77">
        <v>18.0</v>
      </c>
      <c r="D413" s="64">
        <v>52.117842</v>
      </c>
      <c r="E413" s="64">
        <v>5.38469</v>
      </c>
      <c r="F413" s="78" t="s">
        <v>125</v>
      </c>
      <c r="G413" s="78" t="s">
        <v>126</v>
      </c>
      <c r="H413" s="66" t="str">
        <f>IF(ISTEXT(X413),X413,"")</f>
        <v>raftjen</v>
      </c>
      <c r="I413" s="79" t="s">
        <v>986</v>
      </c>
      <c r="J413" s="80"/>
      <c r="K413" s="78" t="b">
        <v>1</v>
      </c>
      <c r="L413" s="66" t="str">
        <f t="shared" si="2"/>
        <v/>
      </c>
      <c r="M413" s="81" t="str">
        <f>IFERROR(__xludf.DUMMYFUNCTION("IF(W413=1,IFERROR(IMPORTXML(I413, ""//p[@class='status-date']""), ""Not deployed""),"""")"),"")</f>
        <v/>
      </c>
      <c r="N413" s="82"/>
      <c r="O413" s="66"/>
      <c r="P413" s="66"/>
      <c r="Q413" s="66"/>
      <c r="R413" s="83" t="str">
        <f t="shared" si="25"/>
        <v/>
      </c>
      <c r="S413" s="84" t="str">
        <f t="shared" si="4"/>
        <v/>
      </c>
      <c r="T413" s="85"/>
      <c r="U413" s="82">
        <f t="shared" si="5"/>
        <v>0</v>
      </c>
      <c r="V413" s="66">
        <f t="shared" si="6"/>
        <v>0</v>
      </c>
      <c r="W413" s="81">
        <f t="shared" si="7"/>
        <v>0</v>
      </c>
      <c r="X413" s="82" t="str">
        <f t="shared" si="8"/>
        <v>raftjen</v>
      </c>
      <c r="Y413" s="86" t="str">
        <f t="shared" si="9"/>
        <v>https://www.munzee.com/m/raftjen/7641/</v>
      </c>
    </row>
    <row r="414" hidden="1" outlineLevel="1">
      <c r="A414" s="76" t="s">
        <v>987</v>
      </c>
      <c r="B414" s="77">
        <v>33.0</v>
      </c>
      <c r="C414" s="77">
        <v>19.0</v>
      </c>
      <c r="D414" s="64">
        <v>52.117842</v>
      </c>
      <c r="E414" s="64">
        <v>5.384925</v>
      </c>
      <c r="F414" s="78" t="s">
        <v>125</v>
      </c>
      <c r="G414" s="78" t="s">
        <v>126</v>
      </c>
      <c r="H414" s="78" t="s">
        <v>988</v>
      </c>
      <c r="I414" s="102" t="s">
        <v>989</v>
      </c>
      <c r="J414" s="80"/>
      <c r="K414" s="78" t="b">
        <v>1</v>
      </c>
      <c r="L414" s="66" t="str">
        <f t="shared" si="2"/>
        <v/>
      </c>
      <c r="M414" s="81" t="str">
        <f>IFERROR(__xludf.DUMMYFUNCTION("IF(W414=1,IFERROR(IMPORTXML(I414, ""//p[@class='status-date']""), ""Not deployed""),"""")"),"")</f>
        <v/>
      </c>
      <c r="N414" s="82"/>
      <c r="O414" s="66"/>
      <c r="P414" s="66"/>
      <c r="Q414" s="66"/>
      <c r="R414" s="83" t="str">
        <f t="shared" si="25"/>
        <v/>
      </c>
      <c r="S414" s="84" t="str">
        <f t="shared" si="4"/>
        <v/>
      </c>
      <c r="T414" s="85"/>
      <c r="U414" s="82">
        <f t="shared" si="5"/>
        <v>0</v>
      </c>
      <c r="V414" s="66">
        <f t="shared" si="6"/>
        <v>0</v>
      </c>
      <c r="W414" s="81">
        <f t="shared" si="7"/>
        <v>0</v>
      </c>
      <c r="X414" s="82" t="str">
        <f t="shared" si="8"/>
        <v>Sandrius</v>
      </c>
      <c r="Y414" s="86" t="str">
        <f t="shared" si="9"/>
        <v>https://www.munzee.com/m/Sandrius/7635/</v>
      </c>
    </row>
    <row r="415" hidden="1" outlineLevel="1">
      <c r="A415" s="76" t="s">
        <v>990</v>
      </c>
      <c r="B415" s="77">
        <v>33.0</v>
      </c>
      <c r="C415" s="77">
        <v>20.0</v>
      </c>
      <c r="D415" s="64">
        <v>52.117842</v>
      </c>
      <c r="E415" s="64">
        <v>5.385159</v>
      </c>
      <c r="F415" s="78" t="s">
        <v>125</v>
      </c>
      <c r="G415" s="78" t="s">
        <v>126</v>
      </c>
      <c r="H415" s="78" t="s">
        <v>757</v>
      </c>
      <c r="I415" s="79" t="s">
        <v>991</v>
      </c>
      <c r="J415" s="88"/>
      <c r="K415" s="78" t="b">
        <v>1</v>
      </c>
      <c r="L415" s="66" t="str">
        <f t="shared" si="2"/>
        <v/>
      </c>
      <c r="M415" s="81" t="str">
        <f>IFERROR(__xludf.DUMMYFUNCTION("IF(W415=1,IFERROR(IMPORTXML(I415, ""//p[@class='status-date']""), ""Not deployed""),"""")"),"")</f>
        <v/>
      </c>
      <c r="N415" s="82"/>
      <c r="O415" s="66"/>
      <c r="P415" s="66"/>
      <c r="Q415" s="66"/>
      <c r="R415" s="83" t="str">
        <f t="shared" si="25"/>
        <v/>
      </c>
      <c r="S415" s="84" t="str">
        <f t="shared" si="4"/>
        <v/>
      </c>
      <c r="T415" s="85"/>
      <c r="U415" s="82">
        <f t="shared" si="5"/>
        <v>0</v>
      </c>
      <c r="V415" s="66">
        <f t="shared" si="6"/>
        <v>0</v>
      </c>
      <c r="W415" s="81">
        <f t="shared" si="7"/>
        <v>0</v>
      </c>
      <c r="X415" s="82" t="str">
        <f t="shared" si="8"/>
        <v>KillerSnail</v>
      </c>
      <c r="Y415" s="86" t="str">
        <f t="shared" si="9"/>
        <v>https://www.munzee.com/m/KillerSnail/9317/</v>
      </c>
    </row>
    <row r="416" hidden="1" outlineLevel="1">
      <c r="A416" s="76" t="s">
        <v>992</v>
      </c>
      <c r="B416" s="77">
        <v>33.0</v>
      </c>
      <c r="C416" s="77">
        <v>21.0</v>
      </c>
      <c r="D416" s="64">
        <v>52.117842</v>
      </c>
      <c r="E416" s="64">
        <v>5.385393</v>
      </c>
      <c r="F416" s="78" t="s">
        <v>125</v>
      </c>
      <c r="G416" s="78" t="s">
        <v>126</v>
      </c>
      <c r="H416" s="66" t="str">
        <f>IF(ISTEXT(X416),X416,"")</f>
        <v>raftjen</v>
      </c>
      <c r="I416" s="79" t="s">
        <v>993</v>
      </c>
      <c r="J416" s="80"/>
      <c r="K416" s="78" t="b">
        <v>1</v>
      </c>
      <c r="L416" s="66" t="str">
        <f t="shared" si="2"/>
        <v/>
      </c>
      <c r="M416" s="81" t="str">
        <f>IFERROR(__xludf.DUMMYFUNCTION("IF(W416=1,IFERROR(IMPORTXML(I416, ""//p[@class='status-date']""), ""Not deployed""),"""")"),"")</f>
        <v/>
      </c>
      <c r="N416" s="82"/>
      <c r="O416" s="66"/>
      <c r="P416" s="66"/>
      <c r="Q416" s="66"/>
      <c r="R416" s="83" t="str">
        <f t="shared" si="25"/>
        <v/>
      </c>
      <c r="S416" s="84" t="str">
        <f t="shared" si="4"/>
        <v/>
      </c>
      <c r="T416" s="85"/>
      <c r="U416" s="82">
        <f t="shared" si="5"/>
        <v>0</v>
      </c>
      <c r="V416" s="66">
        <f t="shared" si="6"/>
        <v>0</v>
      </c>
      <c r="W416" s="81">
        <f t="shared" si="7"/>
        <v>0</v>
      </c>
      <c r="X416" s="82" t="str">
        <f t="shared" si="8"/>
        <v>raftjen</v>
      </c>
      <c r="Y416" s="86" t="str">
        <f t="shared" si="9"/>
        <v>https://www.munzee.com/m/raftjen/7640/</v>
      </c>
    </row>
    <row r="417" hidden="1" outlineLevel="1">
      <c r="A417" s="76" t="s">
        <v>994</v>
      </c>
      <c r="B417" s="77">
        <v>33.0</v>
      </c>
      <c r="C417" s="77">
        <v>22.0</v>
      </c>
      <c r="D417" s="64">
        <v>52.117842</v>
      </c>
      <c r="E417" s="64">
        <v>5.385627</v>
      </c>
      <c r="F417" s="78" t="s">
        <v>125</v>
      </c>
      <c r="G417" s="78" t="s">
        <v>126</v>
      </c>
      <c r="H417" s="78" t="s">
        <v>757</v>
      </c>
      <c r="I417" s="79" t="s">
        <v>991</v>
      </c>
      <c r="J417" s="80"/>
      <c r="K417" s="78" t="b">
        <v>1</v>
      </c>
      <c r="L417" s="66" t="str">
        <f t="shared" si="2"/>
        <v/>
      </c>
      <c r="M417" s="81" t="str">
        <f>IFERROR(__xludf.DUMMYFUNCTION("IF(W417=1,IFERROR(IMPORTXML(I417, ""//p[@class='status-date']""), ""Not deployed""),"""")"),"")</f>
        <v/>
      </c>
      <c r="N417" s="82"/>
      <c r="O417" s="66"/>
      <c r="P417" s="66"/>
      <c r="Q417" s="66"/>
      <c r="R417" s="83" t="str">
        <f t="shared" si="25"/>
        <v/>
      </c>
      <c r="S417" s="84" t="str">
        <f t="shared" si="4"/>
        <v/>
      </c>
      <c r="T417" s="85"/>
      <c r="U417" s="82">
        <f t="shared" si="5"/>
        <v>0</v>
      </c>
      <c r="V417" s="66">
        <f t="shared" si="6"/>
        <v>0</v>
      </c>
      <c r="W417" s="81">
        <f t="shared" si="7"/>
        <v>0</v>
      </c>
      <c r="X417" s="82" t="str">
        <f t="shared" si="8"/>
        <v>KillerSnail</v>
      </c>
      <c r="Y417" s="86" t="str">
        <f t="shared" si="9"/>
        <v>https://www.munzee.com/m/KillerSnail/9317/</v>
      </c>
    </row>
    <row r="418" hidden="1" outlineLevel="1">
      <c r="A418" s="76" t="s">
        <v>995</v>
      </c>
      <c r="B418" s="77">
        <v>33.0</v>
      </c>
      <c r="C418" s="77">
        <v>23.0</v>
      </c>
      <c r="D418" s="64">
        <v>52.117842</v>
      </c>
      <c r="E418" s="64">
        <v>5.385861</v>
      </c>
      <c r="F418" s="78" t="s">
        <v>125</v>
      </c>
      <c r="G418" s="78" t="s">
        <v>126</v>
      </c>
      <c r="H418" s="66" t="str">
        <f>IF(ISTEXT(X418),X418,"")</f>
        <v>Ingetje</v>
      </c>
      <c r="I418" s="87" t="s">
        <v>996</v>
      </c>
      <c r="J418" s="80"/>
      <c r="K418" s="78" t="b">
        <v>1</v>
      </c>
      <c r="L418" s="66" t="str">
        <f t="shared" si="2"/>
        <v/>
      </c>
      <c r="M418" s="81" t="str">
        <f>IFERROR(__xludf.DUMMYFUNCTION("IF(W418=1,IFERROR(IMPORTXML(I418, ""//p[@class='status-date']""), ""Not deployed""),"""")"),"")</f>
        <v/>
      </c>
      <c r="N418" s="82"/>
      <c r="O418" s="66"/>
      <c r="P418" s="66"/>
      <c r="Q418" s="66"/>
      <c r="R418" s="83" t="str">
        <f t="shared" si="25"/>
        <v/>
      </c>
      <c r="S418" s="84" t="str">
        <f t="shared" si="4"/>
        <v/>
      </c>
      <c r="T418" s="85"/>
      <c r="U418" s="82">
        <f t="shared" si="5"/>
        <v>0</v>
      </c>
      <c r="V418" s="66">
        <f t="shared" si="6"/>
        <v>0</v>
      </c>
      <c r="W418" s="81">
        <f t="shared" si="7"/>
        <v>0</v>
      </c>
      <c r="X418" s="82" t="str">
        <f t="shared" si="8"/>
        <v>Ingetje</v>
      </c>
      <c r="Y418" s="86" t="str">
        <f t="shared" si="9"/>
        <v>https://www.munzee.com/m/Ingetje/5630/</v>
      </c>
    </row>
    <row r="419" hidden="1" outlineLevel="1">
      <c r="A419" s="76" t="s">
        <v>997</v>
      </c>
      <c r="B419" s="77">
        <v>33.0</v>
      </c>
      <c r="C419" s="77">
        <v>24.0</v>
      </c>
      <c r="D419" s="64">
        <v>52.117842</v>
      </c>
      <c r="E419" s="64">
        <v>5.386095</v>
      </c>
      <c r="F419" s="78" t="s">
        <v>100</v>
      </c>
      <c r="G419" s="78" t="s">
        <v>101</v>
      </c>
      <c r="H419" s="78" t="s">
        <v>988</v>
      </c>
      <c r="I419" s="102" t="s">
        <v>998</v>
      </c>
      <c r="J419" s="80"/>
      <c r="K419" s="78" t="b">
        <v>1</v>
      </c>
      <c r="L419" s="66" t="str">
        <f t="shared" si="2"/>
        <v/>
      </c>
      <c r="M419" s="81" t="str">
        <f>IFERROR(__xludf.DUMMYFUNCTION("IF(W419=1,IFERROR(IMPORTXML(I419, ""//p[@class='status-date']""), ""Not deployed""),"""")"),"")</f>
        <v/>
      </c>
      <c r="N419" s="82"/>
      <c r="O419" s="66"/>
      <c r="P419" s="66"/>
      <c r="Q419" s="66"/>
      <c r="R419" s="83" t="str">
        <f t="shared" si="25"/>
        <v/>
      </c>
      <c r="S419" s="84" t="str">
        <f t="shared" si="4"/>
        <v/>
      </c>
      <c r="T419" s="85"/>
      <c r="U419" s="82">
        <f t="shared" si="5"/>
        <v>0</v>
      </c>
      <c r="V419" s="66">
        <f t="shared" si="6"/>
        <v>0</v>
      </c>
      <c r="W419" s="81">
        <f t="shared" si="7"/>
        <v>0</v>
      </c>
      <c r="X419" s="82" t="str">
        <f t="shared" si="8"/>
        <v>Sandrius</v>
      </c>
      <c r="Y419" s="86" t="str">
        <f t="shared" si="9"/>
        <v>https://www.munzee.com/m/Sandrius/7588/</v>
      </c>
    </row>
    <row r="420" hidden="1" outlineLevel="1">
      <c r="A420" s="76" t="s">
        <v>999</v>
      </c>
      <c r="B420" s="77">
        <v>33.0</v>
      </c>
      <c r="C420" s="77">
        <v>25.0</v>
      </c>
      <c r="D420" s="64">
        <v>52.117842</v>
      </c>
      <c r="E420" s="64">
        <v>5.386329</v>
      </c>
      <c r="F420" s="78" t="s">
        <v>100</v>
      </c>
      <c r="G420" s="78" t="s">
        <v>101</v>
      </c>
      <c r="H420" s="78" t="s">
        <v>1000</v>
      </c>
      <c r="I420" s="79" t="s">
        <v>1001</v>
      </c>
      <c r="J420" s="80"/>
      <c r="K420" s="78" t="b">
        <v>1</v>
      </c>
      <c r="L420" s="66" t="str">
        <f t="shared" si="2"/>
        <v/>
      </c>
      <c r="M420" s="81" t="str">
        <f>IFERROR(__xludf.DUMMYFUNCTION("IF(W420=1,IFERROR(IMPORTXML(I420, ""//p[@class='status-date']""), ""Not deployed""),"""")"),"")</f>
        <v/>
      </c>
      <c r="N420" s="82"/>
      <c r="O420" s="66"/>
      <c r="P420" s="66"/>
      <c r="Q420" s="66"/>
      <c r="R420" s="83" t="str">
        <f t="shared" si="25"/>
        <v/>
      </c>
      <c r="S420" s="84" t="str">
        <f t="shared" si="4"/>
        <v/>
      </c>
      <c r="T420" s="85"/>
      <c r="U420" s="82">
        <f t="shared" si="5"/>
        <v>0</v>
      </c>
      <c r="V420" s="66">
        <f t="shared" si="6"/>
        <v>0</v>
      </c>
      <c r="W420" s="81">
        <f t="shared" si="7"/>
        <v>0</v>
      </c>
      <c r="X420" s="82" t="str">
        <f t="shared" si="8"/>
        <v>dlbisblest</v>
      </c>
      <c r="Y420" s="86" t="str">
        <f t="shared" si="9"/>
        <v>https://www.munzee.com/m/dlbisblest/15395/</v>
      </c>
    </row>
    <row r="421" hidden="1" outlineLevel="1">
      <c r="A421" s="76" t="s">
        <v>1002</v>
      </c>
      <c r="B421" s="77">
        <v>33.0</v>
      </c>
      <c r="C421" s="77">
        <v>26.0</v>
      </c>
      <c r="D421" s="64">
        <v>52.117842</v>
      </c>
      <c r="E421" s="64">
        <v>5.386563</v>
      </c>
      <c r="F421" s="78" t="s">
        <v>100</v>
      </c>
      <c r="G421" s="78" t="s">
        <v>101</v>
      </c>
      <c r="H421" s="66" t="str">
        <f t="shared" ref="H421:H422" si="41">IF(ISTEXT(X421),X421,"")</f>
        <v>McCormick64</v>
      </c>
      <c r="I421" s="79" t="s">
        <v>1003</v>
      </c>
      <c r="J421" s="80"/>
      <c r="K421" s="78" t="b">
        <v>1</v>
      </c>
      <c r="L421" s="66" t="str">
        <f t="shared" si="2"/>
        <v/>
      </c>
      <c r="M421" s="81" t="str">
        <f>IFERROR(__xludf.DUMMYFUNCTION("IF(W421=1,IFERROR(IMPORTXML(I421, ""//p[@class='status-date']""), ""Not deployed""),"""")"),"")</f>
        <v/>
      </c>
      <c r="N421" s="82"/>
      <c r="O421" s="66"/>
      <c r="P421" s="66"/>
      <c r="Q421" s="66"/>
      <c r="R421" s="83" t="str">
        <f t="shared" si="25"/>
        <v/>
      </c>
      <c r="S421" s="84" t="str">
        <f t="shared" si="4"/>
        <v/>
      </c>
      <c r="T421" s="85"/>
      <c r="U421" s="82">
        <f t="shared" si="5"/>
        <v>0</v>
      </c>
      <c r="V421" s="66">
        <f t="shared" si="6"/>
        <v>0</v>
      </c>
      <c r="W421" s="81">
        <f t="shared" si="7"/>
        <v>0</v>
      </c>
      <c r="X421" s="82" t="str">
        <f t="shared" si="8"/>
        <v>McCormick64</v>
      </c>
      <c r="Y421" s="86" t="str">
        <f t="shared" si="9"/>
        <v>https://www.munzee.com/m/McCormick64/672/</v>
      </c>
    </row>
    <row r="422" hidden="1" outlineLevel="1">
      <c r="A422" s="76" t="s">
        <v>1004</v>
      </c>
      <c r="B422" s="77">
        <v>33.0</v>
      </c>
      <c r="C422" s="77">
        <v>29.0</v>
      </c>
      <c r="D422" s="64">
        <v>52.117842</v>
      </c>
      <c r="E422" s="64">
        <v>5.387265</v>
      </c>
      <c r="F422" s="78" t="s">
        <v>100</v>
      </c>
      <c r="G422" s="78" t="s">
        <v>101</v>
      </c>
      <c r="H422" s="66" t="str">
        <f t="shared" si="41"/>
        <v>raftjen</v>
      </c>
      <c r="I422" s="79" t="s">
        <v>1005</v>
      </c>
      <c r="J422" s="80"/>
      <c r="K422" s="78" t="b">
        <v>1</v>
      </c>
      <c r="L422" s="66" t="str">
        <f t="shared" si="2"/>
        <v/>
      </c>
      <c r="M422" s="81" t="str">
        <f>IFERROR(__xludf.DUMMYFUNCTION("IF(W422=1,IFERROR(IMPORTXML(I422, ""//p[@class='status-date']""), ""Not deployed""),"""")"),"")</f>
        <v/>
      </c>
      <c r="N422" s="82"/>
      <c r="O422" s="66"/>
      <c r="P422" s="66"/>
      <c r="Q422" s="66"/>
      <c r="R422" s="83" t="str">
        <f t="shared" si="25"/>
        <v/>
      </c>
      <c r="S422" s="84" t="str">
        <f t="shared" si="4"/>
        <v/>
      </c>
      <c r="T422" s="85"/>
      <c r="U422" s="82">
        <f t="shared" si="5"/>
        <v>0</v>
      </c>
      <c r="V422" s="66">
        <f t="shared" si="6"/>
        <v>0</v>
      </c>
      <c r="W422" s="81">
        <f t="shared" si="7"/>
        <v>0</v>
      </c>
      <c r="X422" s="82" t="str">
        <f t="shared" si="8"/>
        <v>raftjen</v>
      </c>
      <c r="Y422" s="86" t="str">
        <f t="shared" si="9"/>
        <v>https://www.munzee.com/m/raftjen/7639/</v>
      </c>
    </row>
    <row r="423" hidden="1" outlineLevel="1">
      <c r="A423" s="76" t="s">
        <v>1006</v>
      </c>
      <c r="B423" s="77">
        <v>33.0</v>
      </c>
      <c r="C423" s="77">
        <v>30.0</v>
      </c>
      <c r="D423" s="64">
        <v>52.117842</v>
      </c>
      <c r="E423" s="64">
        <v>5.387499</v>
      </c>
      <c r="F423" s="78" t="s">
        <v>100</v>
      </c>
      <c r="G423" s="78" t="s">
        <v>101</v>
      </c>
      <c r="H423" s="78" t="s">
        <v>1007</v>
      </c>
      <c r="I423" s="79" t="s">
        <v>1008</v>
      </c>
      <c r="J423" s="80"/>
      <c r="K423" s="78" t="b">
        <v>1</v>
      </c>
      <c r="L423" s="66" t="str">
        <f t="shared" si="2"/>
        <v/>
      </c>
      <c r="M423" s="81" t="str">
        <f>IFERROR(__xludf.DUMMYFUNCTION("IF(W423=1,IFERROR(IMPORTXML(I423, ""//p[@class='status-date']""), ""Not deployed""),"""")"),"")</f>
        <v/>
      </c>
      <c r="N423" s="82"/>
      <c r="O423" s="66"/>
      <c r="P423" s="66"/>
      <c r="Q423" s="66"/>
      <c r="R423" s="83" t="str">
        <f t="shared" si="25"/>
        <v/>
      </c>
      <c r="S423" s="84" t="str">
        <f t="shared" si="4"/>
        <v/>
      </c>
      <c r="T423" s="85"/>
      <c r="U423" s="82">
        <f t="shared" si="5"/>
        <v>0</v>
      </c>
      <c r="V423" s="66">
        <f t="shared" si="6"/>
        <v>0</v>
      </c>
      <c r="W423" s="81">
        <f t="shared" si="7"/>
        <v>0</v>
      </c>
      <c r="X423" s="82" t="str">
        <f t="shared" si="8"/>
        <v>Vezliukai</v>
      </c>
      <c r="Y423" s="86" t="str">
        <f t="shared" si="9"/>
        <v>https://www.munzee.com/m/Vezliukai/1790/</v>
      </c>
    </row>
    <row r="424" hidden="1" outlineLevel="1">
      <c r="A424" s="76" t="s">
        <v>1009</v>
      </c>
      <c r="B424" s="77">
        <v>33.0</v>
      </c>
      <c r="C424" s="77">
        <v>31.0</v>
      </c>
      <c r="D424" s="64">
        <v>52.117842</v>
      </c>
      <c r="E424" s="64">
        <v>5.387733</v>
      </c>
      <c r="F424" s="78" t="s">
        <v>100</v>
      </c>
      <c r="G424" s="78" t="s">
        <v>101</v>
      </c>
      <c r="H424" s="78" t="s">
        <v>1010</v>
      </c>
      <c r="I424" s="79" t="s">
        <v>1011</v>
      </c>
      <c r="J424" s="80"/>
      <c r="K424" s="78" t="b">
        <v>1</v>
      </c>
      <c r="L424" s="66" t="str">
        <f t="shared" si="2"/>
        <v/>
      </c>
      <c r="M424" s="81" t="str">
        <f>IFERROR(__xludf.DUMMYFUNCTION("IF(W424=1,IFERROR(IMPORTXML(I424, ""//p[@class='status-date']""), ""Not deployed""),"""")"),"")</f>
        <v/>
      </c>
      <c r="N424" s="82"/>
      <c r="O424" s="66"/>
      <c r="P424" s="66"/>
      <c r="Q424" s="66"/>
      <c r="R424" s="83" t="str">
        <f t="shared" si="25"/>
        <v/>
      </c>
      <c r="S424" s="84" t="str">
        <f t="shared" si="4"/>
        <v/>
      </c>
      <c r="T424" s="85"/>
      <c r="U424" s="82">
        <f t="shared" si="5"/>
        <v>0</v>
      </c>
      <c r="V424" s="66">
        <f t="shared" si="6"/>
        <v>0</v>
      </c>
      <c r="W424" s="81">
        <f t="shared" si="7"/>
        <v>0</v>
      </c>
      <c r="X424" s="82" t="str">
        <f t="shared" si="8"/>
        <v>Vanduo62</v>
      </c>
      <c r="Y424" s="86" t="str">
        <f t="shared" si="9"/>
        <v>https://www.munzee.com/m/Vanduo62/654/</v>
      </c>
    </row>
    <row r="425" hidden="1" outlineLevel="1">
      <c r="A425" s="76" t="s">
        <v>1012</v>
      </c>
      <c r="B425" s="77">
        <v>34.0</v>
      </c>
      <c r="C425" s="77">
        <v>11.0</v>
      </c>
      <c r="D425" s="64">
        <v>52.117698</v>
      </c>
      <c r="E425" s="64">
        <v>5.383052</v>
      </c>
      <c r="F425" s="78" t="s">
        <v>100</v>
      </c>
      <c r="G425" s="78" t="s">
        <v>101</v>
      </c>
      <c r="H425" s="66" t="str">
        <f t="shared" ref="H425:H426" si="42">IF(ISTEXT(X425),X425,"")</f>
        <v>LonelyWalker</v>
      </c>
      <c r="I425" s="79" t="s">
        <v>1013</v>
      </c>
      <c r="J425" s="80"/>
      <c r="K425" s="78" t="b">
        <v>1</v>
      </c>
      <c r="L425" s="66" t="str">
        <f t="shared" si="2"/>
        <v/>
      </c>
      <c r="M425" s="81" t="str">
        <f>IFERROR(__xludf.DUMMYFUNCTION("IF(W425=1,IFERROR(IMPORTXML(I425, ""//p[@class='status-date']""), ""Not deployed""),"""")"),"")</f>
        <v/>
      </c>
      <c r="N425" s="82"/>
      <c r="O425" s="66"/>
      <c r="P425" s="66"/>
      <c r="Q425" s="66"/>
      <c r="R425" s="83" t="str">
        <f t="shared" si="25"/>
        <v/>
      </c>
      <c r="S425" s="84" t="str">
        <f t="shared" si="4"/>
        <v/>
      </c>
      <c r="T425" s="85"/>
      <c r="U425" s="82">
        <f t="shared" si="5"/>
        <v>0</v>
      </c>
      <c r="V425" s="66">
        <f t="shared" si="6"/>
        <v>0</v>
      </c>
      <c r="W425" s="81">
        <f t="shared" si="7"/>
        <v>0</v>
      </c>
      <c r="X425" s="82" t="str">
        <f t="shared" si="8"/>
        <v>LonelyWalker</v>
      </c>
      <c r="Y425" s="86" t="str">
        <f t="shared" si="9"/>
        <v>https://www.munzee.com/m/LonelyWalker/888/</v>
      </c>
    </row>
    <row r="426" hidden="1" outlineLevel="1">
      <c r="A426" s="76" t="s">
        <v>1014</v>
      </c>
      <c r="B426" s="77">
        <v>34.0</v>
      </c>
      <c r="C426" s="77">
        <v>12.0</v>
      </c>
      <c r="D426" s="64">
        <v>52.117698</v>
      </c>
      <c r="E426" s="64">
        <v>5.383286</v>
      </c>
      <c r="F426" s="78" t="s">
        <v>51</v>
      </c>
      <c r="G426" s="78" t="s">
        <v>52</v>
      </c>
      <c r="H426" s="66" t="str">
        <f t="shared" si="42"/>
        <v>Ingetje</v>
      </c>
      <c r="I426" s="94" t="s">
        <v>1015</v>
      </c>
      <c r="J426" s="88"/>
      <c r="K426" s="78" t="b">
        <v>1</v>
      </c>
      <c r="L426" s="66" t="str">
        <f t="shared" si="2"/>
        <v/>
      </c>
      <c r="M426" s="81" t="str">
        <f>IFERROR(__xludf.DUMMYFUNCTION("IF(W426=1,IFERROR(IMPORTXML(I426, ""//p[@class='status-date']""), ""Not deployed""),"""")"),"")</f>
        <v/>
      </c>
      <c r="N426" s="82"/>
      <c r="O426" s="66"/>
      <c r="P426" s="66"/>
      <c r="Q426" s="66"/>
      <c r="R426" s="83" t="str">
        <f t="shared" si="25"/>
        <v/>
      </c>
      <c r="S426" s="84" t="str">
        <f t="shared" si="4"/>
        <v/>
      </c>
      <c r="T426" s="85"/>
      <c r="U426" s="82">
        <f t="shared" si="5"/>
        <v>0</v>
      </c>
      <c r="V426" s="66">
        <f t="shared" si="6"/>
        <v>0</v>
      </c>
      <c r="W426" s="81">
        <f t="shared" si="7"/>
        <v>0</v>
      </c>
      <c r="X426" s="82" t="str">
        <f t="shared" si="8"/>
        <v>Ingetje</v>
      </c>
      <c r="Y426" s="86" t="str">
        <f t="shared" si="9"/>
        <v>https://www.munzee.com/m/Ingetje/4015/</v>
      </c>
    </row>
    <row r="427" hidden="1" outlineLevel="1">
      <c r="A427" s="76" t="s">
        <v>1016</v>
      </c>
      <c r="B427" s="77">
        <v>34.0</v>
      </c>
      <c r="C427" s="77">
        <v>13.0</v>
      </c>
      <c r="D427" s="64">
        <v>52.117698</v>
      </c>
      <c r="E427" s="64">
        <v>5.38352</v>
      </c>
      <c r="F427" s="78" t="s">
        <v>125</v>
      </c>
      <c r="G427" s="78" t="s">
        <v>126</v>
      </c>
      <c r="H427" s="78" t="s">
        <v>1017</v>
      </c>
      <c r="I427" s="79" t="s">
        <v>1018</v>
      </c>
      <c r="J427" s="88"/>
      <c r="K427" s="78" t="b">
        <v>1</v>
      </c>
      <c r="L427" s="66" t="str">
        <f t="shared" si="2"/>
        <v/>
      </c>
      <c r="M427" s="81" t="str">
        <f>IFERROR(__xludf.DUMMYFUNCTION("IF(W427=1,IFERROR(IMPORTXML(I427, ""//p[@class='status-date']""), ""Not deployed""),"""")"),"")</f>
        <v/>
      </c>
      <c r="N427" s="82"/>
      <c r="O427" s="66"/>
      <c r="P427" s="66"/>
      <c r="Q427" s="66"/>
      <c r="R427" s="83" t="str">
        <f t="shared" si="25"/>
        <v/>
      </c>
      <c r="S427" s="84" t="str">
        <f t="shared" si="4"/>
        <v/>
      </c>
      <c r="T427" s="85"/>
      <c r="U427" s="82">
        <f t="shared" si="5"/>
        <v>0</v>
      </c>
      <c r="V427" s="66">
        <f t="shared" si="6"/>
        <v>0</v>
      </c>
      <c r="W427" s="81">
        <f t="shared" si="7"/>
        <v>0</v>
      </c>
      <c r="X427" s="82" t="str">
        <f t="shared" si="8"/>
        <v>Vonney</v>
      </c>
      <c r="Y427" s="86" t="str">
        <f t="shared" si="9"/>
        <v>https://www.munzee.com/m/Vonney/3387/</v>
      </c>
    </row>
    <row r="428" hidden="1" outlineLevel="1">
      <c r="A428" s="76" t="s">
        <v>1019</v>
      </c>
      <c r="B428" s="77">
        <v>34.0</v>
      </c>
      <c r="C428" s="77">
        <v>14.0</v>
      </c>
      <c r="D428" s="64">
        <v>52.117698</v>
      </c>
      <c r="E428" s="64">
        <v>5.383754</v>
      </c>
      <c r="F428" s="78" t="s">
        <v>125</v>
      </c>
      <c r="G428" s="78" t="s">
        <v>126</v>
      </c>
      <c r="H428" s="78" t="s">
        <v>1020</v>
      </c>
      <c r="I428" s="94" t="s">
        <v>1021</v>
      </c>
      <c r="J428" s="80"/>
      <c r="K428" s="78" t="b">
        <v>1</v>
      </c>
      <c r="L428" s="66" t="str">
        <f t="shared" si="2"/>
        <v/>
      </c>
      <c r="M428" s="81" t="str">
        <f>IFERROR(__xludf.DUMMYFUNCTION("IF(W428=1,IFERROR(IMPORTXML(I428, ""//p[@class='status-date']""), ""Not deployed""),"""")"),"")</f>
        <v/>
      </c>
      <c r="N428" s="82"/>
      <c r="O428" s="66"/>
      <c r="P428" s="66"/>
      <c r="Q428" s="66"/>
      <c r="R428" s="83" t="str">
        <f t="shared" si="25"/>
        <v/>
      </c>
      <c r="S428" s="84" t="str">
        <f t="shared" si="4"/>
        <v/>
      </c>
      <c r="T428" s="85"/>
      <c r="U428" s="82">
        <f t="shared" si="5"/>
        <v>0</v>
      </c>
      <c r="V428" s="66">
        <f t="shared" si="6"/>
        <v>0</v>
      </c>
      <c r="W428" s="81">
        <f t="shared" si="7"/>
        <v>0</v>
      </c>
      <c r="X428" s="82" t="str">
        <f t="shared" si="8"/>
        <v>Tossie</v>
      </c>
      <c r="Y428" s="86" t="str">
        <f t="shared" si="9"/>
        <v>https://www.munzee.com/m/Tossie/11894/</v>
      </c>
    </row>
    <row r="429" hidden="1" outlineLevel="1">
      <c r="A429" s="76" t="s">
        <v>1022</v>
      </c>
      <c r="B429" s="77">
        <v>34.0</v>
      </c>
      <c r="C429" s="77">
        <v>15.0</v>
      </c>
      <c r="D429" s="64">
        <v>52.117698</v>
      </c>
      <c r="E429" s="64">
        <v>5.383988</v>
      </c>
      <c r="F429" s="78" t="s">
        <v>125</v>
      </c>
      <c r="G429" s="78" t="s">
        <v>126</v>
      </c>
      <c r="H429" s="78" t="s">
        <v>1023</v>
      </c>
      <c r="I429" s="94" t="s">
        <v>1024</v>
      </c>
      <c r="J429" s="80"/>
      <c r="K429" s="78" t="b">
        <v>1</v>
      </c>
      <c r="L429" s="66" t="str">
        <f t="shared" si="2"/>
        <v/>
      </c>
      <c r="M429" s="81" t="str">
        <f>IFERROR(__xludf.DUMMYFUNCTION("IF(W429=1,IFERROR(IMPORTXML(I429, ""//p[@class='status-date']""), ""Not deployed""),"""")"),"")</f>
        <v/>
      </c>
      <c r="N429" s="82"/>
      <c r="O429" s="66"/>
      <c r="P429" s="66"/>
      <c r="Q429" s="66"/>
      <c r="R429" s="83" t="str">
        <f t="shared" si="25"/>
        <v/>
      </c>
      <c r="S429" s="84" t="str">
        <f t="shared" si="4"/>
        <v/>
      </c>
      <c r="T429" s="85"/>
      <c r="U429" s="82">
        <f t="shared" si="5"/>
        <v>0</v>
      </c>
      <c r="V429" s="66">
        <f t="shared" si="6"/>
        <v>0</v>
      </c>
      <c r="W429" s="81">
        <f t="shared" si="7"/>
        <v>0</v>
      </c>
      <c r="X429" s="82" t="str">
        <f t="shared" si="8"/>
        <v>DiSaRu</v>
      </c>
      <c r="Y429" s="86" t="str">
        <f t="shared" si="9"/>
        <v>https://www.munzee.com/m/DiSaRu/6728/</v>
      </c>
    </row>
    <row r="430" hidden="1" outlineLevel="1">
      <c r="A430" s="76" t="s">
        <v>1025</v>
      </c>
      <c r="B430" s="77">
        <v>34.0</v>
      </c>
      <c r="C430" s="77">
        <v>16.0</v>
      </c>
      <c r="D430" s="64">
        <v>52.117698</v>
      </c>
      <c r="E430" s="64">
        <v>5.384222</v>
      </c>
      <c r="F430" s="78" t="s">
        <v>125</v>
      </c>
      <c r="G430" s="78" t="s">
        <v>126</v>
      </c>
      <c r="H430" s="66" t="str">
        <f>IF(ISTEXT(X430),X430,"")</f>
        <v>LonelyWalker</v>
      </c>
      <c r="I430" s="79" t="s">
        <v>1026</v>
      </c>
      <c r="J430" s="80"/>
      <c r="K430" s="78" t="b">
        <v>1</v>
      </c>
      <c r="L430" s="66" t="str">
        <f t="shared" si="2"/>
        <v/>
      </c>
      <c r="M430" s="81" t="str">
        <f>IFERROR(__xludf.DUMMYFUNCTION("IF(W430=1,IFERROR(IMPORTXML(I430, ""//p[@class='status-date']""), ""Not deployed""),"""")"),"")</f>
        <v/>
      </c>
      <c r="N430" s="82"/>
      <c r="O430" s="66"/>
      <c r="P430" s="66"/>
      <c r="Q430" s="66"/>
      <c r="R430" s="83" t="str">
        <f t="shared" si="25"/>
        <v/>
      </c>
      <c r="S430" s="84" t="str">
        <f t="shared" si="4"/>
        <v/>
      </c>
      <c r="T430" s="85"/>
      <c r="U430" s="82">
        <f t="shared" si="5"/>
        <v>0</v>
      </c>
      <c r="V430" s="66">
        <f t="shared" si="6"/>
        <v>0</v>
      </c>
      <c r="W430" s="81">
        <f t="shared" si="7"/>
        <v>0</v>
      </c>
      <c r="X430" s="82" t="str">
        <f t="shared" si="8"/>
        <v>LonelyWalker</v>
      </c>
      <c r="Y430" s="86" t="str">
        <f t="shared" si="9"/>
        <v>https://www.munzee.com/m/LonelyWalker/881/</v>
      </c>
    </row>
    <row r="431" hidden="1" outlineLevel="1">
      <c r="A431" s="76" t="s">
        <v>1027</v>
      </c>
      <c r="B431" s="77">
        <v>34.0</v>
      </c>
      <c r="C431" s="77">
        <v>17.0</v>
      </c>
      <c r="D431" s="64">
        <v>52.117698</v>
      </c>
      <c r="E431" s="64">
        <v>5.384456</v>
      </c>
      <c r="F431" s="78" t="s">
        <v>70</v>
      </c>
      <c r="G431" s="78" t="s">
        <v>71</v>
      </c>
      <c r="H431" s="78" t="s">
        <v>1028</v>
      </c>
      <c r="I431" s="79" t="s">
        <v>1029</v>
      </c>
      <c r="J431" s="80"/>
      <c r="K431" s="78" t="b">
        <v>1</v>
      </c>
      <c r="L431" s="66" t="str">
        <f t="shared" si="2"/>
        <v/>
      </c>
      <c r="M431" s="81" t="str">
        <f>IFERROR(__xludf.DUMMYFUNCTION("IF(W431=1,IFERROR(IMPORTXML(I431, ""//p[@class='status-date']""), ""Not deployed""),"""")"),"")</f>
        <v/>
      </c>
      <c r="N431" s="82"/>
      <c r="O431" s="66"/>
      <c r="P431" s="66"/>
      <c r="Q431" s="66"/>
      <c r="R431" s="83" t="str">
        <f t="shared" si="25"/>
        <v/>
      </c>
      <c r="S431" s="84" t="str">
        <f t="shared" si="4"/>
        <v/>
      </c>
      <c r="T431" s="85"/>
      <c r="U431" s="82">
        <f t="shared" si="5"/>
        <v>0</v>
      </c>
      <c r="V431" s="66">
        <f t="shared" si="6"/>
        <v>0</v>
      </c>
      <c r="W431" s="81">
        <f t="shared" si="7"/>
        <v>0</v>
      </c>
      <c r="X431" s="82" t="str">
        <f t="shared" si="8"/>
        <v>TeamBlackie</v>
      </c>
      <c r="Y431" s="86" t="str">
        <f t="shared" si="9"/>
        <v>https://www.munzee.com/m/TeamBlackie/1084/</v>
      </c>
    </row>
    <row r="432" hidden="1" outlineLevel="1">
      <c r="A432" s="76" t="s">
        <v>1030</v>
      </c>
      <c r="B432" s="77">
        <v>34.0</v>
      </c>
      <c r="C432" s="77">
        <v>18.0</v>
      </c>
      <c r="D432" s="64">
        <v>52.117698</v>
      </c>
      <c r="E432" s="64">
        <v>5.38469</v>
      </c>
      <c r="F432" s="78" t="s">
        <v>70</v>
      </c>
      <c r="G432" s="78" t="s">
        <v>71</v>
      </c>
      <c r="H432" s="66" t="str">
        <f>IF(ISTEXT(X432),X432,"")</f>
        <v>Liekensboys</v>
      </c>
      <c r="I432" s="79" t="s">
        <v>1031</v>
      </c>
      <c r="J432" s="80"/>
      <c r="K432" s="78" t="b">
        <v>1</v>
      </c>
      <c r="L432" s="66" t="str">
        <f t="shared" si="2"/>
        <v/>
      </c>
      <c r="M432" s="81" t="str">
        <f>IFERROR(__xludf.DUMMYFUNCTION("IF(W432=1,IFERROR(IMPORTXML(I432, ""//p[@class='status-date']""), ""Not deployed""),"""")"),"")</f>
        <v/>
      </c>
      <c r="N432" s="82"/>
      <c r="O432" s="66"/>
      <c r="P432" s="66"/>
      <c r="Q432" s="66"/>
      <c r="R432" s="83" t="str">
        <f t="shared" si="25"/>
        <v/>
      </c>
      <c r="S432" s="84" t="str">
        <f t="shared" si="4"/>
        <v/>
      </c>
      <c r="T432" s="85"/>
      <c r="U432" s="82">
        <f t="shared" si="5"/>
        <v>0</v>
      </c>
      <c r="V432" s="66">
        <f t="shared" si="6"/>
        <v>0</v>
      </c>
      <c r="W432" s="81">
        <f t="shared" si="7"/>
        <v>0</v>
      </c>
      <c r="X432" s="82" t="str">
        <f t="shared" si="8"/>
        <v>Liekensboys</v>
      </c>
      <c r="Y432" s="86" t="str">
        <f t="shared" si="9"/>
        <v>https://www.munzee.com/m/Liekensboys/859/</v>
      </c>
    </row>
    <row r="433" hidden="1" outlineLevel="1">
      <c r="A433" s="76" t="s">
        <v>1032</v>
      </c>
      <c r="B433" s="77">
        <v>34.0</v>
      </c>
      <c r="C433" s="77">
        <v>19.0</v>
      </c>
      <c r="D433" s="64">
        <v>52.117698</v>
      </c>
      <c r="E433" s="64">
        <v>5.384924</v>
      </c>
      <c r="F433" s="78" t="s">
        <v>78</v>
      </c>
      <c r="G433" s="78" t="s">
        <v>79</v>
      </c>
      <c r="H433" s="78" t="s">
        <v>204</v>
      </c>
      <c r="I433" s="94" t="s">
        <v>1033</v>
      </c>
      <c r="J433" s="80"/>
      <c r="K433" s="78" t="b">
        <v>1</v>
      </c>
      <c r="L433" s="66" t="str">
        <f t="shared" si="2"/>
        <v/>
      </c>
      <c r="M433" s="81" t="str">
        <f>IFERROR(__xludf.DUMMYFUNCTION("IF(W433=1,IFERROR(IMPORTXML(I433, ""//p[@class='status-date']""), ""Not deployed""),"""")"),"")</f>
        <v/>
      </c>
      <c r="N433" s="82"/>
      <c r="O433" s="66"/>
      <c r="P433" s="66"/>
      <c r="Q433" s="66"/>
      <c r="R433" s="83" t="str">
        <f t="shared" si="25"/>
        <v/>
      </c>
      <c r="S433" s="84" t="str">
        <f t="shared" si="4"/>
        <v/>
      </c>
      <c r="T433" s="85"/>
      <c r="U433" s="82">
        <f t="shared" si="5"/>
        <v>0</v>
      </c>
      <c r="V433" s="66">
        <f t="shared" si="6"/>
        <v>0</v>
      </c>
      <c r="W433" s="81">
        <f t="shared" si="7"/>
        <v>0</v>
      </c>
      <c r="X433" s="82" t="str">
        <f t="shared" si="8"/>
        <v>Cleland</v>
      </c>
      <c r="Y433" s="86" t="str">
        <f t="shared" si="9"/>
        <v>https://www.munzee.com/m/Cleland/1617/</v>
      </c>
    </row>
    <row r="434" hidden="1" outlineLevel="1">
      <c r="A434" s="76" t="s">
        <v>1034</v>
      </c>
      <c r="B434" s="77">
        <v>34.0</v>
      </c>
      <c r="C434" s="77">
        <v>20.0</v>
      </c>
      <c r="D434" s="64">
        <v>52.117698</v>
      </c>
      <c r="E434" s="64">
        <v>5.385159</v>
      </c>
      <c r="F434" s="78" t="s">
        <v>78</v>
      </c>
      <c r="G434" s="78" t="s">
        <v>79</v>
      </c>
      <c r="H434" s="78" t="s">
        <v>836</v>
      </c>
      <c r="I434" s="79" t="s">
        <v>1035</v>
      </c>
      <c r="J434" s="80"/>
      <c r="K434" s="78" t="b">
        <v>1</v>
      </c>
      <c r="L434" s="66" t="str">
        <f t="shared" si="2"/>
        <v/>
      </c>
      <c r="M434" s="81" t="str">
        <f>IFERROR(__xludf.DUMMYFUNCTION("IF(W434=1,IFERROR(IMPORTXML(I434, ""//p[@class='status-date']""), ""Not deployed""),"""")"),"")</f>
        <v/>
      </c>
      <c r="N434" s="82"/>
      <c r="O434" s="66"/>
      <c r="P434" s="66"/>
      <c r="Q434" s="66"/>
      <c r="R434" s="83" t="str">
        <f t="shared" si="25"/>
        <v/>
      </c>
      <c r="S434" s="84" t="str">
        <f t="shared" si="4"/>
        <v/>
      </c>
      <c r="T434" s="85"/>
      <c r="U434" s="82">
        <f t="shared" si="5"/>
        <v>0</v>
      </c>
      <c r="V434" s="66">
        <f t="shared" si="6"/>
        <v>0</v>
      </c>
      <c r="W434" s="81">
        <f t="shared" si="7"/>
        <v>0</v>
      </c>
      <c r="X434" s="82" t="str">
        <f t="shared" si="8"/>
        <v>Johnsjen</v>
      </c>
      <c r="Y434" s="86" t="str">
        <f t="shared" si="9"/>
        <v>https://www.munzee.com/m/Johnsjen/4290/</v>
      </c>
    </row>
    <row r="435" hidden="1" outlineLevel="1">
      <c r="A435" s="76" t="s">
        <v>1036</v>
      </c>
      <c r="B435" s="77">
        <v>34.0</v>
      </c>
      <c r="C435" s="77">
        <v>21.0</v>
      </c>
      <c r="D435" s="64">
        <v>52.117698</v>
      </c>
      <c r="E435" s="64">
        <v>5.385393</v>
      </c>
      <c r="F435" s="78" t="s">
        <v>125</v>
      </c>
      <c r="G435" s="78" t="s">
        <v>126</v>
      </c>
      <c r="H435" s="66" t="str">
        <f>IF(ISTEXT(X435),X435,"")</f>
        <v>LonelyWalker</v>
      </c>
      <c r="I435" s="79" t="s">
        <v>1037</v>
      </c>
      <c r="J435" s="80"/>
      <c r="K435" s="78" t="b">
        <v>1</v>
      </c>
      <c r="L435" s="66" t="str">
        <f t="shared" si="2"/>
        <v/>
      </c>
      <c r="M435" s="81" t="str">
        <f>IFERROR(__xludf.DUMMYFUNCTION("IF(W435=1,IFERROR(IMPORTXML(I435, ""//p[@class='status-date']""), ""Not deployed""),"""")"),"")</f>
        <v/>
      </c>
      <c r="N435" s="82"/>
      <c r="O435" s="66"/>
      <c r="P435" s="66"/>
      <c r="Q435" s="66"/>
      <c r="R435" s="83" t="str">
        <f t="shared" si="25"/>
        <v/>
      </c>
      <c r="S435" s="84" t="str">
        <f t="shared" si="4"/>
        <v/>
      </c>
      <c r="T435" s="85"/>
      <c r="U435" s="82">
        <f t="shared" si="5"/>
        <v>0</v>
      </c>
      <c r="V435" s="66">
        <f t="shared" si="6"/>
        <v>0</v>
      </c>
      <c r="W435" s="81">
        <f t="shared" si="7"/>
        <v>0</v>
      </c>
      <c r="X435" s="82" t="str">
        <f t="shared" si="8"/>
        <v>LonelyWalker</v>
      </c>
      <c r="Y435" s="86" t="str">
        <f t="shared" si="9"/>
        <v>https://www.munzee.com/m/LonelyWalker/880/</v>
      </c>
    </row>
    <row r="436" hidden="1" outlineLevel="1">
      <c r="A436" s="76" t="s">
        <v>1038</v>
      </c>
      <c r="B436" s="77">
        <v>34.0</v>
      </c>
      <c r="C436" s="77">
        <v>22.0</v>
      </c>
      <c r="D436" s="64">
        <v>52.117698</v>
      </c>
      <c r="E436" s="64">
        <v>5.385627</v>
      </c>
      <c r="F436" s="78" t="s">
        <v>125</v>
      </c>
      <c r="G436" s="78" t="s">
        <v>126</v>
      </c>
      <c r="H436" s="78" t="s">
        <v>1039</v>
      </c>
      <c r="I436" s="79" t="s">
        <v>1040</v>
      </c>
      <c r="J436" s="80"/>
      <c r="K436" s="78" t="b">
        <v>1</v>
      </c>
      <c r="L436" s="66" t="str">
        <f t="shared" si="2"/>
        <v/>
      </c>
      <c r="M436" s="81" t="str">
        <f>IFERROR(__xludf.DUMMYFUNCTION("IF(W436=1,IFERROR(IMPORTXML(I436, ""//p[@class='status-date']""), ""Not deployed""),"""")"),"")</f>
        <v/>
      </c>
      <c r="N436" s="82"/>
      <c r="O436" s="66"/>
      <c r="P436" s="66"/>
      <c r="Q436" s="66"/>
      <c r="R436" s="83" t="str">
        <f t="shared" si="25"/>
        <v/>
      </c>
      <c r="S436" s="84" t="str">
        <f t="shared" si="4"/>
        <v/>
      </c>
      <c r="T436" s="85"/>
      <c r="U436" s="82">
        <f t="shared" si="5"/>
        <v>0</v>
      </c>
      <c r="V436" s="66">
        <f t="shared" si="6"/>
        <v>0</v>
      </c>
      <c r="W436" s="81">
        <f t="shared" si="7"/>
        <v>0</v>
      </c>
      <c r="X436" s="82" t="str">
        <f t="shared" si="8"/>
        <v>sythe</v>
      </c>
      <c r="Y436" s="86" t="str">
        <f t="shared" si="9"/>
        <v>http://munzee.com/m/rgforsythe/19439/</v>
      </c>
    </row>
    <row r="437" hidden="1" outlineLevel="1">
      <c r="A437" s="76" t="s">
        <v>1041</v>
      </c>
      <c r="B437" s="77">
        <v>34.0</v>
      </c>
      <c r="C437" s="77">
        <v>23.0</v>
      </c>
      <c r="D437" s="64">
        <v>52.117698</v>
      </c>
      <c r="E437" s="64">
        <v>5.385861</v>
      </c>
      <c r="F437" s="78" t="s">
        <v>100</v>
      </c>
      <c r="G437" s="78" t="s">
        <v>101</v>
      </c>
      <c r="H437" s="78" t="s">
        <v>1042</v>
      </c>
      <c r="I437" s="79" t="s">
        <v>1043</v>
      </c>
      <c r="J437" s="80"/>
      <c r="K437" s="78" t="b">
        <v>1</v>
      </c>
      <c r="L437" s="66" t="str">
        <f t="shared" si="2"/>
        <v/>
      </c>
      <c r="M437" s="81" t="str">
        <f>IFERROR(__xludf.DUMMYFUNCTION("IF(W437=1,IFERROR(IMPORTXML(I437, ""//p[@class='status-date']""), ""Not deployed""),"""")"),"")</f>
        <v/>
      </c>
      <c r="N437" s="82"/>
      <c r="O437" s="66"/>
      <c r="P437" s="66"/>
      <c r="Q437" s="66"/>
      <c r="R437" s="83" t="str">
        <f t="shared" si="25"/>
        <v/>
      </c>
      <c r="S437" s="84" t="str">
        <f t="shared" si="4"/>
        <v/>
      </c>
      <c r="T437" s="85"/>
      <c r="U437" s="82">
        <f t="shared" si="5"/>
        <v>0</v>
      </c>
      <c r="V437" s="66">
        <f t="shared" si="6"/>
        <v>0</v>
      </c>
      <c r="W437" s="81">
        <f t="shared" si="7"/>
        <v>0</v>
      </c>
      <c r="X437" s="82" t="str">
        <f t="shared" si="8"/>
        <v>GeodudeDK</v>
      </c>
      <c r="Y437" s="86" t="str">
        <f t="shared" si="9"/>
        <v>https://www.munzee.com/m/GeodudeDK/10957/</v>
      </c>
    </row>
    <row r="438" hidden="1" outlineLevel="1">
      <c r="A438" s="76" t="s">
        <v>1044</v>
      </c>
      <c r="B438" s="77">
        <v>34.0</v>
      </c>
      <c r="C438" s="77">
        <v>24.0</v>
      </c>
      <c r="D438" s="64">
        <v>52.117698</v>
      </c>
      <c r="E438" s="64">
        <v>5.386095</v>
      </c>
      <c r="F438" s="78" t="s">
        <v>100</v>
      </c>
      <c r="G438" s="78" t="s">
        <v>101</v>
      </c>
      <c r="H438" s="78" t="s">
        <v>323</v>
      </c>
      <c r="I438" s="79" t="s">
        <v>1045</v>
      </c>
      <c r="J438" s="80"/>
      <c r="K438" s="78" t="b">
        <v>1</v>
      </c>
      <c r="L438" s="66" t="str">
        <f t="shared" si="2"/>
        <v/>
      </c>
      <c r="M438" s="81" t="str">
        <f>IFERROR(__xludf.DUMMYFUNCTION("IF(W438=1,IFERROR(IMPORTXML(I438, ""//p[@class='status-date']""), ""Not deployed""),"""")"),"")</f>
        <v/>
      </c>
      <c r="N438" s="82"/>
      <c r="O438" s="66"/>
      <c r="P438" s="66"/>
      <c r="Q438" s="66"/>
      <c r="R438" s="83" t="str">
        <f t="shared" si="25"/>
        <v/>
      </c>
      <c r="S438" s="84" t="str">
        <f t="shared" si="4"/>
        <v/>
      </c>
      <c r="T438" s="85"/>
      <c r="U438" s="82">
        <f t="shared" si="5"/>
        <v>0</v>
      </c>
      <c r="V438" s="66">
        <f t="shared" si="6"/>
        <v>0</v>
      </c>
      <c r="W438" s="81">
        <f t="shared" si="7"/>
        <v>0</v>
      </c>
      <c r="X438" s="82" t="str">
        <f t="shared" si="8"/>
        <v>theLuckyFinders</v>
      </c>
      <c r="Y438" s="86" t="str">
        <f t="shared" si="9"/>
        <v>https://www.munzee.com/m/theLuckyFinders/3926/</v>
      </c>
    </row>
    <row r="439" hidden="1" outlineLevel="1">
      <c r="A439" s="76" t="s">
        <v>1046</v>
      </c>
      <c r="B439" s="77">
        <v>35.0</v>
      </c>
      <c r="C439" s="77">
        <v>13.0</v>
      </c>
      <c r="D439" s="64">
        <v>52.117554</v>
      </c>
      <c r="E439" s="64">
        <v>5.38352</v>
      </c>
      <c r="F439" s="78" t="s">
        <v>100</v>
      </c>
      <c r="G439" s="78" t="s">
        <v>101</v>
      </c>
      <c r="H439" s="66" t="str">
        <f>IF(X439=" ",X439,'Flamingo @ DenTreek'!H437)</f>
        <v>bordentaxi</v>
      </c>
      <c r="I439" s="79" t="str">
        <f>'Flamingo @ DenTreek'!I437</f>
        <v>https://www.munzee.com/m/bordentaxi/11434/</v>
      </c>
      <c r="J439" s="80"/>
      <c r="K439" s="78" t="b">
        <v>1</v>
      </c>
      <c r="L439" s="66" t="str">
        <f t="shared" si="2"/>
        <v/>
      </c>
      <c r="M439" s="81" t="str">
        <f>IFERROR(__xludf.DUMMYFUNCTION("IF(W439=1,IFERROR(IMPORTXML(I439, ""//p[@class='status-date']""), ""Not deployed""),"""")"),"")</f>
        <v/>
      </c>
      <c r="N439" s="82"/>
      <c r="O439" s="66"/>
      <c r="P439" s="66"/>
      <c r="Q439" s="66"/>
      <c r="R439" s="83" t="str">
        <f t="shared" si="25"/>
        <v/>
      </c>
      <c r="S439" s="84" t="str">
        <f t="shared" si="4"/>
        <v/>
      </c>
      <c r="T439" s="85"/>
      <c r="U439" s="82">
        <f t="shared" si="5"/>
        <v>0</v>
      </c>
      <c r="V439" s="66">
        <f t="shared" si="6"/>
        <v>0</v>
      </c>
      <c r="W439" s="81">
        <f t="shared" si="7"/>
        <v>0</v>
      </c>
      <c r="X439" s="82" t="str">
        <f t="shared" si="8"/>
        <v>bordentaxi</v>
      </c>
      <c r="Y439" s="86" t="str">
        <f t="shared" si="9"/>
        <v>https://www.munzee.com/m/bordentaxi/11434/</v>
      </c>
    </row>
    <row r="440" hidden="1" outlineLevel="1">
      <c r="A440" s="76" t="s">
        <v>1047</v>
      </c>
      <c r="B440" s="77">
        <v>35.0</v>
      </c>
      <c r="C440" s="77">
        <v>14.0</v>
      </c>
      <c r="D440" s="64">
        <v>52.117554</v>
      </c>
      <c r="E440" s="64">
        <v>5.383754</v>
      </c>
      <c r="F440" s="78" t="s">
        <v>100</v>
      </c>
      <c r="G440" s="78" t="s">
        <v>101</v>
      </c>
      <c r="H440" s="66" t="str">
        <f>IF(X440=" ",X440,'Flamingo @ DenTreek'!H438)</f>
        <v>felixbongers</v>
      </c>
      <c r="I440" s="79" t="str">
        <f>'Flamingo @ DenTreek'!I438</f>
        <v>https://www.munzee.com/m/felixbongers/10945/</v>
      </c>
      <c r="J440" s="80"/>
      <c r="K440" s="78" t="b">
        <v>1</v>
      </c>
      <c r="L440" s="66" t="str">
        <f t="shared" si="2"/>
        <v/>
      </c>
      <c r="M440" s="81" t="str">
        <f>IFERROR(__xludf.DUMMYFUNCTION("IF(W440=1,IFERROR(IMPORTXML(I440, ""//p[@class='status-date']""), ""Not deployed""),"""")"),"")</f>
        <v/>
      </c>
      <c r="N440" s="82"/>
      <c r="O440" s="66"/>
      <c r="P440" s="66"/>
      <c r="Q440" s="66"/>
      <c r="R440" s="83" t="str">
        <f t="shared" si="25"/>
        <v/>
      </c>
      <c r="S440" s="84" t="str">
        <f t="shared" si="4"/>
        <v/>
      </c>
      <c r="T440" s="85"/>
      <c r="U440" s="82">
        <f t="shared" si="5"/>
        <v>0</v>
      </c>
      <c r="V440" s="66">
        <f t="shared" si="6"/>
        <v>0</v>
      </c>
      <c r="W440" s="81">
        <f t="shared" si="7"/>
        <v>0</v>
      </c>
      <c r="X440" s="82" t="str">
        <f t="shared" si="8"/>
        <v>felixbongers</v>
      </c>
      <c r="Y440" s="86" t="str">
        <f t="shared" si="9"/>
        <v>https://www.munzee.com/m/felixbongers/10945/</v>
      </c>
    </row>
    <row r="441" hidden="1" outlineLevel="1">
      <c r="A441" s="76" t="s">
        <v>1048</v>
      </c>
      <c r="B441" s="77">
        <v>35.0</v>
      </c>
      <c r="C441" s="77">
        <v>15.0</v>
      </c>
      <c r="D441" s="64">
        <v>52.117554</v>
      </c>
      <c r="E441" s="64">
        <v>5.383988</v>
      </c>
      <c r="F441" s="78" t="s">
        <v>125</v>
      </c>
      <c r="G441" s="78" t="s">
        <v>126</v>
      </c>
      <c r="H441" s="66" t="str">
        <f>IF(X441=" ",X441,'Flamingo @ DenTreek'!H439)</f>
        <v>feikjen</v>
      </c>
      <c r="I441" s="79" t="str">
        <f>'Flamingo @ DenTreek'!I439</f>
        <v>https://www.munzee.com/m/feikjen/11282</v>
      </c>
      <c r="J441" s="89"/>
      <c r="K441" s="78" t="b">
        <v>1</v>
      </c>
      <c r="L441" s="66" t="str">
        <f t="shared" si="2"/>
        <v/>
      </c>
      <c r="M441" s="81" t="str">
        <f>IFERROR(__xludf.DUMMYFUNCTION("IF(W441=1,IFERROR(IMPORTXML(I441, ""//p[@class='status-date']""), ""Not deployed""),"""")"),"")</f>
        <v/>
      </c>
      <c r="N441" s="82"/>
      <c r="O441" s="66"/>
      <c r="P441" s="66"/>
      <c r="Q441" s="66"/>
      <c r="R441" s="83" t="str">
        <f t="shared" si="25"/>
        <v/>
      </c>
      <c r="S441" s="84" t="str">
        <f t="shared" si="4"/>
        <v/>
      </c>
      <c r="T441" s="85"/>
      <c r="U441" s="82">
        <f t="shared" si="5"/>
        <v>0</v>
      </c>
      <c r="V441" s="66">
        <f t="shared" si="6"/>
        <v>0</v>
      </c>
      <c r="W441" s="81">
        <f t="shared" si="7"/>
        <v>0</v>
      </c>
      <c r="X441" s="82" t="str">
        <f t="shared" si="8"/>
        <v>feikjen</v>
      </c>
      <c r="Y441" s="86" t="str">
        <f t="shared" si="9"/>
        <v>https://www.munzee.com/m/feikjen/11282/</v>
      </c>
    </row>
    <row r="442" hidden="1" outlineLevel="1">
      <c r="A442" s="76" t="s">
        <v>1049</v>
      </c>
      <c r="B442" s="77">
        <v>35.0</v>
      </c>
      <c r="C442" s="77">
        <v>16.0</v>
      </c>
      <c r="D442" s="64">
        <v>52.117554</v>
      </c>
      <c r="E442" s="64">
        <v>5.384222</v>
      </c>
      <c r="F442" s="78" t="s">
        <v>70</v>
      </c>
      <c r="G442" s="78" t="s">
        <v>71</v>
      </c>
      <c r="H442" s="66" t="str">
        <f>IF(X442=" ",X442,'Flamingo @ DenTreek'!H440)</f>
        <v>bordentaxi</v>
      </c>
      <c r="I442" s="79" t="str">
        <f>'Flamingo @ DenTreek'!I440</f>
        <v>https://www.munzee.com/m/bordentaxi/11433/</v>
      </c>
      <c r="J442" s="80"/>
      <c r="K442" s="78" t="b">
        <v>1</v>
      </c>
      <c r="L442" s="66" t="str">
        <f t="shared" si="2"/>
        <v/>
      </c>
      <c r="M442" s="81" t="str">
        <f>IFERROR(__xludf.DUMMYFUNCTION("IF(W442=1,IFERROR(IMPORTXML(I442, ""//p[@class='status-date']""), ""Not deployed""),"""")"),"")</f>
        <v/>
      </c>
      <c r="N442" s="82"/>
      <c r="O442" s="66"/>
      <c r="P442" s="66"/>
      <c r="Q442" s="66"/>
      <c r="R442" s="83" t="str">
        <f t="shared" si="25"/>
        <v/>
      </c>
      <c r="S442" s="84" t="str">
        <f t="shared" si="4"/>
        <v/>
      </c>
      <c r="T442" s="85"/>
      <c r="U442" s="82">
        <f t="shared" si="5"/>
        <v>0</v>
      </c>
      <c r="V442" s="66">
        <f t="shared" si="6"/>
        <v>0</v>
      </c>
      <c r="W442" s="81">
        <f t="shared" si="7"/>
        <v>0</v>
      </c>
      <c r="X442" s="82" t="str">
        <f t="shared" si="8"/>
        <v>bordentaxi</v>
      </c>
      <c r="Y442" s="86" t="str">
        <f t="shared" si="9"/>
        <v>https://www.munzee.com/m/bordentaxi/11433/</v>
      </c>
    </row>
    <row r="443" hidden="1" outlineLevel="1">
      <c r="A443" s="76" t="s">
        <v>1050</v>
      </c>
      <c r="B443" s="77">
        <v>35.0</v>
      </c>
      <c r="C443" s="77">
        <v>17.0</v>
      </c>
      <c r="D443" s="64">
        <v>52.117554</v>
      </c>
      <c r="E443" s="64">
        <v>5.384456</v>
      </c>
      <c r="F443" s="78" t="s">
        <v>78</v>
      </c>
      <c r="G443" s="78" t="s">
        <v>79</v>
      </c>
      <c r="H443" s="66" t="str">
        <f>IF(X443=" ",X443,'Flamingo @ DenTreek'!H441)</f>
        <v>felixbongers</v>
      </c>
      <c r="I443" s="79" t="str">
        <f>'Flamingo @ DenTreek'!I441</f>
        <v>https://www.munzee.com/m/felixbongers/10944/</v>
      </c>
      <c r="J443" s="80"/>
      <c r="K443" s="78" t="b">
        <v>1</v>
      </c>
      <c r="L443" s="66" t="str">
        <f t="shared" si="2"/>
        <v/>
      </c>
      <c r="M443" s="81" t="str">
        <f>IFERROR(__xludf.DUMMYFUNCTION("IF(W443=1,IFERROR(IMPORTXML(I443, ""//p[@class='status-date']""), ""Not deployed""),"""")"),"")</f>
        <v/>
      </c>
      <c r="N443" s="82"/>
      <c r="O443" s="66"/>
      <c r="P443" s="66"/>
      <c r="Q443" s="66"/>
      <c r="R443" s="83" t="str">
        <f t="shared" si="25"/>
        <v/>
      </c>
      <c r="S443" s="84" t="str">
        <f t="shared" si="4"/>
        <v/>
      </c>
      <c r="T443" s="85"/>
      <c r="U443" s="82">
        <f t="shared" si="5"/>
        <v>0</v>
      </c>
      <c r="V443" s="66">
        <f t="shared" si="6"/>
        <v>0</v>
      </c>
      <c r="W443" s="81">
        <f t="shared" si="7"/>
        <v>0</v>
      </c>
      <c r="X443" s="82" t="str">
        <f t="shared" si="8"/>
        <v>felixbongers</v>
      </c>
      <c r="Y443" s="86" t="str">
        <f t="shared" si="9"/>
        <v>https://www.munzee.com/m/felixbongers/10944/</v>
      </c>
    </row>
    <row r="444" hidden="1" outlineLevel="1">
      <c r="A444" s="76" t="s">
        <v>1051</v>
      </c>
      <c r="B444" s="77">
        <v>35.0</v>
      </c>
      <c r="C444" s="77">
        <v>18.0</v>
      </c>
      <c r="D444" s="64">
        <v>52.117554</v>
      </c>
      <c r="E444" s="64">
        <v>5.38469</v>
      </c>
      <c r="F444" s="78" t="s">
        <v>57</v>
      </c>
      <c r="G444" s="78" t="s">
        <v>58</v>
      </c>
      <c r="H444" s="66" t="str">
        <f>IF(X444=" ",X444,'Flamingo @ DenTreek'!H442)</f>
        <v>feikjen</v>
      </c>
      <c r="I444" s="79" t="str">
        <f>'Flamingo @ DenTreek'!I442</f>
        <v>https://www.munzee.com/m/feikjen/11281</v>
      </c>
      <c r="J444" s="80"/>
      <c r="K444" s="78" t="b">
        <v>1</v>
      </c>
      <c r="L444" s="66" t="str">
        <f t="shared" si="2"/>
        <v/>
      </c>
      <c r="M444" s="81" t="str">
        <f>IFERROR(__xludf.DUMMYFUNCTION("IF(W444=1,IFERROR(IMPORTXML(I444, ""//p[@class='status-date']""), ""Not deployed""),"""")"),"")</f>
        <v/>
      </c>
      <c r="N444" s="82"/>
      <c r="O444" s="66"/>
      <c r="P444" s="66"/>
      <c r="Q444" s="66"/>
      <c r="R444" s="83" t="str">
        <f t="shared" si="25"/>
        <v/>
      </c>
      <c r="S444" s="84" t="str">
        <f t="shared" si="4"/>
        <v/>
      </c>
      <c r="T444" s="85"/>
      <c r="U444" s="82">
        <f t="shared" si="5"/>
        <v>0</v>
      </c>
      <c r="V444" s="66">
        <f t="shared" si="6"/>
        <v>0</v>
      </c>
      <c r="W444" s="81">
        <f t="shared" si="7"/>
        <v>0</v>
      </c>
      <c r="X444" s="82" t="str">
        <f t="shared" si="8"/>
        <v>feikjen</v>
      </c>
      <c r="Y444" s="86" t="str">
        <f t="shared" si="9"/>
        <v>https://www.munzee.com/m/feikjen/11281/</v>
      </c>
    </row>
    <row r="445" hidden="1" outlineLevel="1">
      <c r="A445" s="76" t="s">
        <v>1052</v>
      </c>
      <c r="B445" s="77">
        <v>35.0</v>
      </c>
      <c r="C445" s="77">
        <v>19.0</v>
      </c>
      <c r="D445" s="64">
        <v>52.117554</v>
      </c>
      <c r="E445" s="64">
        <v>5.384924</v>
      </c>
      <c r="F445" s="78" t="s">
        <v>70</v>
      </c>
      <c r="G445" s="78" t="s">
        <v>71</v>
      </c>
      <c r="H445" s="66" t="str">
        <f>IF(X445=" ",X445,'Flamingo @ DenTreek'!H443)</f>
        <v>bordentaxi</v>
      </c>
      <c r="I445" s="79" t="str">
        <f>'Flamingo @ DenTreek'!I443</f>
        <v>https://www.munzee.com/m/bordentaxi/11429/</v>
      </c>
      <c r="J445" s="80"/>
      <c r="K445" s="78" t="b">
        <v>1</v>
      </c>
      <c r="L445" s="66" t="str">
        <f t="shared" si="2"/>
        <v/>
      </c>
      <c r="M445" s="81" t="str">
        <f>IFERROR(__xludf.DUMMYFUNCTION("IF(W445=1,IFERROR(IMPORTXML(I445, ""//p[@class='status-date']""), ""Not deployed""),"""")"),"")</f>
        <v/>
      </c>
      <c r="N445" s="82"/>
      <c r="O445" s="66"/>
      <c r="P445" s="66"/>
      <c r="Q445" s="66"/>
      <c r="R445" s="83" t="str">
        <f t="shared" si="25"/>
        <v/>
      </c>
      <c r="S445" s="84" t="str">
        <f t="shared" si="4"/>
        <v/>
      </c>
      <c r="T445" s="85"/>
      <c r="U445" s="82">
        <f t="shared" si="5"/>
        <v>0</v>
      </c>
      <c r="V445" s="66">
        <f t="shared" si="6"/>
        <v>0</v>
      </c>
      <c r="W445" s="81">
        <f t="shared" si="7"/>
        <v>0</v>
      </c>
      <c r="X445" s="82" t="str">
        <f t="shared" si="8"/>
        <v>bordentaxi</v>
      </c>
      <c r="Y445" s="86" t="str">
        <f t="shared" si="9"/>
        <v>https://www.munzee.com/m/bordentaxi/11429/</v>
      </c>
    </row>
    <row r="446" hidden="1" outlineLevel="1">
      <c r="A446" s="76" t="s">
        <v>1053</v>
      </c>
      <c r="B446" s="77">
        <v>35.0</v>
      </c>
      <c r="C446" s="77">
        <v>20.0</v>
      </c>
      <c r="D446" s="64">
        <v>52.117554</v>
      </c>
      <c r="E446" s="64">
        <v>5.385159</v>
      </c>
      <c r="F446" s="78" t="s">
        <v>125</v>
      </c>
      <c r="G446" s="78" t="s">
        <v>126</v>
      </c>
      <c r="H446" s="66" t="str">
        <f>IF(X446=" ",X446,'Flamingo @ DenTreek'!H444)</f>
        <v>felixbongers</v>
      </c>
      <c r="I446" s="79" t="str">
        <f>'Flamingo @ DenTreek'!I444</f>
        <v>https://www.munzee.com/m/felixbongers/10941/</v>
      </c>
      <c r="J446" s="80"/>
      <c r="K446" s="78" t="b">
        <v>1</v>
      </c>
      <c r="L446" s="66" t="str">
        <f t="shared" si="2"/>
        <v/>
      </c>
      <c r="M446" s="81" t="str">
        <f>IFERROR(__xludf.DUMMYFUNCTION("IF(W446=1,IFERROR(IMPORTXML(I446, ""//p[@class='status-date']""), ""Not deployed""),"""")"),"")</f>
        <v/>
      </c>
      <c r="N446" s="82"/>
      <c r="O446" s="66"/>
      <c r="P446" s="66"/>
      <c r="Q446" s="66"/>
      <c r="R446" s="83" t="str">
        <f t="shared" si="25"/>
        <v/>
      </c>
      <c r="S446" s="84" t="str">
        <f t="shared" si="4"/>
        <v/>
      </c>
      <c r="T446" s="85"/>
      <c r="U446" s="82">
        <f t="shared" si="5"/>
        <v>0</v>
      </c>
      <c r="V446" s="66">
        <f t="shared" si="6"/>
        <v>0</v>
      </c>
      <c r="W446" s="81">
        <f t="shared" si="7"/>
        <v>0</v>
      </c>
      <c r="X446" s="82" t="str">
        <f t="shared" si="8"/>
        <v>felixbongers</v>
      </c>
      <c r="Y446" s="86" t="str">
        <f t="shared" si="9"/>
        <v>https://www.munzee.com/m/felixbongers/10941/</v>
      </c>
    </row>
    <row r="447" hidden="1" outlineLevel="1">
      <c r="A447" s="76" t="s">
        <v>1054</v>
      </c>
      <c r="B447" s="77">
        <v>35.0</v>
      </c>
      <c r="C447" s="77">
        <v>21.0</v>
      </c>
      <c r="D447" s="64">
        <v>52.117554</v>
      </c>
      <c r="E447" s="64">
        <v>5.385393</v>
      </c>
      <c r="F447" s="78" t="s">
        <v>100</v>
      </c>
      <c r="G447" s="78" t="s">
        <v>101</v>
      </c>
      <c r="H447" s="66" t="str">
        <f>IF(X447=" ",X447,'Flamingo @ DenTreek'!H445)</f>
        <v>feikjen</v>
      </c>
      <c r="I447" s="79" t="str">
        <f>'Flamingo @ DenTreek'!I445</f>
        <v>https://www.munzee.com/m/feikjen/11273</v>
      </c>
      <c r="J447" s="80"/>
      <c r="K447" s="78" t="b">
        <v>1</v>
      </c>
      <c r="L447" s="66" t="str">
        <f t="shared" si="2"/>
        <v/>
      </c>
      <c r="M447" s="81" t="str">
        <f>IFERROR(__xludf.DUMMYFUNCTION("IF(W447=1,IFERROR(IMPORTXML(I447, ""//p[@class='status-date']""), ""Not deployed""),"""")"),"")</f>
        <v/>
      </c>
      <c r="N447" s="82"/>
      <c r="O447" s="66"/>
      <c r="P447" s="66"/>
      <c r="Q447" s="66"/>
      <c r="R447" s="83" t="str">
        <f t="shared" si="25"/>
        <v/>
      </c>
      <c r="S447" s="84" t="str">
        <f t="shared" si="4"/>
        <v/>
      </c>
      <c r="T447" s="85"/>
      <c r="U447" s="82">
        <f t="shared" si="5"/>
        <v>0</v>
      </c>
      <c r="V447" s="66">
        <f t="shared" si="6"/>
        <v>0</v>
      </c>
      <c r="W447" s="81">
        <f t="shared" si="7"/>
        <v>0</v>
      </c>
      <c r="X447" s="82" t="str">
        <f t="shared" si="8"/>
        <v>feikjen</v>
      </c>
      <c r="Y447" s="86" t="str">
        <f t="shared" si="9"/>
        <v>https://www.munzee.com/m/feikjen/11273/</v>
      </c>
    </row>
    <row r="448" hidden="1" outlineLevel="1">
      <c r="A448" s="76" t="s">
        <v>1055</v>
      </c>
      <c r="B448" s="77">
        <v>35.0</v>
      </c>
      <c r="C448" s="77">
        <v>22.0</v>
      </c>
      <c r="D448" s="64">
        <v>52.117554</v>
      </c>
      <c r="E448" s="64">
        <v>5.385627</v>
      </c>
      <c r="F448" s="78" t="s">
        <v>100</v>
      </c>
      <c r="G448" s="78" t="s">
        <v>101</v>
      </c>
      <c r="H448" s="78" t="s">
        <v>1028</v>
      </c>
      <c r="I448" s="79" t="s">
        <v>1056</v>
      </c>
      <c r="J448" s="80"/>
      <c r="K448" s="78" t="b">
        <v>1</v>
      </c>
      <c r="L448" s="66" t="str">
        <f t="shared" si="2"/>
        <v/>
      </c>
      <c r="M448" s="81" t="str">
        <f>IFERROR(__xludf.DUMMYFUNCTION("IF(W448=1,IFERROR(IMPORTXML(I448, ""//p[@class='status-date']""), ""Not deployed""),"""")"),"")</f>
        <v/>
      </c>
      <c r="N448" s="82"/>
      <c r="O448" s="66"/>
      <c r="P448" s="66"/>
      <c r="Q448" s="66"/>
      <c r="R448" s="83" t="str">
        <f t="shared" si="25"/>
        <v/>
      </c>
      <c r="S448" s="84" t="str">
        <f t="shared" si="4"/>
        <v/>
      </c>
      <c r="T448" s="85"/>
      <c r="U448" s="82">
        <f t="shared" si="5"/>
        <v>0</v>
      </c>
      <c r="V448" s="66">
        <f t="shared" si="6"/>
        <v>0</v>
      </c>
      <c r="W448" s="81">
        <f t="shared" si="7"/>
        <v>0</v>
      </c>
      <c r="X448" s="82" t="str">
        <f t="shared" si="8"/>
        <v>TeamBlackie</v>
      </c>
      <c r="Y448" s="86" t="str">
        <f t="shared" si="9"/>
        <v>https://www.munzee.com/m/TeamBlackie/1097/</v>
      </c>
    </row>
    <row r="449" hidden="1" outlineLevel="1">
      <c r="A449" s="76" t="s">
        <v>1057</v>
      </c>
      <c r="B449" s="77">
        <v>36.0</v>
      </c>
      <c r="C449" s="77">
        <v>14.0</v>
      </c>
      <c r="D449" s="64">
        <v>52.117411</v>
      </c>
      <c r="E449" s="64">
        <v>5.383754</v>
      </c>
      <c r="F449" s="78" t="s">
        <v>100</v>
      </c>
      <c r="G449" s="78" t="s">
        <v>101</v>
      </c>
      <c r="H449" s="78" t="s">
        <v>1058</v>
      </c>
      <c r="I449" s="79" t="s">
        <v>1059</v>
      </c>
      <c r="J449" s="80"/>
      <c r="K449" s="78" t="b">
        <v>1</v>
      </c>
      <c r="L449" s="66" t="str">
        <f t="shared" si="2"/>
        <v/>
      </c>
      <c r="M449" s="81" t="str">
        <f>IFERROR(__xludf.DUMMYFUNCTION("IF(W449=1,IFERROR(IMPORTXML(I449, ""//p[@class='status-date']""), ""Not deployed""),"""")"),"")</f>
        <v/>
      </c>
      <c r="N449" s="82"/>
      <c r="O449" s="66"/>
      <c r="P449" s="66"/>
      <c r="Q449" s="66"/>
      <c r="R449" s="83" t="str">
        <f t="shared" si="25"/>
        <v/>
      </c>
      <c r="S449" s="84" t="str">
        <f t="shared" si="4"/>
        <v/>
      </c>
      <c r="T449" s="85"/>
      <c r="U449" s="82">
        <f t="shared" si="5"/>
        <v>0</v>
      </c>
      <c r="V449" s="66">
        <f t="shared" si="6"/>
        <v>0</v>
      </c>
      <c r="W449" s="81">
        <f t="shared" si="7"/>
        <v>0</v>
      </c>
      <c r="X449" s="82" t="str">
        <f t="shared" si="8"/>
        <v>Intel9</v>
      </c>
      <c r="Y449" s="86" t="str">
        <f t="shared" si="9"/>
        <v>https://www.munzee.com/m/Intel9/536/</v>
      </c>
    </row>
    <row r="450" hidden="1" outlineLevel="1">
      <c r="A450" s="76" t="s">
        <v>1060</v>
      </c>
      <c r="B450" s="77">
        <v>36.0</v>
      </c>
      <c r="C450" s="77">
        <v>15.0</v>
      </c>
      <c r="D450" s="64">
        <v>52.117411</v>
      </c>
      <c r="E450" s="64">
        <v>5.383988</v>
      </c>
      <c r="F450" s="78" t="s">
        <v>100</v>
      </c>
      <c r="G450" s="78" t="s">
        <v>101</v>
      </c>
      <c r="H450" s="78" t="s">
        <v>1007</v>
      </c>
      <c r="I450" s="79" t="s">
        <v>1061</v>
      </c>
      <c r="J450" s="80"/>
      <c r="K450" s="78" t="b">
        <v>1</v>
      </c>
      <c r="L450" s="66" t="str">
        <f t="shared" si="2"/>
        <v/>
      </c>
      <c r="M450" s="81" t="str">
        <f>IFERROR(__xludf.DUMMYFUNCTION("IF(W450=1,IFERROR(IMPORTXML(I450, ""//p[@class='status-date']""), ""Not deployed""),"""")"),"")</f>
        <v/>
      </c>
      <c r="N450" s="82"/>
      <c r="O450" s="66"/>
      <c r="P450" s="66"/>
      <c r="Q450" s="66"/>
      <c r="R450" s="83" t="str">
        <f t="shared" si="25"/>
        <v/>
      </c>
      <c r="S450" s="84" t="str">
        <f t="shared" si="4"/>
        <v/>
      </c>
      <c r="T450" s="85"/>
      <c r="U450" s="82">
        <f t="shared" si="5"/>
        <v>0</v>
      </c>
      <c r="V450" s="66">
        <f t="shared" si="6"/>
        <v>0</v>
      </c>
      <c r="W450" s="81">
        <f t="shared" si="7"/>
        <v>0</v>
      </c>
      <c r="X450" s="82" t="str">
        <f t="shared" si="8"/>
        <v>Vezliukai</v>
      </c>
      <c r="Y450" s="86" t="str">
        <f t="shared" si="9"/>
        <v>https://www.munzee.com/m/Vezliukai/1789/</v>
      </c>
    </row>
    <row r="451" hidden="1" outlineLevel="1">
      <c r="A451" s="76" t="s">
        <v>1062</v>
      </c>
      <c r="B451" s="77">
        <v>36.0</v>
      </c>
      <c r="C451" s="77">
        <v>16.0</v>
      </c>
      <c r="D451" s="64">
        <v>52.117411</v>
      </c>
      <c r="E451" s="64">
        <v>5.384222</v>
      </c>
      <c r="F451" s="78" t="s">
        <v>877</v>
      </c>
      <c r="G451" s="78" t="s">
        <v>878</v>
      </c>
      <c r="H451" s="78" t="s">
        <v>1063</v>
      </c>
      <c r="I451" s="79" t="s">
        <v>1064</v>
      </c>
      <c r="J451" s="80"/>
      <c r="K451" s="78" t="b">
        <v>1</v>
      </c>
      <c r="L451" s="66" t="str">
        <f t="shared" si="2"/>
        <v/>
      </c>
      <c r="M451" s="81" t="str">
        <f>IFERROR(__xludf.DUMMYFUNCTION("IF(W451=1,IFERROR(IMPORTXML(I451, ""//p[@class='status-date']""), ""Not deployed""),"""")"),"")</f>
        <v/>
      </c>
      <c r="N451" s="82"/>
      <c r="O451" s="66"/>
      <c r="P451" s="66"/>
      <c r="Q451" s="66"/>
      <c r="R451" s="83" t="str">
        <f t="shared" si="25"/>
        <v/>
      </c>
      <c r="S451" s="84" t="str">
        <f t="shared" si="4"/>
        <v/>
      </c>
      <c r="T451" s="85"/>
      <c r="U451" s="82">
        <f t="shared" si="5"/>
        <v>0</v>
      </c>
      <c r="V451" s="66">
        <f t="shared" si="6"/>
        <v>0</v>
      </c>
      <c r="W451" s="81">
        <f t="shared" si="7"/>
        <v>0</v>
      </c>
      <c r="X451" s="82" t="str">
        <f t="shared" si="8"/>
        <v>Dikkedoos</v>
      </c>
      <c r="Y451" s="86" t="str">
        <f t="shared" si="9"/>
        <v>https://www.munzee.com/m/Dikkedoos/3368/</v>
      </c>
    </row>
    <row r="452" hidden="1" outlineLevel="1">
      <c r="A452" s="76" t="s">
        <v>1065</v>
      </c>
      <c r="B452" s="77">
        <v>36.0</v>
      </c>
      <c r="C452" s="77">
        <v>17.0</v>
      </c>
      <c r="D452" s="64">
        <v>52.117411</v>
      </c>
      <c r="E452" s="64">
        <v>5.384456</v>
      </c>
      <c r="F452" s="78" t="s">
        <v>100</v>
      </c>
      <c r="G452" s="78" t="s">
        <v>101</v>
      </c>
      <c r="H452" s="78" t="s">
        <v>1010</v>
      </c>
      <c r="I452" s="79" t="s">
        <v>1066</v>
      </c>
      <c r="J452" s="80"/>
      <c r="K452" s="78" t="b">
        <v>1</v>
      </c>
      <c r="L452" s="66" t="str">
        <f t="shared" si="2"/>
        <v/>
      </c>
      <c r="M452" s="81" t="str">
        <f>IFERROR(__xludf.DUMMYFUNCTION("IF(W452=1,IFERROR(IMPORTXML(I452, ""//p[@class='status-date']""), ""Not deployed""),"""")"),"")</f>
        <v/>
      </c>
      <c r="N452" s="82"/>
      <c r="O452" s="66"/>
      <c r="P452" s="66"/>
      <c r="Q452" s="66"/>
      <c r="R452" s="83" t="str">
        <f t="shared" si="25"/>
        <v/>
      </c>
      <c r="S452" s="84" t="str">
        <f t="shared" si="4"/>
        <v/>
      </c>
      <c r="T452" s="85"/>
      <c r="U452" s="82">
        <f t="shared" si="5"/>
        <v>0</v>
      </c>
      <c r="V452" s="66">
        <f t="shared" si="6"/>
        <v>0</v>
      </c>
      <c r="W452" s="81">
        <f t="shared" si="7"/>
        <v>0</v>
      </c>
      <c r="X452" s="82" t="str">
        <f t="shared" si="8"/>
        <v>Vanduo62</v>
      </c>
      <c r="Y452" s="86" t="str">
        <f t="shared" si="9"/>
        <v>https://www.munzee.com/m/Vanduo62/488/</v>
      </c>
    </row>
    <row r="453" hidden="1" outlineLevel="1">
      <c r="A453" s="76" t="s">
        <v>1067</v>
      </c>
      <c r="B453" s="77">
        <v>36.0</v>
      </c>
      <c r="C453" s="77">
        <v>18.0</v>
      </c>
      <c r="D453" s="64">
        <v>52.117411</v>
      </c>
      <c r="E453" s="64">
        <v>5.38469</v>
      </c>
      <c r="F453" s="78" t="s">
        <v>100</v>
      </c>
      <c r="G453" s="78" t="s">
        <v>101</v>
      </c>
      <c r="H453" s="66" t="str">
        <f>IF(ISTEXT(X453),X453,"")</f>
        <v>raftjen</v>
      </c>
      <c r="I453" s="79" t="s">
        <v>1068</v>
      </c>
      <c r="J453" s="80"/>
      <c r="K453" s="78" t="b">
        <v>1</v>
      </c>
      <c r="L453" s="66" t="str">
        <f t="shared" si="2"/>
        <v/>
      </c>
      <c r="M453" s="81" t="str">
        <f>IFERROR(__xludf.DUMMYFUNCTION("IF(W453=1,IFERROR(IMPORTXML(I453, ""//p[@class='status-date']""), ""Not deployed""),"""")"),"")</f>
        <v/>
      </c>
      <c r="N453" s="82"/>
      <c r="O453" s="66"/>
      <c r="P453" s="66"/>
      <c r="Q453" s="66"/>
      <c r="R453" s="83" t="str">
        <f t="shared" si="25"/>
        <v/>
      </c>
      <c r="S453" s="84" t="str">
        <f t="shared" si="4"/>
        <v/>
      </c>
      <c r="T453" s="85"/>
      <c r="U453" s="82">
        <f t="shared" si="5"/>
        <v>0</v>
      </c>
      <c r="V453" s="66">
        <f t="shared" si="6"/>
        <v>0</v>
      </c>
      <c r="W453" s="81">
        <f t="shared" si="7"/>
        <v>0</v>
      </c>
      <c r="X453" s="82" t="str">
        <f t="shared" si="8"/>
        <v>raftjen</v>
      </c>
      <c r="Y453" s="86" t="str">
        <f t="shared" si="9"/>
        <v>https://www.munzee.com/m/raftjen/7646/</v>
      </c>
    </row>
    <row r="454" hidden="1" outlineLevel="1">
      <c r="A454" s="76" t="s">
        <v>1069</v>
      </c>
      <c r="B454" s="77">
        <v>36.0</v>
      </c>
      <c r="C454" s="77">
        <v>19.0</v>
      </c>
      <c r="D454" s="64">
        <v>52.117411</v>
      </c>
      <c r="E454" s="64">
        <v>5.384924</v>
      </c>
      <c r="F454" s="78" t="s">
        <v>100</v>
      </c>
      <c r="G454" s="78" t="s">
        <v>101</v>
      </c>
      <c r="H454" s="78" t="s">
        <v>1070</v>
      </c>
      <c r="I454" s="94" t="s">
        <v>1071</v>
      </c>
      <c r="J454" s="80"/>
      <c r="K454" s="78" t="b">
        <v>1</v>
      </c>
      <c r="L454" s="66" t="str">
        <f t="shared" si="2"/>
        <v/>
      </c>
      <c r="M454" s="81" t="str">
        <f>IFERROR(__xludf.DUMMYFUNCTION("IF(W454=1,IFERROR(IMPORTXML(I454, ""//p[@class='status-date']""), ""Not deployed""),"""")"),"")</f>
        <v/>
      </c>
      <c r="N454" s="82"/>
      <c r="O454" s="66"/>
      <c r="P454" s="66"/>
      <c r="Q454" s="66"/>
      <c r="R454" s="83" t="str">
        <f t="shared" si="25"/>
        <v/>
      </c>
      <c r="S454" s="84" t="str">
        <f t="shared" si="4"/>
        <v/>
      </c>
      <c r="T454" s="85"/>
      <c r="U454" s="82">
        <f t="shared" si="5"/>
        <v>0</v>
      </c>
      <c r="V454" s="66">
        <f t="shared" si="6"/>
        <v>0</v>
      </c>
      <c r="W454" s="81">
        <f t="shared" si="7"/>
        <v>0</v>
      </c>
      <c r="X454" s="82" t="str">
        <f t="shared" si="8"/>
        <v>edwin21</v>
      </c>
      <c r="Y454" s="86" t="str">
        <f t="shared" si="9"/>
        <v>https://www.munzee.com/m/edwin21/1207/</v>
      </c>
    </row>
    <row r="455" hidden="1" outlineLevel="1">
      <c r="A455" s="76" t="s">
        <v>1072</v>
      </c>
      <c r="B455" s="77">
        <v>36.0</v>
      </c>
      <c r="C455" s="77">
        <v>20.0</v>
      </c>
      <c r="D455" s="64">
        <v>52.117411</v>
      </c>
      <c r="E455" s="64">
        <v>5.385159</v>
      </c>
      <c r="F455" s="78" t="s">
        <v>100</v>
      </c>
      <c r="G455" s="78" t="s">
        <v>101</v>
      </c>
      <c r="H455" s="66" t="str">
        <f t="shared" ref="H455:H456" si="43">IF(ISTEXT(X455),X455,"")</f>
        <v>Iphoney</v>
      </c>
      <c r="I455" s="79" t="s">
        <v>1073</v>
      </c>
      <c r="J455" s="80"/>
      <c r="K455" s="78" t="b">
        <v>1</v>
      </c>
      <c r="L455" s="66" t="str">
        <f t="shared" si="2"/>
        <v/>
      </c>
      <c r="M455" s="81" t="str">
        <f>IFERROR(__xludf.DUMMYFUNCTION("IF(W455=1,IFERROR(IMPORTXML(I455, ""//p[@class='status-date']""), ""Not deployed""),"""")"),"")</f>
        <v/>
      </c>
      <c r="N455" s="82"/>
      <c r="O455" s="66"/>
      <c r="P455" s="66"/>
      <c r="Q455" s="66"/>
      <c r="R455" s="83" t="str">
        <f t="shared" si="25"/>
        <v/>
      </c>
      <c r="S455" s="84" t="str">
        <f t="shared" si="4"/>
        <v/>
      </c>
      <c r="T455" s="85"/>
      <c r="U455" s="82">
        <f t="shared" si="5"/>
        <v>0</v>
      </c>
      <c r="V455" s="66">
        <f t="shared" si="6"/>
        <v>0</v>
      </c>
      <c r="W455" s="81">
        <f t="shared" si="7"/>
        <v>0</v>
      </c>
      <c r="X455" s="82" t="str">
        <f t="shared" si="8"/>
        <v>Iphoney</v>
      </c>
      <c r="Y455" s="86" t="str">
        <f t="shared" si="9"/>
        <v>https://www.munzee.com/m/Iphoney/800/</v>
      </c>
    </row>
    <row r="456" hidden="1" outlineLevel="1">
      <c r="A456" s="76" t="s">
        <v>1074</v>
      </c>
      <c r="B456" s="77">
        <v>37.0</v>
      </c>
      <c r="C456" s="77">
        <v>14.0</v>
      </c>
      <c r="D456" s="64">
        <v>52.117267</v>
      </c>
      <c r="E456" s="64">
        <v>5.383754</v>
      </c>
      <c r="F456" s="78" t="s">
        <v>100</v>
      </c>
      <c r="G456" s="78" t="s">
        <v>101</v>
      </c>
      <c r="H456" s="66" t="str">
        <f t="shared" si="43"/>
        <v>Ingetje</v>
      </c>
      <c r="I456" s="94" t="s">
        <v>1075</v>
      </c>
      <c r="J456" s="80"/>
      <c r="K456" s="78" t="b">
        <v>1</v>
      </c>
      <c r="L456" s="66" t="str">
        <f t="shared" si="2"/>
        <v/>
      </c>
      <c r="M456" s="81" t="str">
        <f>IFERROR(__xludf.DUMMYFUNCTION("IF(W456=1,IFERROR(IMPORTXML(I456, ""//p[@class='status-date']""), ""Not deployed""),"""")"),"")</f>
        <v/>
      </c>
      <c r="N456" s="82"/>
      <c r="O456" s="66"/>
      <c r="P456" s="66"/>
      <c r="Q456" s="66"/>
      <c r="R456" s="83" t="str">
        <f t="shared" si="25"/>
        <v/>
      </c>
      <c r="S456" s="84" t="str">
        <f t="shared" si="4"/>
        <v/>
      </c>
      <c r="T456" s="85"/>
      <c r="U456" s="82">
        <f t="shared" si="5"/>
        <v>0</v>
      </c>
      <c r="V456" s="66">
        <f t="shared" si="6"/>
        <v>0</v>
      </c>
      <c r="W456" s="81">
        <f t="shared" si="7"/>
        <v>0</v>
      </c>
      <c r="X456" s="82" t="str">
        <f t="shared" si="8"/>
        <v>Ingetje</v>
      </c>
      <c r="Y456" s="86" t="str">
        <f t="shared" si="9"/>
        <v>https://www.munzee.com/m/Ingetje/5443/</v>
      </c>
    </row>
    <row r="457" hidden="1" outlineLevel="1">
      <c r="A457" s="76" t="s">
        <v>1076</v>
      </c>
      <c r="B457" s="77">
        <v>37.0</v>
      </c>
      <c r="C457" s="77">
        <v>15.0</v>
      </c>
      <c r="D457" s="64">
        <v>52.117267</v>
      </c>
      <c r="E457" s="64">
        <v>5.383988</v>
      </c>
      <c r="F457" s="78" t="s">
        <v>877</v>
      </c>
      <c r="G457" s="78" t="s">
        <v>878</v>
      </c>
      <c r="H457" s="78" t="s">
        <v>1028</v>
      </c>
      <c r="I457" s="79" t="s">
        <v>1077</v>
      </c>
      <c r="J457" s="80"/>
      <c r="K457" s="78" t="b">
        <v>1</v>
      </c>
      <c r="L457" s="66" t="str">
        <f t="shared" si="2"/>
        <v/>
      </c>
      <c r="M457" s="81" t="str">
        <f>IFERROR(__xludf.DUMMYFUNCTION("IF(W457=1,IFERROR(IMPORTXML(I457, ""//p[@class='status-date']""), ""Not deployed""),"""")"),"")</f>
        <v/>
      </c>
      <c r="N457" s="82"/>
      <c r="O457" s="66"/>
      <c r="P457" s="66"/>
      <c r="Q457" s="66"/>
      <c r="R457" s="83" t="str">
        <f t="shared" si="25"/>
        <v/>
      </c>
      <c r="S457" s="84" t="str">
        <f t="shared" si="4"/>
        <v/>
      </c>
      <c r="T457" s="85"/>
      <c r="U457" s="82">
        <f t="shared" si="5"/>
        <v>0</v>
      </c>
      <c r="V457" s="66">
        <f t="shared" si="6"/>
        <v>0</v>
      </c>
      <c r="W457" s="81">
        <f t="shared" si="7"/>
        <v>0</v>
      </c>
      <c r="X457" s="82" t="str">
        <f t="shared" si="8"/>
        <v>TeamBlackie</v>
      </c>
      <c r="Y457" s="86" t="str">
        <f t="shared" si="9"/>
        <v>https://www.munzee.com/m/TeamBlackie/1100/</v>
      </c>
    </row>
    <row r="458" hidden="1" outlineLevel="1">
      <c r="A458" s="76" t="s">
        <v>1078</v>
      </c>
      <c r="B458" s="77">
        <v>37.0</v>
      </c>
      <c r="C458" s="77">
        <v>16.0</v>
      </c>
      <c r="D458" s="64">
        <v>52.117267</v>
      </c>
      <c r="E458" s="64">
        <v>5.384222</v>
      </c>
      <c r="F458" s="78" t="s">
        <v>100</v>
      </c>
      <c r="G458" s="78" t="s">
        <v>101</v>
      </c>
      <c r="H458" s="66" t="str">
        <f t="shared" ref="H458:H459" si="44">IF(ISTEXT(X458),X458,"")</f>
        <v>HtV</v>
      </c>
      <c r="I458" s="79" t="s">
        <v>1079</v>
      </c>
      <c r="J458" s="80"/>
      <c r="K458" s="78" t="b">
        <v>1</v>
      </c>
      <c r="L458" s="66" t="str">
        <f t="shared" si="2"/>
        <v/>
      </c>
      <c r="M458" s="81" t="str">
        <f>IFERROR(__xludf.DUMMYFUNCTION("IF(W458=1,IFERROR(IMPORTXML(I458, ""//p[@class='status-date']""), ""Not deployed""),"""")"),"")</f>
        <v/>
      </c>
      <c r="N458" s="82"/>
      <c r="O458" s="66"/>
      <c r="P458" s="66"/>
      <c r="Q458" s="66"/>
      <c r="R458" s="83" t="str">
        <f t="shared" si="25"/>
        <v/>
      </c>
      <c r="S458" s="84" t="str">
        <f t="shared" si="4"/>
        <v/>
      </c>
      <c r="T458" s="85"/>
      <c r="U458" s="82">
        <f t="shared" si="5"/>
        <v>0</v>
      </c>
      <c r="V458" s="66">
        <f t="shared" si="6"/>
        <v>0</v>
      </c>
      <c r="W458" s="81">
        <f t="shared" si="7"/>
        <v>0</v>
      </c>
      <c r="X458" s="82" t="str">
        <f t="shared" si="8"/>
        <v>HtV</v>
      </c>
      <c r="Y458" s="86" t="str">
        <f t="shared" si="9"/>
        <v>https://www.munzee.com/m/HtV/9713/</v>
      </c>
    </row>
    <row r="459" hidden="1" outlineLevel="1">
      <c r="A459" s="76" t="s">
        <v>1080</v>
      </c>
      <c r="B459" s="77">
        <v>37.0</v>
      </c>
      <c r="C459" s="77">
        <v>18.0</v>
      </c>
      <c r="D459" s="64">
        <v>52.117267</v>
      </c>
      <c r="E459" s="64">
        <v>5.38469</v>
      </c>
      <c r="F459" s="78" t="s">
        <v>100</v>
      </c>
      <c r="G459" s="78" t="s">
        <v>101</v>
      </c>
      <c r="H459" s="66" t="str">
        <f t="shared" si="44"/>
        <v>Ingetje</v>
      </c>
      <c r="I459" s="94" t="s">
        <v>1081</v>
      </c>
      <c r="J459" s="80"/>
      <c r="K459" s="78" t="b">
        <v>1</v>
      </c>
      <c r="L459" s="66" t="str">
        <f t="shared" si="2"/>
        <v/>
      </c>
      <c r="M459" s="81" t="str">
        <f>IFERROR(__xludf.DUMMYFUNCTION("IF(W459=1,IFERROR(IMPORTXML(I459, ""//p[@class='status-date']""), ""Not deployed""),"""")"),"")</f>
        <v/>
      </c>
      <c r="N459" s="82"/>
      <c r="O459" s="66"/>
      <c r="P459" s="66"/>
      <c r="Q459" s="66"/>
      <c r="R459" s="83" t="str">
        <f t="shared" si="25"/>
        <v/>
      </c>
      <c r="S459" s="84" t="str">
        <f t="shared" si="4"/>
        <v/>
      </c>
      <c r="T459" s="85"/>
      <c r="U459" s="82">
        <f t="shared" si="5"/>
        <v>0</v>
      </c>
      <c r="V459" s="66">
        <f t="shared" si="6"/>
        <v>0</v>
      </c>
      <c r="W459" s="81">
        <f t="shared" si="7"/>
        <v>0</v>
      </c>
      <c r="X459" s="82" t="str">
        <f t="shared" si="8"/>
        <v>Ingetje</v>
      </c>
      <c r="Y459" s="86" t="str">
        <f t="shared" si="9"/>
        <v>https://www.munzee.com/m/Ingetje/5408/</v>
      </c>
    </row>
    <row r="460" hidden="1" outlineLevel="1">
      <c r="A460" s="76" t="s">
        <v>1082</v>
      </c>
      <c r="B460" s="77">
        <v>37.0</v>
      </c>
      <c r="C460" s="77">
        <v>19.0</v>
      </c>
      <c r="D460" s="64">
        <v>52.117267</v>
      </c>
      <c r="E460" s="64">
        <v>5.384924</v>
      </c>
      <c r="F460" s="78" t="s">
        <v>877</v>
      </c>
      <c r="G460" s="78" t="s">
        <v>878</v>
      </c>
      <c r="H460" s="78" t="s">
        <v>1063</v>
      </c>
      <c r="I460" s="94" t="s">
        <v>1083</v>
      </c>
      <c r="J460" s="80"/>
      <c r="K460" s="78" t="b">
        <v>1</v>
      </c>
      <c r="L460" s="66" t="str">
        <f t="shared" si="2"/>
        <v/>
      </c>
      <c r="M460" s="81" t="str">
        <f>IFERROR(__xludf.DUMMYFUNCTION("IF(W460=1,IFERROR(IMPORTXML(#REF!, ""//p[@class='status-date']""), ""Not deployed""),"""")"),"")</f>
        <v/>
      </c>
      <c r="N460" s="82"/>
      <c r="O460" s="66"/>
      <c r="P460" s="66"/>
      <c r="Q460" s="66"/>
      <c r="R460" s="83" t="str">
        <f t="shared" si="25"/>
        <v/>
      </c>
      <c r="S460" s="84" t="str">
        <f t="shared" si="4"/>
        <v/>
      </c>
      <c r="T460" s="85"/>
      <c r="U460" s="82">
        <f t="shared" si="5"/>
        <v>0</v>
      </c>
      <c r="V460" s="66">
        <f t="shared" si="6"/>
        <v>0</v>
      </c>
      <c r="W460" s="81">
        <f t="shared" si="7"/>
        <v>0</v>
      </c>
      <c r="X460" s="82" t="str">
        <f t="shared" si="8"/>
        <v>Dikkedoos</v>
      </c>
      <c r="Y460" s="86" t="str">
        <f t="shared" si="9"/>
        <v>https://www.munzee.com/m/Dikkedoos/3324/</v>
      </c>
    </row>
    <row r="461" hidden="1" outlineLevel="1">
      <c r="A461" s="76" t="s">
        <v>1084</v>
      </c>
      <c r="B461" s="77">
        <v>37.0</v>
      </c>
      <c r="C461" s="77">
        <v>20.0</v>
      </c>
      <c r="D461" s="64">
        <v>52.117267</v>
      </c>
      <c r="E461" s="64">
        <v>5.385158</v>
      </c>
      <c r="F461" s="78" t="s">
        <v>100</v>
      </c>
      <c r="G461" s="78" t="s">
        <v>101</v>
      </c>
      <c r="H461" s="78" t="s">
        <v>323</v>
      </c>
      <c r="I461" s="79" t="s">
        <v>1085</v>
      </c>
      <c r="J461" s="80"/>
      <c r="K461" s="78" t="b">
        <v>1</v>
      </c>
      <c r="L461" s="66" t="str">
        <f t="shared" si="2"/>
        <v/>
      </c>
      <c r="M461" s="81" t="str">
        <f>IFERROR(__xludf.DUMMYFUNCTION("IF(W461=1,IFERROR(IMPORTXML(I460, ""//p[@class='status-date']""), ""Not deployed""),"""")"),"")</f>
        <v/>
      </c>
      <c r="N461" s="82"/>
      <c r="O461" s="66"/>
      <c r="P461" s="66"/>
      <c r="Q461" s="66"/>
      <c r="R461" s="83" t="str">
        <f t="shared" si="25"/>
        <v/>
      </c>
      <c r="S461" s="84" t="str">
        <f t="shared" si="4"/>
        <v/>
      </c>
      <c r="T461" s="85"/>
      <c r="U461" s="82">
        <f t="shared" si="5"/>
        <v>0</v>
      </c>
      <c r="V461" s="66">
        <f t="shared" si="6"/>
        <v>0</v>
      </c>
      <c r="W461" s="81">
        <f t="shared" si="7"/>
        <v>0</v>
      </c>
      <c r="X461" s="82" t="str">
        <f>iferror(mid(I460,26,find("/",I460,26)-26),"")</f>
        <v>Dikkedoos</v>
      </c>
      <c r="Y461" s="86" t="str">
        <f>SUBSTITUTE(SUBSTITUTE(if(right($I460)="/",$I460,$I460&amp;"/"),"/admin",""),"/map","")</f>
        <v>https://www.munzee.com/m/Dikkedoos/3324/</v>
      </c>
    </row>
    <row r="462" hidden="1" outlineLevel="1">
      <c r="A462" s="76" t="s">
        <v>1086</v>
      </c>
      <c r="B462" s="77">
        <v>38.0</v>
      </c>
      <c r="C462" s="77">
        <v>3.0</v>
      </c>
      <c r="D462" s="64">
        <v>52.117123</v>
      </c>
      <c r="E462" s="64">
        <v>5.381179</v>
      </c>
      <c r="F462" s="78" t="s">
        <v>1087</v>
      </c>
      <c r="G462" s="78" t="s">
        <v>1088</v>
      </c>
      <c r="H462" s="66" t="str">
        <f>IF(X462=" ",X462,'Flamingo @ DenTreek'!H460)</f>
        <v>bordentaxi</v>
      </c>
      <c r="I462" s="79" t="str">
        <f>'Flamingo @ DenTreek'!I460</f>
        <v>https://www.munzee.com/m/bordentaxi/8241/</v>
      </c>
      <c r="J462" s="80"/>
      <c r="K462" s="78" t="b">
        <v>1</v>
      </c>
      <c r="L462" s="66" t="str">
        <f t="shared" si="2"/>
        <v/>
      </c>
      <c r="M462" s="81" t="str">
        <f>IFERROR(__xludf.DUMMYFUNCTION("IF(W462=1,IFERROR(IMPORTXML(I462, ""//p[@class='status-date']""), ""Not deployed""),"""")"),"")</f>
        <v/>
      </c>
      <c r="N462" s="82"/>
      <c r="O462" s="66"/>
      <c r="P462" s="66"/>
      <c r="Q462" s="66"/>
      <c r="R462" s="83" t="str">
        <f t="shared" si="25"/>
        <v/>
      </c>
      <c r="S462" s="84" t="str">
        <f t="shared" si="4"/>
        <v/>
      </c>
      <c r="T462" s="85"/>
      <c r="U462" s="82">
        <f t="shared" si="5"/>
        <v>0</v>
      </c>
      <c r="V462" s="66">
        <f t="shared" si="6"/>
        <v>0</v>
      </c>
      <c r="W462" s="81">
        <f t="shared" si="7"/>
        <v>0</v>
      </c>
      <c r="X462" s="82" t="str">
        <f t="shared" ref="X462:X576" si="45">iferror(mid(I462,26,find("/",I462,26)-26),"")</f>
        <v>bordentaxi</v>
      </c>
      <c r="Y462" s="86" t="str">
        <f t="shared" ref="Y462:Y576" si="46">SUBSTITUTE(SUBSTITUTE(if(right($I462)="/",$I462,$I462&amp;"/"),"/admin",""),"/map","")</f>
        <v>https://www.munzee.com/m/bordentaxi/8241/</v>
      </c>
    </row>
    <row r="463" hidden="1" outlineLevel="1">
      <c r="A463" s="76" t="s">
        <v>1089</v>
      </c>
      <c r="B463" s="77">
        <v>38.0</v>
      </c>
      <c r="C463" s="77">
        <v>4.0</v>
      </c>
      <c r="D463" s="64">
        <v>52.117123</v>
      </c>
      <c r="E463" s="64">
        <v>5.381413</v>
      </c>
      <c r="F463" s="78" t="s">
        <v>1087</v>
      </c>
      <c r="G463" s="78" t="s">
        <v>1088</v>
      </c>
      <c r="H463" s="66" t="str">
        <f>IF(X463=" ",X463,'Flamingo @ DenTreek'!H461)</f>
        <v>felixbongers</v>
      </c>
      <c r="I463" s="79" t="str">
        <f>'Flamingo @ DenTreek'!I461</f>
        <v>https://www.munzee.com/m/felixbongers/10558/</v>
      </c>
      <c r="J463" s="80"/>
      <c r="K463" s="78" t="b">
        <v>1</v>
      </c>
      <c r="L463" s="66" t="str">
        <f t="shared" si="2"/>
        <v/>
      </c>
      <c r="M463" s="81" t="str">
        <f>IFERROR(__xludf.DUMMYFUNCTION("IF(W463=1,IFERROR(IMPORTXML(I463, ""//p[@class='status-date']""), ""Not deployed""),"""")"),"")</f>
        <v/>
      </c>
      <c r="N463" s="82"/>
      <c r="O463" s="66"/>
      <c r="P463" s="66"/>
      <c r="Q463" s="66"/>
      <c r="R463" s="83" t="str">
        <f t="shared" si="25"/>
        <v/>
      </c>
      <c r="S463" s="84" t="str">
        <f t="shared" si="4"/>
        <v/>
      </c>
      <c r="T463" s="85"/>
      <c r="U463" s="82">
        <f t="shared" si="5"/>
        <v>0</v>
      </c>
      <c r="V463" s="66">
        <f t="shared" si="6"/>
        <v>0</v>
      </c>
      <c r="W463" s="81">
        <f t="shared" si="7"/>
        <v>0</v>
      </c>
      <c r="X463" s="82" t="str">
        <f t="shared" si="45"/>
        <v>felixbongers</v>
      </c>
      <c r="Y463" s="86" t="str">
        <f t="shared" si="46"/>
        <v>https://www.munzee.com/m/felixbongers/10558/</v>
      </c>
    </row>
    <row r="464" hidden="1" outlineLevel="1">
      <c r="A464" s="76" t="s">
        <v>1090</v>
      </c>
      <c r="B464" s="77">
        <v>38.0</v>
      </c>
      <c r="C464" s="77">
        <v>8.0</v>
      </c>
      <c r="D464" s="64">
        <v>52.117123</v>
      </c>
      <c r="E464" s="64">
        <v>5.38235</v>
      </c>
      <c r="F464" s="78" t="s">
        <v>1087</v>
      </c>
      <c r="G464" s="78" t="s">
        <v>1088</v>
      </c>
      <c r="H464" s="66" t="str">
        <f>IF(X464=" ",X464,'Flamingo @ DenTreek'!H462)</f>
        <v>feikjen</v>
      </c>
      <c r="I464" s="79" t="str">
        <f>'Flamingo @ DenTreek'!I462</f>
        <v>https://www.munzee.com/m/feikjen/10805</v>
      </c>
      <c r="J464" s="80"/>
      <c r="K464" s="78" t="b">
        <v>1</v>
      </c>
      <c r="L464" s="66" t="str">
        <f t="shared" si="2"/>
        <v/>
      </c>
      <c r="M464" s="81" t="str">
        <f>IFERROR(__xludf.DUMMYFUNCTION("IF(W464=1,IFERROR(IMPORTXML(I464, ""//p[@class='status-date']""), ""Not deployed""),"""")"),"")</f>
        <v/>
      </c>
      <c r="N464" s="82"/>
      <c r="O464" s="66"/>
      <c r="P464" s="66"/>
      <c r="Q464" s="66"/>
      <c r="R464" s="83" t="str">
        <f t="shared" si="25"/>
        <v/>
      </c>
      <c r="S464" s="84" t="str">
        <f t="shared" si="4"/>
        <v/>
      </c>
      <c r="T464" s="85"/>
      <c r="U464" s="82">
        <f t="shared" si="5"/>
        <v>0</v>
      </c>
      <c r="V464" s="66">
        <f t="shared" si="6"/>
        <v>0</v>
      </c>
      <c r="W464" s="81">
        <f t="shared" si="7"/>
        <v>0</v>
      </c>
      <c r="X464" s="82" t="str">
        <f t="shared" si="45"/>
        <v>feikjen</v>
      </c>
      <c r="Y464" s="86" t="str">
        <f t="shared" si="46"/>
        <v>https://www.munzee.com/m/feikjen/10805/</v>
      </c>
    </row>
    <row r="465" hidden="1" outlineLevel="1">
      <c r="A465" s="76" t="s">
        <v>1091</v>
      </c>
      <c r="B465" s="77">
        <v>38.0</v>
      </c>
      <c r="C465" s="77">
        <v>9.0</v>
      </c>
      <c r="D465" s="64">
        <v>52.117123</v>
      </c>
      <c r="E465" s="64">
        <v>5.382584</v>
      </c>
      <c r="F465" s="78" t="s">
        <v>1087</v>
      </c>
      <c r="G465" s="78" t="s">
        <v>1088</v>
      </c>
      <c r="H465" s="66" t="str">
        <f>IF(ISTEXT(X465),X465,"")</f>
        <v>Marnic</v>
      </c>
      <c r="I465" s="79" t="s">
        <v>1092</v>
      </c>
      <c r="J465" s="80"/>
      <c r="K465" s="78" t="b">
        <v>1</v>
      </c>
      <c r="L465" s="66" t="str">
        <f t="shared" si="2"/>
        <v/>
      </c>
      <c r="M465" s="81" t="str">
        <f>IFERROR(__xludf.DUMMYFUNCTION("IF(W465=1,IFERROR(IMPORTXML(I465, ""//p[@class='status-date']""), ""Not deployed""),"""")"),"")</f>
        <v/>
      </c>
      <c r="N465" s="82"/>
      <c r="O465" s="66"/>
      <c r="P465" s="66"/>
      <c r="Q465" s="66"/>
      <c r="R465" s="83" t="str">
        <f t="shared" si="25"/>
        <v/>
      </c>
      <c r="S465" s="84" t="str">
        <f t="shared" si="4"/>
        <v/>
      </c>
      <c r="T465" s="85"/>
      <c r="U465" s="82">
        <f t="shared" si="5"/>
        <v>0</v>
      </c>
      <c r="V465" s="66">
        <f t="shared" si="6"/>
        <v>0</v>
      </c>
      <c r="W465" s="81">
        <f t="shared" si="7"/>
        <v>0</v>
      </c>
      <c r="X465" s="82" t="str">
        <f t="shared" si="45"/>
        <v>Marnic</v>
      </c>
      <c r="Y465" s="86" t="str">
        <f t="shared" si="46"/>
        <v>https://www.munzee.com/m/Marnic/18343/</v>
      </c>
    </row>
    <row r="466" hidden="1" outlineLevel="1">
      <c r="A466" s="76" t="s">
        <v>1093</v>
      </c>
      <c r="B466" s="77">
        <v>38.0</v>
      </c>
      <c r="C466" s="77">
        <v>14.0</v>
      </c>
      <c r="D466" s="64">
        <v>52.117123</v>
      </c>
      <c r="E466" s="64">
        <v>5.383754</v>
      </c>
      <c r="F466" s="78" t="s">
        <v>125</v>
      </c>
      <c r="G466" s="78" t="s">
        <v>126</v>
      </c>
      <c r="H466" s="78" t="s">
        <v>1020</v>
      </c>
      <c r="I466" s="94" t="s">
        <v>1094</v>
      </c>
      <c r="J466" s="80"/>
      <c r="K466" s="78" t="b">
        <v>1</v>
      </c>
      <c r="L466" s="66" t="str">
        <f t="shared" si="2"/>
        <v/>
      </c>
      <c r="M466" s="81" t="str">
        <f>IFERROR(__xludf.DUMMYFUNCTION("IF(W466=1,IFERROR(IMPORTXML(I466, ""//p[@class='status-date']""), ""Not deployed""),"""")"),"")</f>
        <v/>
      </c>
      <c r="N466" s="82"/>
      <c r="O466" s="66"/>
      <c r="P466" s="66"/>
      <c r="Q466" s="66"/>
      <c r="R466" s="83" t="str">
        <f t="shared" si="25"/>
        <v/>
      </c>
      <c r="S466" s="84" t="str">
        <f t="shared" si="4"/>
        <v/>
      </c>
      <c r="T466" s="85"/>
      <c r="U466" s="82">
        <f t="shared" si="5"/>
        <v>0</v>
      </c>
      <c r="V466" s="66">
        <f t="shared" si="6"/>
        <v>0</v>
      </c>
      <c r="W466" s="81">
        <f t="shared" si="7"/>
        <v>0</v>
      </c>
      <c r="X466" s="82" t="str">
        <f t="shared" si="45"/>
        <v>Tossie</v>
      </c>
      <c r="Y466" s="86" t="str">
        <f t="shared" si="46"/>
        <v>https://www.munzee.com/m/Tossie/11892/</v>
      </c>
    </row>
    <row r="467" hidden="1" outlineLevel="1">
      <c r="A467" s="76" t="s">
        <v>1095</v>
      </c>
      <c r="B467" s="77">
        <v>38.0</v>
      </c>
      <c r="C467" s="77">
        <v>15.0</v>
      </c>
      <c r="D467" s="64">
        <v>52.117123</v>
      </c>
      <c r="E467" s="64">
        <v>5.383988</v>
      </c>
      <c r="F467" s="78" t="s">
        <v>100</v>
      </c>
      <c r="G467" s="78" t="s">
        <v>101</v>
      </c>
      <c r="H467" s="78" t="s">
        <v>1023</v>
      </c>
      <c r="I467" s="94" t="s">
        <v>1096</v>
      </c>
      <c r="J467" s="80"/>
      <c r="K467" s="78" t="b">
        <v>1</v>
      </c>
      <c r="L467" s="66" t="str">
        <f t="shared" si="2"/>
        <v/>
      </c>
      <c r="M467" s="81" t="str">
        <f>IFERROR(__xludf.DUMMYFUNCTION("IF(W467=1,IFERROR(IMPORTXML(I467, ""//p[@class='status-date']""), ""Not deployed""),"""")"),"")</f>
        <v/>
      </c>
      <c r="N467" s="82"/>
      <c r="O467" s="66"/>
      <c r="P467" s="66"/>
      <c r="Q467" s="66"/>
      <c r="R467" s="83" t="str">
        <f t="shared" si="25"/>
        <v/>
      </c>
      <c r="S467" s="84" t="str">
        <f t="shared" si="4"/>
        <v/>
      </c>
      <c r="T467" s="85"/>
      <c r="U467" s="82">
        <f t="shared" si="5"/>
        <v>0</v>
      </c>
      <c r="V467" s="66">
        <f t="shared" si="6"/>
        <v>0</v>
      </c>
      <c r="W467" s="81">
        <f t="shared" si="7"/>
        <v>0</v>
      </c>
      <c r="X467" s="82" t="str">
        <f t="shared" si="45"/>
        <v>DiSaRu</v>
      </c>
      <c r="Y467" s="86" t="str">
        <f t="shared" si="46"/>
        <v>https://www.munzee.com/m/DiSaRu/6729/</v>
      </c>
    </row>
    <row r="468" hidden="1" outlineLevel="1">
      <c r="A468" s="76" t="s">
        <v>1097</v>
      </c>
      <c r="B468" s="77">
        <v>38.0</v>
      </c>
      <c r="C468" s="77">
        <v>18.0</v>
      </c>
      <c r="D468" s="64">
        <v>52.117123</v>
      </c>
      <c r="E468" s="64">
        <v>5.38469</v>
      </c>
      <c r="F468" s="78" t="s">
        <v>100</v>
      </c>
      <c r="G468" s="78" t="s">
        <v>101</v>
      </c>
      <c r="H468" s="78" t="s">
        <v>1098</v>
      </c>
      <c r="I468" s="79" t="s">
        <v>1099</v>
      </c>
      <c r="J468" s="88"/>
      <c r="K468" s="78" t="b">
        <v>1</v>
      </c>
      <c r="L468" s="66" t="str">
        <f t="shared" si="2"/>
        <v/>
      </c>
      <c r="M468" s="81" t="str">
        <f>IFERROR(__xludf.DUMMYFUNCTION("IF(W468=1,IFERROR(IMPORTXML(I468, ""//p[@class='status-date']""), ""Not deployed""),"""")"),"")</f>
        <v/>
      </c>
      <c r="N468" s="82"/>
      <c r="O468" s="66"/>
      <c r="P468" s="66"/>
      <c r="Q468" s="66"/>
      <c r="R468" s="83" t="str">
        <f t="shared" si="25"/>
        <v/>
      </c>
      <c r="S468" s="84" t="str">
        <f t="shared" si="4"/>
        <v/>
      </c>
      <c r="T468" s="85"/>
      <c r="U468" s="82">
        <f t="shared" si="5"/>
        <v>0</v>
      </c>
      <c r="V468" s="66">
        <f t="shared" si="6"/>
        <v>0</v>
      </c>
      <c r="W468" s="81">
        <f t="shared" si="7"/>
        <v>0</v>
      </c>
      <c r="X468" s="82" t="str">
        <f t="shared" si="45"/>
        <v>halizwein</v>
      </c>
      <c r="Y468" s="86" t="str">
        <f t="shared" si="46"/>
        <v>https://www.munzee.com/m/halizwein/25205/</v>
      </c>
    </row>
    <row r="469" hidden="1" outlineLevel="1">
      <c r="A469" s="76" t="s">
        <v>1100</v>
      </c>
      <c r="B469" s="77">
        <v>38.0</v>
      </c>
      <c r="C469" s="77">
        <v>19.0</v>
      </c>
      <c r="D469" s="64">
        <v>52.117123</v>
      </c>
      <c r="E469" s="64">
        <v>5.384924</v>
      </c>
      <c r="F469" s="78" t="s">
        <v>125</v>
      </c>
      <c r="G469" s="78" t="s">
        <v>126</v>
      </c>
      <c r="H469" s="97" t="s">
        <v>1101</v>
      </c>
      <c r="I469" s="79" t="s">
        <v>1102</v>
      </c>
      <c r="J469" s="80"/>
      <c r="K469" s="78" t="b">
        <v>1</v>
      </c>
      <c r="L469" s="66" t="str">
        <f t="shared" si="2"/>
        <v/>
      </c>
      <c r="M469" s="81" t="str">
        <f>IFERROR(__xludf.DUMMYFUNCTION("IF(W469=1,IFERROR(IMPORTXML(I469, ""//p[@class='status-date']""), ""Not deployed""),"""")"),"")</f>
        <v/>
      </c>
      <c r="N469" s="82"/>
      <c r="O469" s="66"/>
      <c r="P469" s="66"/>
      <c r="Q469" s="66"/>
      <c r="R469" s="83" t="str">
        <f t="shared" si="25"/>
        <v/>
      </c>
      <c r="S469" s="84" t="str">
        <f t="shared" si="4"/>
        <v/>
      </c>
      <c r="T469" s="85"/>
      <c r="U469" s="82">
        <f t="shared" si="5"/>
        <v>0</v>
      </c>
      <c r="V469" s="66">
        <f t="shared" si="6"/>
        <v>0</v>
      </c>
      <c r="W469" s="81">
        <f t="shared" si="7"/>
        <v>0</v>
      </c>
      <c r="X469" s="82" t="str">
        <f t="shared" si="45"/>
        <v>Lehmis</v>
      </c>
      <c r="Y469" s="86" t="str">
        <f t="shared" si="46"/>
        <v>https://www.munzee.com/m/Lehmis/9476/</v>
      </c>
    </row>
    <row r="470" hidden="1" outlineLevel="1">
      <c r="A470" s="76" t="s">
        <v>1103</v>
      </c>
      <c r="B470" s="77">
        <v>38.0</v>
      </c>
      <c r="C470" s="77">
        <v>20.0</v>
      </c>
      <c r="D470" s="64">
        <v>52.117123</v>
      </c>
      <c r="E470" s="64">
        <v>5.385158</v>
      </c>
      <c r="F470" s="78" t="s">
        <v>100</v>
      </c>
      <c r="G470" s="78" t="s">
        <v>101</v>
      </c>
      <c r="H470" s="66" t="str">
        <f>IF(ISTEXT(X470),X470,"")</f>
        <v>FreezeMan073</v>
      </c>
      <c r="I470" s="94" t="s">
        <v>1104</v>
      </c>
      <c r="J470" s="80"/>
      <c r="K470" s="78" t="b">
        <v>1</v>
      </c>
      <c r="L470" s="66" t="str">
        <f t="shared" si="2"/>
        <v/>
      </c>
      <c r="M470" s="81" t="str">
        <f>IFERROR(__xludf.DUMMYFUNCTION("IF(W470=1,IFERROR(IMPORTXML(I470, ""//p[@class='status-date']""), ""Not deployed""),"""")"),"")</f>
        <v/>
      </c>
      <c r="N470" s="82"/>
      <c r="O470" s="66"/>
      <c r="P470" s="66"/>
      <c r="Q470" s="66"/>
      <c r="R470" s="83" t="str">
        <f t="shared" si="25"/>
        <v/>
      </c>
      <c r="S470" s="84" t="str">
        <f t="shared" si="4"/>
        <v/>
      </c>
      <c r="T470" s="85"/>
      <c r="U470" s="82">
        <f t="shared" si="5"/>
        <v>0</v>
      </c>
      <c r="V470" s="66">
        <f t="shared" si="6"/>
        <v>0</v>
      </c>
      <c r="W470" s="81">
        <f t="shared" si="7"/>
        <v>0</v>
      </c>
      <c r="X470" s="82" t="str">
        <f t="shared" si="45"/>
        <v>FreezeMan073</v>
      </c>
      <c r="Y470" s="86" t="str">
        <f t="shared" si="46"/>
        <v>https://www.munzee.com/m/FreezeMan073/2428/</v>
      </c>
    </row>
    <row r="471" hidden="1" outlineLevel="1">
      <c r="A471" s="76" t="s">
        <v>1105</v>
      </c>
      <c r="B471" s="77">
        <v>38.0</v>
      </c>
      <c r="C471" s="77">
        <v>25.0</v>
      </c>
      <c r="D471" s="64">
        <v>52.117123</v>
      </c>
      <c r="E471" s="64">
        <v>5.386329</v>
      </c>
      <c r="F471" s="78" t="s">
        <v>1087</v>
      </c>
      <c r="G471" s="78" t="s">
        <v>1088</v>
      </c>
      <c r="H471" s="78" t="s">
        <v>443</v>
      </c>
      <c r="I471" s="79" t="s">
        <v>1106</v>
      </c>
      <c r="J471" s="80"/>
      <c r="K471" s="78" t="b">
        <v>1</v>
      </c>
      <c r="L471" s="66" t="str">
        <f t="shared" si="2"/>
        <v/>
      </c>
      <c r="M471" s="81" t="str">
        <f>IFERROR(__xludf.DUMMYFUNCTION("IF(W471=1,IFERROR(IMPORTXML(I471, ""//p[@class='status-date']""), ""Not deployed""),"""")"),"")</f>
        <v/>
      </c>
      <c r="N471" s="82"/>
      <c r="O471" s="66"/>
      <c r="P471" s="66"/>
      <c r="Q471" s="66"/>
      <c r="R471" s="83" t="str">
        <f t="shared" si="25"/>
        <v/>
      </c>
      <c r="S471" s="84" t="str">
        <f t="shared" si="4"/>
        <v/>
      </c>
      <c r="T471" s="85"/>
      <c r="U471" s="82">
        <f t="shared" si="5"/>
        <v>0</v>
      </c>
      <c r="V471" s="66">
        <f t="shared" si="6"/>
        <v>0</v>
      </c>
      <c r="W471" s="81">
        <f t="shared" si="7"/>
        <v>0</v>
      </c>
      <c r="X471" s="82" t="str">
        <f t="shared" si="45"/>
        <v>RoversEnd</v>
      </c>
      <c r="Y471" s="86" t="str">
        <f t="shared" si="46"/>
        <v>https://www.munzee.com/m/RoversEnd/3908/</v>
      </c>
    </row>
    <row r="472" hidden="1" outlineLevel="1">
      <c r="A472" s="76" t="s">
        <v>1107</v>
      </c>
      <c r="B472" s="77">
        <v>38.0</v>
      </c>
      <c r="C472" s="77">
        <v>26.0</v>
      </c>
      <c r="D472" s="64">
        <v>52.117123</v>
      </c>
      <c r="E472" s="64">
        <v>5.386563</v>
      </c>
      <c r="F472" s="78" t="s">
        <v>1087</v>
      </c>
      <c r="G472" s="78" t="s">
        <v>1088</v>
      </c>
      <c r="H472" s="66" t="str">
        <f>IF(X472=" ",X472,'Flamingo @ DenTreek'!H470)</f>
        <v>bordentaxi</v>
      </c>
      <c r="I472" s="79" t="str">
        <f>'Flamingo @ DenTreek'!I470</f>
        <v>https://www.munzee.com/m/bordentaxi/8332/</v>
      </c>
      <c r="J472" s="80"/>
      <c r="K472" s="78" t="b">
        <v>1</v>
      </c>
      <c r="L472" s="66" t="str">
        <f t="shared" si="2"/>
        <v/>
      </c>
      <c r="M472" s="81" t="str">
        <f>IFERROR(__xludf.DUMMYFUNCTION("IF(W472=1,IFERROR(IMPORTXML(I472, ""//p[@class='status-date']""), ""Not deployed""),"""")"),"")</f>
        <v/>
      </c>
      <c r="N472" s="82"/>
      <c r="O472" s="66"/>
      <c r="P472" s="66"/>
      <c r="Q472" s="66"/>
      <c r="R472" s="83" t="str">
        <f t="shared" si="25"/>
        <v/>
      </c>
      <c r="S472" s="84" t="str">
        <f t="shared" si="4"/>
        <v/>
      </c>
      <c r="T472" s="85"/>
      <c r="U472" s="82">
        <f t="shared" si="5"/>
        <v>0</v>
      </c>
      <c r="V472" s="66">
        <f t="shared" si="6"/>
        <v>0</v>
      </c>
      <c r="W472" s="81">
        <f t="shared" si="7"/>
        <v>0</v>
      </c>
      <c r="X472" s="82" t="str">
        <f t="shared" si="45"/>
        <v>bordentaxi</v>
      </c>
      <c r="Y472" s="86" t="str">
        <f t="shared" si="46"/>
        <v>https://www.munzee.com/m/bordentaxi/8332/</v>
      </c>
    </row>
    <row r="473" hidden="1" outlineLevel="1">
      <c r="A473" s="76" t="s">
        <v>1108</v>
      </c>
      <c r="B473" s="77">
        <v>38.0</v>
      </c>
      <c r="C473" s="77">
        <v>30.0</v>
      </c>
      <c r="D473" s="64">
        <v>52.117123</v>
      </c>
      <c r="E473" s="64">
        <v>5.387499</v>
      </c>
      <c r="F473" s="78" t="s">
        <v>1087</v>
      </c>
      <c r="G473" s="78" t="s">
        <v>1088</v>
      </c>
      <c r="H473" s="66" t="str">
        <f>IF(X473=" ",X473,'Flamingo @ DenTreek'!H471)</f>
        <v>felixbongers</v>
      </c>
      <c r="I473" s="79" t="str">
        <f>'Flamingo @ DenTreek'!I471</f>
        <v>https://www.munzee.com/m/felixbongers/9685</v>
      </c>
      <c r="J473" s="80"/>
      <c r="K473" s="78" t="b">
        <v>1</v>
      </c>
      <c r="L473" s="66" t="str">
        <f t="shared" si="2"/>
        <v/>
      </c>
      <c r="M473" s="81" t="str">
        <f>IFERROR(__xludf.DUMMYFUNCTION("IF(W473=1,IFERROR(IMPORTXML(I473, ""//p[@class='status-date']""), ""Not deployed""),"""")"),"")</f>
        <v/>
      </c>
      <c r="N473" s="82"/>
      <c r="O473" s="66"/>
      <c r="P473" s="66"/>
      <c r="Q473" s="66"/>
      <c r="R473" s="83" t="str">
        <f t="shared" si="25"/>
        <v/>
      </c>
      <c r="S473" s="84" t="str">
        <f t="shared" si="4"/>
        <v/>
      </c>
      <c r="T473" s="85"/>
      <c r="U473" s="82">
        <f t="shared" si="5"/>
        <v>0</v>
      </c>
      <c r="V473" s="66">
        <f t="shared" si="6"/>
        <v>0</v>
      </c>
      <c r="W473" s="81">
        <f t="shared" si="7"/>
        <v>0</v>
      </c>
      <c r="X473" s="82" t="str">
        <f t="shared" si="45"/>
        <v>felixbongers</v>
      </c>
      <c r="Y473" s="86" t="str">
        <f t="shared" si="46"/>
        <v>https://www.munzee.com/m/felixbongers/9685/</v>
      </c>
    </row>
    <row r="474" hidden="1" outlineLevel="1">
      <c r="A474" s="76" t="s">
        <v>1109</v>
      </c>
      <c r="B474" s="77">
        <v>38.0</v>
      </c>
      <c r="C474" s="77">
        <v>31.0</v>
      </c>
      <c r="D474" s="64">
        <v>52.117123</v>
      </c>
      <c r="E474" s="64">
        <v>5.387733</v>
      </c>
      <c r="F474" s="78" t="s">
        <v>1087</v>
      </c>
      <c r="G474" s="78" t="s">
        <v>1088</v>
      </c>
      <c r="H474" s="66" t="str">
        <f>IF(X474=" ",X474,'Flamingo @ DenTreek'!H472)</f>
        <v>feikjen</v>
      </c>
      <c r="I474" s="79" t="str">
        <f>'Flamingo @ DenTreek'!I472</f>
        <v>https://www.munzee.com/m/feikjen/9921</v>
      </c>
      <c r="J474" s="80"/>
      <c r="K474" s="78" t="b">
        <v>1</v>
      </c>
      <c r="L474" s="66" t="str">
        <f t="shared" si="2"/>
        <v/>
      </c>
      <c r="M474" s="81" t="str">
        <f>IFERROR(__xludf.DUMMYFUNCTION("IF(W474=1,IFERROR(IMPORTXML(I474, ""//p[@class='status-date']""), ""Not deployed""),"""")"),"")</f>
        <v/>
      </c>
      <c r="N474" s="82"/>
      <c r="O474" s="66"/>
      <c r="P474" s="66"/>
      <c r="Q474" s="66"/>
      <c r="R474" s="83" t="str">
        <f t="shared" si="25"/>
        <v/>
      </c>
      <c r="S474" s="84" t="str">
        <f t="shared" si="4"/>
        <v/>
      </c>
      <c r="T474" s="85"/>
      <c r="U474" s="82">
        <f t="shared" si="5"/>
        <v>0</v>
      </c>
      <c r="V474" s="66">
        <f t="shared" si="6"/>
        <v>0</v>
      </c>
      <c r="W474" s="81">
        <f t="shared" si="7"/>
        <v>0</v>
      </c>
      <c r="X474" s="82" t="str">
        <f t="shared" si="45"/>
        <v>feikjen</v>
      </c>
      <c r="Y474" s="86" t="str">
        <f t="shared" si="46"/>
        <v>https://www.munzee.com/m/feikjen/9921/</v>
      </c>
    </row>
    <row r="475" hidden="1" outlineLevel="1">
      <c r="A475" s="76" t="s">
        <v>1110</v>
      </c>
      <c r="B475" s="77">
        <v>39.0</v>
      </c>
      <c r="C475" s="77">
        <v>2.0</v>
      </c>
      <c r="D475" s="64">
        <v>52.11698</v>
      </c>
      <c r="E475" s="64">
        <v>5.380945</v>
      </c>
      <c r="F475" s="78" t="s">
        <v>1087</v>
      </c>
      <c r="G475" s="78" t="s">
        <v>1088</v>
      </c>
      <c r="H475" s="78" t="s">
        <v>836</v>
      </c>
      <c r="I475" s="94" t="s">
        <v>1111</v>
      </c>
      <c r="J475" s="80"/>
      <c r="K475" s="78" t="b">
        <v>1</v>
      </c>
      <c r="L475" s="66" t="str">
        <f t="shared" si="2"/>
        <v/>
      </c>
      <c r="M475" s="81" t="str">
        <f>IFERROR(__xludf.DUMMYFUNCTION("IF(W475=1,IFERROR(IMPORTXML(I475, ""//p[@class='status-date']""), ""Not deployed""),"""")"),"")</f>
        <v/>
      </c>
      <c r="N475" s="82"/>
      <c r="O475" s="66"/>
      <c r="P475" s="66"/>
      <c r="Q475" s="66"/>
      <c r="R475" s="83" t="str">
        <f t="shared" si="25"/>
        <v/>
      </c>
      <c r="S475" s="84" t="str">
        <f t="shared" si="4"/>
        <v/>
      </c>
      <c r="T475" s="85"/>
      <c r="U475" s="82">
        <f t="shared" si="5"/>
        <v>0</v>
      </c>
      <c r="V475" s="66">
        <f t="shared" si="6"/>
        <v>0</v>
      </c>
      <c r="W475" s="81">
        <f t="shared" si="7"/>
        <v>0</v>
      </c>
      <c r="X475" s="82" t="str">
        <f t="shared" si="45"/>
        <v>Johnsjen</v>
      </c>
      <c r="Y475" s="86" t="str">
        <f t="shared" si="46"/>
        <v>https://www.munzee.com/m/Johnsjen/3750/</v>
      </c>
    </row>
    <row r="476" hidden="1" outlineLevel="1">
      <c r="A476" s="76" t="s">
        <v>1112</v>
      </c>
      <c r="B476" s="77">
        <v>39.0</v>
      </c>
      <c r="C476" s="77">
        <v>5.0</v>
      </c>
      <c r="D476" s="64">
        <v>52.11698</v>
      </c>
      <c r="E476" s="64">
        <v>5.381647</v>
      </c>
      <c r="F476" s="78" t="s">
        <v>1087</v>
      </c>
      <c r="G476" s="78" t="s">
        <v>1088</v>
      </c>
      <c r="H476" s="78" t="s">
        <v>1113</v>
      </c>
      <c r="I476" s="79" t="s">
        <v>1114</v>
      </c>
      <c r="J476" s="80"/>
      <c r="K476" s="78" t="b">
        <v>1</v>
      </c>
      <c r="L476" s="66" t="str">
        <f t="shared" si="2"/>
        <v/>
      </c>
      <c r="M476" s="81" t="str">
        <f>IFERROR(__xludf.DUMMYFUNCTION("IF(W476=1,IFERROR(IMPORTXML(I476, ""//p[@class='status-date']""), ""Not deployed""),"""")"),"")</f>
        <v/>
      </c>
      <c r="N476" s="82"/>
      <c r="O476" s="66"/>
      <c r="P476" s="66"/>
      <c r="Q476" s="66"/>
      <c r="R476" s="83" t="str">
        <f t="shared" si="25"/>
        <v/>
      </c>
      <c r="S476" s="84" t="str">
        <f t="shared" si="4"/>
        <v/>
      </c>
      <c r="T476" s="85"/>
      <c r="U476" s="82">
        <f t="shared" si="5"/>
        <v>0</v>
      </c>
      <c r="V476" s="66">
        <f t="shared" si="6"/>
        <v>0</v>
      </c>
      <c r="W476" s="81">
        <f t="shared" si="7"/>
        <v>0</v>
      </c>
      <c r="X476" s="82" t="str">
        <f t="shared" si="45"/>
        <v>Derlame</v>
      </c>
      <c r="Y476" s="86" t="str">
        <f t="shared" si="46"/>
        <v>https://www.munzee.com/m/Derlame/37182/</v>
      </c>
    </row>
    <row r="477" hidden="1" outlineLevel="1">
      <c r="A477" s="76" t="s">
        <v>1115</v>
      </c>
      <c r="B477" s="77">
        <v>39.0</v>
      </c>
      <c r="C477" s="77">
        <v>7.0</v>
      </c>
      <c r="D477" s="64">
        <v>52.11698</v>
      </c>
      <c r="E477" s="64">
        <v>5.382116</v>
      </c>
      <c r="F477" s="78" t="s">
        <v>1087</v>
      </c>
      <c r="G477" s="78" t="s">
        <v>1088</v>
      </c>
      <c r="H477" s="78" t="s">
        <v>1116</v>
      </c>
      <c r="I477" s="79" t="s">
        <v>1117</v>
      </c>
      <c r="J477" s="80"/>
      <c r="K477" s="78" t="b">
        <v>1</v>
      </c>
      <c r="L477" s="66" t="str">
        <f t="shared" si="2"/>
        <v/>
      </c>
      <c r="M477" s="81" t="str">
        <f>IFERROR(__xludf.DUMMYFUNCTION("IF(W477=1,IFERROR(IMPORTXML(I477, ""//p[@class='status-date']""), ""Not deployed""),"""")"),"")</f>
        <v/>
      </c>
      <c r="N477" s="82"/>
      <c r="O477" s="66"/>
      <c r="P477" s="66"/>
      <c r="Q477" s="66"/>
      <c r="R477" s="83" t="str">
        <f t="shared" si="25"/>
        <v/>
      </c>
      <c r="S477" s="84" t="str">
        <f t="shared" si="4"/>
        <v/>
      </c>
      <c r="T477" s="85"/>
      <c r="U477" s="82">
        <f t="shared" si="5"/>
        <v>0</v>
      </c>
      <c r="V477" s="66">
        <f t="shared" si="6"/>
        <v>0</v>
      </c>
      <c r="W477" s="81">
        <f t="shared" si="7"/>
        <v>0</v>
      </c>
      <c r="X477" s="82" t="str">
        <f t="shared" si="45"/>
        <v>humbird7</v>
      </c>
      <c r="Y477" s="86" t="str">
        <f t="shared" si="46"/>
        <v>https://www.munzee.com/m/humbird7/40405/</v>
      </c>
    </row>
    <row r="478" hidden="1" outlineLevel="1">
      <c r="A478" s="76" t="s">
        <v>1118</v>
      </c>
      <c r="B478" s="77">
        <v>39.0</v>
      </c>
      <c r="C478" s="77">
        <v>10.0</v>
      </c>
      <c r="D478" s="64">
        <v>52.11698</v>
      </c>
      <c r="E478" s="64">
        <v>5.382818</v>
      </c>
      <c r="F478" s="78" t="s">
        <v>1087</v>
      </c>
      <c r="G478" s="78" t="s">
        <v>1088</v>
      </c>
      <c r="H478" s="78" t="s">
        <v>59</v>
      </c>
      <c r="I478" s="79" t="s">
        <v>1119</v>
      </c>
      <c r="J478" s="80"/>
      <c r="K478" s="78" t="b">
        <v>1</v>
      </c>
      <c r="L478" s="66" t="str">
        <f t="shared" si="2"/>
        <v/>
      </c>
      <c r="M478" s="81" t="str">
        <f>IFERROR(__xludf.DUMMYFUNCTION("IF(W478=1,IFERROR(IMPORTXML(I478, ""//p[@class='status-date']""), ""Not deployed""),"""")"),"")</f>
        <v/>
      </c>
      <c r="N478" s="82"/>
      <c r="O478" s="66"/>
      <c r="P478" s="66"/>
      <c r="Q478" s="66"/>
      <c r="R478" s="83" t="str">
        <f t="shared" si="25"/>
        <v/>
      </c>
      <c r="S478" s="84" t="str">
        <f t="shared" si="4"/>
        <v/>
      </c>
      <c r="T478" s="85"/>
      <c r="U478" s="82">
        <f t="shared" si="5"/>
        <v>0</v>
      </c>
      <c r="V478" s="66">
        <f t="shared" si="6"/>
        <v>0</v>
      </c>
      <c r="W478" s="81">
        <f t="shared" si="7"/>
        <v>0</v>
      </c>
      <c r="X478" s="82" t="str">
        <f t="shared" si="45"/>
        <v>DeLeeuwen</v>
      </c>
      <c r="Y478" s="86" t="str">
        <f t="shared" si="46"/>
        <v>https://www.munzee.com/m/DeLeeuwen/3450/</v>
      </c>
    </row>
    <row r="479" hidden="1" outlineLevel="1">
      <c r="A479" s="76" t="s">
        <v>1120</v>
      </c>
      <c r="B479" s="77">
        <v>39.0</v>
      </c>
      <c r="C479" s="77">
        <v>14.0</v>
      </c>
      <c r="D479" s="64">
        <v>52.11698</v>
      </c>
      <c r="E479" s="64">
        <v>5.383754</v>
      </c>
      <c r="F479" s="78" t="s">
        <v>132</v>
      </c>
      <c r="G479" s="78" t="s">
        <v>133</v>
      </c>
      <c r="H479" s="78" t="s">
        <v>772</v>
      </c>
      <c r="I479" s="79" t="s">
        <v>1121</v>
      </c>
      <c r="J479" s="80"/>
      <c r="K479" s="78" t="b">
        <v>1</v>
      </c>
      <c r="L479" s="66" t="str">
        <f t="shared" si="2"/>
        <v/>
      </c>
      <c r="M479" s="81" t="str">
        <f>IFERROR(__xludf.DUMMYFUNCTION("IF(W479=1,IFERROR(IMPORTXML(I479, ""//p[@class='status-date']""), ""Not deployed""),"""")"),"")</f>
        <v/>
      </c>
      <c r="N479" s="82"/>
      <c r="O479" s="66"/>
      <c r="P479" s="66"/>
      <c r="Q479" s="66"/>
      <c r="R479" s="83" t="str">
        <f t="shared" si="25"/>
        <v/>
      </c>
      <c r="S479" s="84" t="str">
        <f t="shared" si="4"/>
        <v/>
      </c>
      <c r="T479" s="85"/>
      <c r="U479" s="82">
        <f t="shared" si="5"/>
        <v>0</v>
      </c>
      <c r="V479" s="66">
        <f t="shared" si="6"/>
        <v>0</v>
      </c>
      <c r="W479" s="81">
        <f t="shared" si="7"/>
        <v>0</v>
      </c>
      <c r="X479" s="82" t="str">
        <f t="shared" si="45"/>
        <v>breinie</v>
      </c>
      <c r="Y479" s="86" t="str">
        <f t="shared" si="46"/>
        <v>https://www.munzee.com/m/breinie/301/</v>
      </c>
    </row>
    <row r="480" hidden="1" outlineLevel="1">
      <c r="A480" s="76" t="s">
        <v>1122</v>
      </c>
      <c r="B480" s="77">
        <v>39.0</v>
      </c>
      <c r="C480" s="77">
        <v>19.0</v>
      </c>
      <c r="D480" s="64">
        <v>52.11698</v>
      </c>
      <c r="E480" s="64">
        <v>5.384924</v>
      </c>
      <c r="F480" s="78" t="s">
        <v>132</v>
      </c>
      <c r="G480" s="78" t="s">
        <v>133</v>
      </c>
      <c r="H480" s="78" t="s">
        <v>1116</v>
      </c>
      <c r="I480" s="79" t="s">
        <v>1123</v>
      </c>
      <c r="J480" s="80"/>
      <c r="K480" s="78" t="b">
        <v>1</v>
      </c>
      <c r="L480" s="66" t="str">
        <f t="shared" si="2"/>
        <v/>
      </c>
      <c r="M480" s="81" t="str">
        <f>IFERROR(__xludf.DUMMYFUNCTION("IF(W480=1,IFERROR(IMPORTXML(I480, ""//p[@class='status-date']""), ""Not deployed""),"""")"),"")</f>
        <v/>
      </c>
      <c r="N480" s="82"/>
      <c r="O480" s="66"/>
      <c r="P480" s="66"/>
      <c r="Q480" s="66"/>
      <c r="R480" s="83" t="str">
        <f t="shared" si="25"/>
        <v/>
      </c>
      <c r="S480" s="84" t="str">
        <f t="shared" si="4"/>
        <v/>
      </c>
      <c r="T480" s="85"/>
      <c r="U480" s="82">
        <f t="shared" si="5"/>
        <v>0</v>
      </c>
      <c r="V480" s="66">
        <f t="shared" si="6"/>
        <v>0</v>
      </c>
      <c r="W480" s="81">
        <f t="shared" si="7"/>
        <v>0</v>
      </c>
      <c r="X480" s="82" t="str">
        <f t="shared" si="45"/>
        <v>humbird7</v>
      </c>
      <c r="Y480" s="86" t="str">
        <f t="shared" si="46"/>
        <v>https://www.munzee.com/m/humbird7/43277/</v>
      </c>
    </row>
    <row r="481" hidden="1" outlineLevel="1">
      <c r="A481" s="76" t="s">
        <v>1124</v>
      </c>
      <c r="B481" s="77">
        <v>39.0</v>
      </c>
      <c r="C481" s="77">
        <v>20.0</v>
      </c>
      <c r="D481" s="64">
        <v>52.11698</v>
      </c>
      <c r="E481" s="64">
        <v>5.385158</v>
      </c>
      <c r="F481" s="78" t="s">
        <v>132</v>
      </c>
      <c r="G481" s="78" t="s">
        <v>133</v>
      </c>
      <c r="H481" s="78" t="s">
        <v>633</v>
      </c>
      <c r="I481" s="79" t="s">
        <v>1125</v>
      </c>
      <c r="J481" s="80"/>
      <c r="K481" s="78" t="b">
        <v>1</v>
      </c>
      <c r="L481" s="66" t="str">
        <f t="shared" si="2"/>
        <v/>
      </c>
      <c r="M481" s="81" t="str">
        <f>IFERROR(__xludf.DUMMYFUNCTION("IF(W481=1,IFERROR(IMPORTXML(I481, ""//p[@class='status-date']""), ""Not deployed""),"""")"),"")</f>
        <v/>
      </c>
      <c r="N481" s="82"/>
      <c r="O481" s="66"/>
      <c r="P481" s="66"/>
      <c r="Q481" s="66"/>
      <c r="R481" s="83" t="str">
        <f t="shared" si="25"/>
        <v/>
      </c>
      <c r="S481" s="84" t="str">
        <f t="shared" si="4"/>
        <v/>
      </c>
      <c r="T481" s="85"/>
      <c r="U481" s="82">
        <f t="shared" si="5"/>
        <v>0</v>
      </c>
      <c r="V481" s="66">
        <f t="shared" si="6"/>
        <v>0</v>
      </c>
      <c r="W481" s="81">
        <f t="shared" si="7"/>
        <v>0</v>
      </c>
      <c r="X481" s="82" t="str">
        <f t="shared" si="45"/>
        <v>Eskiss</v>
      </c>
      <c r="Y481" s="86" t="str">
        <f t="shared" si="46"/>
        <v>https://www.munzee.com/m/Eskiss/5809/</v>
      </c>
    </row>
    <row r="482" hidden="1" outlineLevel="1">
      <c r="A482" s="76" t="s">
        <v>1126</v>
      </c>
      <c r="B482" s="77">
        <v>39.0</v>
      </c>
      <c r="C482" s="77">
        <v>24.0</v>
      </c>
      <c r="D482" s="64">
        <v>52.11698</v>
      </c>
      <c r="E482" s="64">
        <v>5.386095</v>
      </c>
      <c r="F482" s="78" t="s">
        <v>1087</v>
      </c>
      <c r="G482" s="78" t="s">
        <v>1088</v>
      </c>
      <c r="H482" s="78" t="s">
        <v>75</v>
      </c>
      <c r="I482" s="94" t="s">
        <v>1127</v>
      </c>
      <c r="J482" s="80"/>
      <c r="K482" s="78" t="b">
        <v>1</v>
      </c>
      <c r="L482" s="66" t="str">
        <f t="shared" si="2"/>
        <v/>
      </c>
      <c r="M482" s="81" t="str">
        <f>IFERROR(__xludf.DUMMYFUNCTION("IF(W482=1,IFERROR(IMPORTXML(I482, ""//p[@class='status-date']""), ""Not deployed""),"""")"),"")</f>
        <v/>
      </c>
      <c r="N482" s="82"/>
      <c r="O482" s="66"/>
      <c r="P482" s="66"/>
      <c r="Q482" s="66"/>
      <c r="R482" s="83" t="str">
        <f t="shared" si="25"/>
        <v/>
      </c>
      <c r="S482" s="84" t="str">
        <f t="shared" si="4"/>
        <v/>
      </c>
      <c r="T482" s="85"/>
      <c r="U482" s="82">
        <f t="shared" si="5"/>
        <v>0</v>
      </c>
      <c r="V482" s="66">
        <f t="shared" si="6"/>
        <v>0</v>
      </c>
      <c r="W482" s="81">
        <f t="shared" si="7"/>
        <v>0</v>
      </c>
      <c r="X482" s="82" t="str">
        <f t="shared" si="45"/>
        <v>Ingetje</v>
      </c>
      <c r="Y482" s="86" t="str">
        <f t="shared" si="46"/>
        <v>https://www.munzee.com/m/Ingetje/4573/</v>
      </c>
    </row>
    <row r="483" hidden="1" outlineLevel="1">
      <c r="A483" s="76" t="s">
        <v>1128</v>
      </c>
      <c r="B483" s="77">
        <v>39.0</v>
      </c>
      <c r="C483" s="77">
        <v>27.0</v>
      </c>
      <c r="D483" s="64">
        <v>52.11698</v>
      </c>
      <c r="E483" s="64">
        <v>5.386797</v>
      </c>
      <c r="F483" s="78" t="s">
        <v>1087</v>
      </c>
      <c r="G483" s="78" t="s">
        <v>1088</v>
      </c>
      <c r="H483" s="78" t="s">
        <v>1116</v>
      </c>
      <c r="I483" s="79" t="s">
        <v>1129</v>
      </c>
      <c r="J483" s="80"/>
      <c r="K483" s="78" t="b">
        <v>1</v>
      </c>
      <c r="L483" s="66" t="str">
        <f t="shared" si="2"/>
        <v/>
      </c>
      <c r="M483" s="81" t="str">
        <f>IFERROR(__xludf.DUMMYFUNCTION("IF(W483=1,IFERROR(IMPORTXML(I483, ""//p[@class='status-date']""), ""Not deployed""),"""")"),"")</f>
        <v/>
      </c>
      <c r="N483" s="82"/>
      <c r="O483" s="66"/>
      <c r="P483" s="66"/>
      <c r="Q483" s="66"/>
      <c r="R483" s="83" t="str">
        <f t="shared" si="25"/>
        <v/>
      </c>
      <c r="S483" s="84" t="str">
        <f t="shared" si="4"/>
        <v/>
      </c>
      <c r="T483" s="85"/>
      <c r="U483" s="82">
        <f t="shared" si="5"/>
        <v>0</v>
      </c>
      <c r="V483" s="66">
        <f t="shared" si="6"/>
        <v>0</v>
      </c>
      <c r="W483" s="81">
        <f t="shared" si="7"/>
        <v>0</v>
      </c>
      <c r="X483" s="82" t="str">
        <f t="shared" si="45"/>
        <v>humbird7</v>
      </c>
      <c r="Y483" s="86" t="str">
        <f t="shared" si="46"/>
        <v>https://www.munzee.com/m/humbird7/40245/</v>
      </c>
    </row>
    <row r="484" hidden="1" outlineLevel="1">
      <c r="A484" s="76" t="s">
        <v>1130</v>
      </c>
      <c r="B484" s="77">
        <v>39.0</v>
      </c>
      <c r="C484" s="77">
        <v>29.0</v>
      </c>
      <c r="D484" s="64">
        <v>52.11698</v>
      </c>
      <c r="E484" s="64">
        <v>5.387265</v>
      </c>
      <c r="F484" s="78" t="s">
        <v>1087</v>
      </c>
      <c r="G484" s="78" t="s">
        <v>1088</v>
      </c>
      <c r="H484" s="78" t="s">
        <v>86</v>
      </c>
      <c r="I484" s="79" t="s">
        <v>1131</v>
      </c>
      <c r="J484" s="80"/>
      <c r="K484" s="78" t="b">
        <v>1</v>
      </c>
      <c r="L484" s="66" t="str">
        <f t="shared" si="2"/>
        <v/>
      </c>
      <c r="M484" s="81" t="str">
        <f>IFERROR(__xludf.DUMMYFUNCTION("IF(W484=1,IFERROR(IMPORTXML(I484, ""//p[@class='status-date']""), ""Not deployed""),"""")"),"")</f>
        <v/>
      </c>
      <c r="N484" s="82"/>
      <c r="O484" s="66"/>
      <c r="P484" s="66"/>
      <c r="Q484" s="66"/>
      <c r="R484" s="83" t="str">
        <f t="shared" si="25"/>
        <v/>
      </c>
      <c r="S484" s="84" t="str">
        <f t="shared" si="4"/>
        <v/>
      </c>
      <c r="T484" s="85"/>
      <c r="U484" s="82">
        <f t="shared" si="5"/>
        <v>0</v>
      </c>
      <c r="V484" s="66">
        <f t="shared" si="6"/>
        <v>0</v>
      </c>
      <c r="W484" s="81">
        <f t="shared" si="7"/>
        <v>0</v>
      </c>
      <c r="X484" s="82" t="str">
        <f t="shared" si="45"/>
        <v>Alroso</v>
      </c>
      <c r="Y484" s="86" t="str">
        <f t="shared" si="46"/>
        <v>https://www.munzee.com/m/Alroso/2582/</v>
      </c>
    </row>
    <row r="485" hidden="1" outlineLevel="1">
      <c r="A485" s="76" t="s">
        <v>1132</v>
      </c>
      <c r="B485" s="77">
        <v>39.0</v>
      </c>
      <c r="C485" s="77">
        <v>32.0</v>
      </c>
      <c r="D485" s="64">
        <v>52.11698</v>
      </c>
      <c r="E485" s="64">
        <v>5.387967</v>
      </c>
      <c r="F485" s="78" t="s">
        <v>1087</v>
      </c>
      <c r="G485" s="78" t="s">
        <v>1088</v>
      </c>
      <c r="H485" s="78" t="s">
        <v>1133</v>
      </c>
      <c r="I485" s="79" t="s">
        <v>1134</v>
      </c>
      <c r="J485" s="80"/>
      <c r="K485" s="78" t="b">
        <v>1</v>
      </c>
      <c r="L485" s="66" t="str">
        <f t="shared" si="2"/>
        <v/>
      </c>
      <c r="M485" s="81" t="str">
        <f>IFERROR(__xludf.DUMMYFUNCTION("IF(W485=1,IFERROR(IMPORTXML(I485, ""//p[@class='status-date']""), ""Not deployed""),"""")"),"")</f>
        <v/>
      </c>
      <c r="N485" s="82"/>
      <c r="O485" s="66"/>
      <c r="P485" s="66"/>
      <c r="Q485" s="66"/>
      <c r="R485" s="83" t="str">
        <f t="shared" si="25"/>
        <v/>
      </c>
      <c r="S485" s="84" t="str">
        <f t="shared" si="4"/>
        <v/>
      </c>
      <c r="T485" s="85"/>
      <c r="U485" s="82">
        <f t="shared" si="5"/>
        <v>0</v>
      </c>
      <c r="V485" s="66">
        <f t="shared" si="6"/>
        <v>0</v>
      </c>
      <c r="W485" s="81">
        <f t="shared" si="7"/>
        <v>0</v>
      </c>
      <c r="X485" s="82" t="str">
        <f t="shared" si="45"/>
        <v>Dinsdagskind</v>
      </c>
      <c r="Y485" s="86" t="str">
        <f t="shared" si="46"/>
        <v>https://www.munzee.com/m/Dinsdagskind/273/</v>
      </c>
    </row>
    <row r="486" hidden="1" outlineLevel="1">
      <c r="A486" s="76" t="s">
        <v>1135</v>
      </c>
      <c r="B486" s="77">
        <v>40.0</v>
      </c>
      <c r="C486" s="77">
        <v>4.0</v>
      </c>
      <c r="D486" s="64">
        <v>52.116836</v>
      </c>
      <c r="E486" s="64">
        <v>5.381413</v>
      </c>
      <c r="F486" s="78" t="s">
        <v>1087</v>
      </c>
      <c r="G486" s="78" t="s">
        <v>1088</v>
      </c>
      <c r="H486" s="78" t="str">
        <f>IF(X486=" ",X486,'Flamingo @ DenTreek'!H484)</f>
        <v>Wawie</v>
      </c>
      <c r="I486" s="79" t="str">
        <f>'Flamingo @ DenTreek'!I484</f>
        <v>https://www.munzee.com/m/Wawie/2190/</v>
      </c>
      <c r="J486" s="88"/>
      <c r="K486" s="78" t="b">
        <v>1</v>
      </c>
      <c r="L486" s="66" t="str">
        <f t="shared" si="2"/>
        <v/>
      </c>
      <c r="M486" s="81" t="str">
        <f>IFERROR(__xludf.DUMMYFUNCTION("IF(W486=1,IFERROR(IMPORTXML(I486, ""//p[@class='status-date']""), ""Not deployed""),"""")"),"")</f>
        <v/>
      </c>
      <c r="N486" s="82"/>
      <c r="O486" s="66"/>
      <c r="P486" s="66"/>
      <c r="Q486" s="66"/>
      <c r="R486" s="83" t="str">
        <f t="shared" si="25"/>
        <v/>
      </c>
      <c r="S486" s="84" t="str">
        <f t="shared" si="4"/>
        <v/>
      </c>
      <c r="T486" s="85"/>
      <c r="U486" s="82">
        <f t="shared" si="5"/>
        <v>0</v>
      </c>
      <c r="V486" s="66">
        <f t="shared" si="6"/>
        <v>0</v>
      </c>
      <c r="W486" s="81">
        <f t="shared" si="7"/>
        <v>0</v>
      </c>
      <c r="X486" s="82" t="str">
        <f t="shared" si="45"/>
        <v>Wawie</v>
      </c>
      <c r="Y486" s="86" t="str">
        <f t="shared" si="46"/>
        <v>https://www.munzee.com/m/Wawie/2190/</v>
      </c>
    </row>
    <row r="487" hidden="1" outlineLevel="1">
      <c r="A487" s="76" t="s">
        <v>1136</v>
      </c>
      <c r="B487" s="77">
        <v>40.0</v>
      </c>
      <c r="C487" s="77">
        <v>7.0</v>
      </c>
      <c r="D487" s="64">
        <v>52.116836</v>
      </c>
      <c r="E487" s="64">
        <v>5.382116</v>
      </c>
      <c r="F487" s="78" t="s">
        <v>1087</v>
      </c>
      <c r="G487" s="78" t="s">
        <v>1088</v>
      </c>
      <c r="H487" s="78" t="s">
        <v>527</v>
      </c>
      <c r="I487" s="79" t="s">
        <v>1137</v>
      </c>
      <c r="J487" s="80"/>
      <c r="K487" s="78" t="b">
        <v>1</v>
      </c>
      <c r="L487" s="66" t="str">
        <f t="shared" si="2"/>
        <v/>
      </c>
      <c r="M487" s="81" t="str">
        <f>IFERROR(__xludf.DUMMYFUNCTION("IF(W487=1,IFERROR(IMPORTXML(I487, ""//p[@class='status-date']""), ""Not deployed""),"""")"),"")</f>
        <v/>
      </c>
      <c r="N487" s="82"/>
      <c r="O487" s="66"/>
      <c r="P487" s="66"/>
      <c r="Q487" s="66"/>
      <c r="R487" s="83" t="str">
        <f t="shared" si="25"/>
        <v/>
      </c>
      <c r="S487" s="84" t="str">
        <f t="shared" si="4"/>
        <v/>
      </c>
      <c r="T487" s="85"/>
      <c r="U487" s="82">
        <f t="shared" si="5"/>
        <v>0</v>
      </c>
      <c r="V487" s="66">
        <f t="shared" si="6"/>
        <v>0</v>
      </c>
      <c r="W487" s="81">
        <f t="shared" si="7"/>
        <v>0</v>
      </c>
      <c r="X487" s="82" t="str">
        <f t="shared" si="45"/>
        <v>xptwo</v>
      </c>
      <c r="Y487" s="86" t="str">
        <f t="shared" si="46"/>
        <v>https://www.munzee.com/m/xptwo/35781/</v>
      </c>
    </row>
    <row r="488" hidden="1" outlineLevel="1">
      <c r="A488" s="76" t="s">
        <v>1138</v>
      </c>
      <c r="B488" s="77">
        <v>40.0</v>
      </c>
      <c r="C488" s="77">
        <v>10.0</v>
      </c>
      <c r="D488" s="64">
        <v>52.116836</v>
      </c>
      <c r="E488" s="64">
        <v>5.382818</v>
      </c>
      <c r="F488" s="78" t="s">
        <v>1087</v>
      </c>
      <c r="G488" s="78" t="s">
        <v>1088</v>
      </c>
      <c r="H488" s="78" t="str">
        <f>IF(X488=" ",X488,'Flamingo @ DenTreek'!H486)</f>
        <v>Wawie</v>
      </c>
      <c r="I488" s="79" t="str">
        <f>'Flamingo @ DenTreek'!I486</f>
        <v>https://www.munzee.com/m/Wawie/1734/</v>
      </c>
      <c r="J488" s="88"/>
      <c r="K488" s="78" t="b">
        <v>1</v>
      </c>
      <c r="L488" s="66" t="str">
        <f t="shared" si="2"/>
        <v/>
      </c>
      <c r="M488" s="81" t="str">
        <f>IFERROR(__xludf.DUMMYFUNCTION("IF(W488=1,IFERROR(IMPORTXML(I488, ""//p[@class='status-date']""), ""Not deployed""),"""")"),"")</f>
        <v/>
      </c>
      <c r="N488" s="82"/>
      <c r="O488" s="66"/>
      <c r="P488" s="66"/>
      <c r="Q488" s="66"/>
      <c r="R488" s="83" t="str">
        <f t="shared" si="25"/>
        <v/>
      </c>
      <c r="S488" s="84" t="str">
        <f t="shared" si="4"/>
        <v/>
      </c>
      <c r="T488" s="85"/>
      <c r="U488" s="82">
        <f t="shared" si="5"/>
        <v>0</v>
      </c>
      <c r="V488" s="66">
        <f t="shared" si="6"/>
        <v>0</v>
      </c>
      <c r="W488" s="81">
        <f t="shared" si="7"/>
        <v>0</v>
      </c>
      <c r="X488" s="82" t="str">
        <f t="shared" si="45"/>
        <v>Wawie</v>
      </c>
      <c r="Y488" s="86" t="str">
        <f t="shared" si="46"/>
        <v>https://www.munzee.com/m/Wawie/1734/</v>
      </c>
    </row>
    <row r="489" hidden="1" outlineLevel="1">
      <c r="A489" s="76" t="s">
        <v>1139</v>
      </c>
      <c r="B489" s="77">
        <v>40.0</v>
      </c>
      <c r="C489" s="77">
        <v>14.0</v>
      </c>
      <c r="D489" s="64">
        <v>52.116836</v>
      </c>
      <c r="E489" s="64">
        <v>5.383754</v>
      </c>
      <c r="F489" s="78" t="s">
        <v>132</v>
      </c>
      <c r="G489" s="78" t="s">
        <v>133</v>
      </c>
      <c r="H489" s="78" t="s">
        <v>475</v>
      </c>
      <c r="I489" s="79" t="s">
        <v>1140</v>
      </c>
      <c r="J489" s="88"/>
      <c r="K489" s="78" t="b">
        <v>1</v>
      </c>
      <c r="L489" s="66" t="str">
        <f t="shared" si="2"/>
        <v/>
      </c>
      <c r="M489" s="81" t="str">
        <f>IFERROR(__xludf.DUMMYFUNCTION("IF(W489=1,IFERROR(IMPORTXML(I489, ""//p[@class='status-date']""), ""Not deployed""),"""")"),"")</f>
        <v/>
      </c>
      <c r="N489" s="82"/>
      <c r="O489" s="66"/>
      <c r="P489" s="66"/>
      <c r="Q489" s="66"/>
      <c r="R489" s="83" t="str">
        <f t="shared" si="25"/>
        <v/>
      </c>
      <c r="S489" s="84" t="str">
        <f t="shared" si="4"/>
        <v/>
      </c>
      <c r="T489" s="85"/>
      <c r="U489" s="82">
        <f t="shared" si="5"/>
        <v>0</v>
      </c>
      <c r="V489" s="66">
        <f t="shared" si="6"/>
        <v>0</v>
      </c>
      <c r="W489" s="81">
        <f t="shared" si="7"/>
        <v>0</v>
      </c>
      <c r="X489" s="82" t="str">
        <f t="shared" si="45"/>
        <v>CopperWings</v>
      </c>
      <c r="Y489" s="86" t="str">
        <f t="shared" si="46"/>
        <v>https://www.munzee.com/m/CopperWings/2504/</v>
      </c>
    </row>
    <row r="490" hidden="1" outlineLevel="1">
      <c r="A490" s="76" t="s">
        <v>1141</v>
      </c>
      <c r="B490" s="77">
        <v>40.0</v>
      </c>
      <c r="C490" s="77">
        <v>20.0</v>
      </c>
      <c r="D490" s="64">
        <v>52.116836</v>
      </c>
      <c r="E490" s="64">
        <v>5.385158</v>
      </c>
      <c r="F490" s="78" t="s">
        <v>132</v>
      </c>
      <c r="G490" s="78" t="s">
        <v>133</v>
      </c>
      <c r="H490" s="78" t="s">
        <v>1142</v>
      </c>
      <c r="I490" s="79" t="s">
        <v>1143</v>
      </c>
      <c r="J490" s="80"/>
      <c r="K490" s="78" t="b">
        <v>1</v>
      </c>
      <c r="L490" s="66" t="str">
        <f t="shared" si="2"/>
        <v/>
      </c>
      <c r="M490" s="81" t="str">
        <f>IFERROR(__xludf.DUMMYFUNCTION("IF(W490=1,IFERROR(IMPORTXML(I490, ""//p[@class='status-date']""), ""Not deployed""),"""")"),"")</f>
        <v/>
      </c>
      <c r="N490" s="82"/>
      <c r="O490" s="66"/>
      <c r="P490" s="66"/>
      <c r="Q490" s="66"/>
      <c r="R490" s="83" t="str">
        <f t="shared" si="25"/>
        <v/>
      </c>
      <c r="S490" s="84" t="str">
        <f t="shared" si="4"/>
        <v/>
      </c>
      <c r="T490" s="85"/>
      <c r="U490" s="82">
        <f t="shared" si="5"/>
        <v>0</v>
      </c>
      <c r="V490" s="66">
        <f t="shared" si="6"/>
        <v>0</v>
      </c>
      <c r="W490" s="81">
        <f t="shared" si="7"/>
        <v>0</v>
      </c>
      <c r="X490" s="82" t="str">
        <f t="shared" si="45"/>
        <v>thelanes</v>
      </c>
      <c r="Y490" s="86" t="str">
        <f t="shared" si="46"/>
        <v>https://www.munzee.com/m/thelanes/23967/</v>
      </c>
    </row>
    <row r="491" hidden="1" outlineLevel="1">
      <c r="A491" s="76" t="s">
        <v>1144</v>
      </c>
      <c r="B491" s="77">
        <v>40.0</v>
      </c>
      <c r="C491" s="77">
        <v>26.0</v>
      </c>
      <c r="D491" s="64">
        <v>52.116836</v>
      </c>
      <c r="E491" s="64">
        <v>5.386563</v>
      </c>
      <c r="F491" s="78" t="s">
        <v>1087</v>
      </c>
      <c r="G491" s="78" t="s">
        <v>1088</v>
      </c>
      <c r="H491" s="78" t="str">
        <f>IF(X491=" ",X491,'Flamingo @ DenTreek'!H489)</f>
        <v>Wawie</v>
      </c>
      <c r="I491" s="79" t="str">
        <f>'Flamingo @ DenTreek'!I489</f>
        <v>https://www.munzee.com/m/Wawie/1507/</v>
      </c>
      <c r="J491" s="88"/>
      <c r="K491" s="78" t="b">
        <v>1</v>
      </c>
      <c r="L491" s="66" t="str">
        <f t="shared" si="2"/>
        <v/>
      </c>
      <c r="M491" s="81" t="str">
        <f>IFERROR(__xludf.DUMMYFUNCTION("IF(W491=1,IFERROR(IMPORTXML(I491, ""//p[@class='status-date']""), ""Not deployed""),"""")"),"")</f>
        <v/>
      </c>
      <c r="N491" s="82"/>
      <c r="O491" s="66"/>
      <c r="P491" s="66"/>
      <c r="Q491" s="66"/>
      <c r="R491" s="83" t="str">
        <f t="shared" si="25"/>
        <v/>
      </c>
      <c r="S491" s="84" t="str">
        <f t="shared" si="4"/>
        <v/>
      </c>
      <c r="T491" s="85"/>
      <c r="U491" s="82">
        <f t="shared" si="5"/>
        <v>0</v>
      </c>
      <c r="V491" s="66">
        <f t="shared" si="6"/>
        <v>0</v>
      </c>
      <c r="W491" s="81">
        <f t="shared" si="7"/>
        <v>0</v>
      </c>
      <c r="X491" s="82" t="str">
        <f t="shared" si="45"/>
        <v>Wawie</v>
      </c>
      <c r="Y491" s="86" t="str">
        <f t="shared" si="46"/>
        <v>https://www.munzee.com/m/Wawie/1507/</v>
      </c>
    </row>
    <row r="492" hidden="1" outlineLevel="1">
      <c r="A492" s="76" t="s">
        <v>1145</v>
      </c>
      <c r="B492" s="77">
        <v>40.0</v>
      </c>
      <c r="C492" s="77">
        <v>31.0</v>
      </c>
      <c r="D492" s="64">
        <v>52.116836</v>
      </c>
      <c r="E492" s="64">
        <v>5.387733</v>
      </c>
      <c r="F492" s="78" t="s">
        <v>1087</v>
      </c>
      <c r="G492" s="78" t="s">
        <v>1088</v>
      </c>
      <c r="H492" s="78" t="s">
        <v>298</v>
      </c>
      <c r="I492" s="79" t="s">
        <v>1146</v>
      </c>
      <c r="J492" s="88"/>
      <c r="K492" s="78" t="b">
        <v>1</v>
      </c>
      <c r="L492" s="66" t="str">
        <f t="shared" si="2"/>
        <v/>
      </c>
      <c r="M492" s="81" t="str">
        <f>IFERROR(__xludf.DUMMYFUNCTION("IF(W492=1,IFERROR(IMPORTXML(I492, ""//p[@class='status-date']""), ""Not deployed""),"""")"),"")</f>
        <v/>
      </c>
      <c r="N492" s="82"/>
      <c r="O492" s="66"/>
      <c r="P492" s="66"/>
      <c r="Q492" s="66"/>
      <c r="R492" s="83" t="str">
        <f t="shared" si="25"/>
        <v/>
      </c>
      <c r="S492" s="84" t="str">
        <f t="shared" si="4"/>
        <v/>
      </c>
      <c r="T492" s="85"/>
      <c r="U492" s="82">
        <f t="shared" si="5"/>
        <v>0</v>
      </c>
      <c r="V492" s="66">
        <f t="shared" si="6"/>
        <v>0</v>
      </c>
      <c r="W492" s="81">
        <f t="shared" si="7"/>
        <v>0</v>
      </c>
      <c r="X492" s="82" t="str">
        <f t="shared" si="45"/>
        <v>Hogglespike</v>
      </c>
      <c r="Y492" s="86" t="str">
        <f t="shared" si="46"/>
        <v>https://www.munzee.com/m/Hogglespike/7533/</v>
      </c>
    </row>
    <row r="493" hidden="1" outlineLevel="1">
      <c r="A493" s="76" t="s">
        <v>1147</v>
      </c>
      <c r="B493" s="77">
        <v>41.0</v>
      </c>
      <c r="C493" s="77">
        <v>3.0</v>
      </c>
      <c r="D493" s="64">
        <v>52.116692</v>
      </c>
      <c r="E493" s="64">
        <v>5.381179</v>
      </c>
      <c r="F493" s="78" t="s">
        <v>1087</v>
      </c>
      <c r="G493" s="78" t="s">
        <v>1088</v>
      </c>
      <c r="H493" s="78" t="s">
        <v>301</v>
      </c>
      <c r="I493" s="79" t="s">
        <v>1148</v>
      </c>
      <c r="J493" s="88"/>
      <c r="K493" s="78" t="b">
        <v>1</v>
      </c>
      <c r="L493" s="66" t="str">
        <f t="shared" si="2"/>
        <v/>
      </c>
      <c r="M493" s="81" t="str">
        <f>IFERROR(__xludf.DUMMYFUNCTION("IF(W493=1,IFERROR(IMPORTXML(I493, ""//p[@class='status-date']""), ""Not deployed""),"""")"),"")</f>
        <v/>
      </c>
      <c r="N493" s="82"/>
      <c r="O493" s="66"/>
      <c r="P493" s="66"/>
      <c r="Q493" s="66"/>
      <c r="R493" s="83" t="str">
        <f t="shared" si="25"/>
        <v/>
      </c>
      <c r="S493" s="84" t="str">
        <f t="shared" si="4"/>
        <v/>
      </c>
      <c r="T493" s="85"/>
      <c r="U493" s="82">
        <f t="shared" si="5"/>
        <v>0</v>
      </c>
      <c r="V493" s="66">
        <f t="shared" si="6"/>
        <v>0</v>
      </c>
      <c r="W493" s="81">
        <f t="shared" si="7"/>
        <v>0</v>
      </c>
      <c r="X493" s="82" t="str">
        <f t="shared" si="45"/>
        <v>darrenjones</v>
      </c>
      <c r="Y493" s="86" t="str">
        <f t="shared" si="46"/>
        <v>https://www.munzee.com/m/darrenjones/8525/</v>
      </c>
    </row>
    <row r="494" hidden="1" outlineLevel="1">
      <c r="A494" s="76" t="s">
        <v>1149</v>
      </c>
      <c r="B494" s="77">
        <v>41.0</v>
      </c>
      <c r="C494" s="77">
        <v>7.0</v>
      </c>
      <c r="D494" s="64">
        <v>52.116692</v>
      </c>
      <c r="E494" s="64">
        <v>5.382116</v>
      </c>
      <c r="F494" s="78" t="s">
        <v>1087</v>
      </c>
      <c r="G494" s="78" t="s">
        <v>1088</v>
      </c>
      <c r="H494" s="78" t="s">
        <v>304</v>
      </c>
      <c r="I494" s="79" t="s">
        <v>1150</v>
      </c>
      <c r="J494" s="88"/>
      <c r="K494" s="78" t="b">
        <v>1</v>
      </c>
      <c r="L494" s="66" t="str">
        <f t="shared" si="2"/>
        <v/>
      </c>
      <c r="M494" s="81" t="str">
        <f>IFERROR(__xludf.DUMMYFUNCTION("IF(W494=1,IFERROR(IMPORTXML(I494, ""//p[@class='status-date']""), ""Not deployed""),"""")"),"")</f>
        <v/>
      </c>
      <c r="N494" s="82"/>
      <c r="O494" s="66"/>
      <c r="P494" s="66"/>
      <c r="Q494" s="66"/>
      <c r="R494" s="83" t="str">
        <f t="shared" si="25"/>
        <v/>
      </c>
      <c r="S494" s="84" t="str">
        <f t="shared" si="4"/>
        <v/>
      </c>
      <c r="T494" s="85"/>
      <c r="U494" s="82">
        <f t="shared" si="5"/>
        <v>0</v>
      </c>
      <c r="V494" s="66">
        <f t="shared" si="6"/>
        <v>0</v>
      </c>
      <c r="W494" s="81">
        <f t="shared" si="7"/>
        <v>0</v>
      </c>
      <c r="X494" s="82" t="str">
        <f t="shared" si="45"/>
        <v>Cadonkey</v>
      </c>
      <c r="Y494" s="86" t="str">
        <f t="shared" si="46"/>
        <v>https://www.munzee.com/m/Cadonkey/1663/</v>
      </c>
    </row>
    <row r="495" hidden="1" outlineLevel="1">
      <c r="A495" s="76" t="s">
        <v>1151</v>
      </c>
      <c r="B495" s="77">
        <v>41.0</v>
      </c>
      <c r="C495" s="77">
        <v>10.0</v>
      </c>
      <c r="D495" s="64">
        <v>52.116692</v>
      </c>
      <c r="E495" s="64">
        <v>5.382818</v>
      </c>
      <c r="F495" s="78" t="s">
        <v>1087</v>
      </c>
      <c r="G495" s="78" t="s">
        <v>1088</v>
      </c>
      <c r="H495" s="78" t="s">
        <v>644</v>
      </c>
      <c r="I495" s="79" t="s">
        <v>1152</v>
      </c>
      <c r="J495" s="80"/>
      <c r="K495" s="78" t="b">
        <v>1</v>
      </c>
      <c r="L495" s="66" t="str">
        <f t="shared" si="2"/>
        <v/>
      </c>
      <c r="M495" s="81" t="str">
        <f>IFERROR(__xludf.DUMMYFUNCTION("IF(W495=1,IFERROR(IMPORTXML(I495, ""//p[@class='status-date']""), ""Not deployed""),"""")"),"")</f>
        <v/>
      </c>
      <c r="N495" s="82"/>
      <c r="O495" s="66"/>
      <c r="P495" s="66"/>
      <c r="Q495" s="66"/>
      <c r="R495" s="83" t="str">
        <f t="shared" si="25"/>
        <v/>
      </c>
      <c r="S495" s="84" t="str">
        <f t="shared" si="4"/>
        <v/>
      </c>
      <c r="T495" s="85"/>
      <c r="U495" s="82">
        <f t="shared" si="5"/>
        <v>0</v>
      </c>
      <c r="V495" s="66">
        <f t="shared" si="6"/>
        <v>0</v>
      </c>
      <c r="W495" s="81">
        <f t="shared" si="7"/>
        <v>0</v>
      </c>
      <c r="X495" s="82" t="str">
        <f t="shared" si="45"/>
        <v>Andrew81</v>
      </c>
      <c r="Y495" s="86" t="str">
        <f t="shared" si="46"/>
        <v>https://www.munzee.com/m/Andrew81/1516/</v>
      </c>
    </row>
    <row r="496" hidden="1" outlineLevel="1">
      <c r="A496" s="76" t="s">
        <v>1153</v>
      </c>
      <c r="B496" s="77">
        <v>41.0</v>
      </c>
      <c r="C496" s="77">
        <v>14.0</v>
      </c>
      <c r="D496" s="64">
        <v>52.116692</v>
      </c>
      <c r="E496" s="64">
        <v>5.383754</v>
      </c>
      <c r="F496" s="78" t="s">
        <v>132</v>
      </c>
      <c r="G496" s="78" t="s">
        <v>133</v>
      </c>
      <c r="H496" s="78" t="s">
        <v>114</v>
      </c>
      <c r="I496" s="79" t="s">
        <v>1154</v>
      </c>
      <c r="J496" s="80"/>
      <c r="K496" s="78" t="b">
        <v>1</v>
      </c>
      <c r="L496" s="66" t="str">
        <f t="shared" si="2"/>
        <v/>
      </c>
      <c r="M496" s="81" t="str">
        <f>IFERROR(__xludf.DUMMYFUNCTION("IF(W496=1,IFERROR(IMPORTXML(I496, ""//p[@class='status-date']""), ""Not deployed""),"""")"),"")</f>
        <v/>
      </c>
      <c r="N496" s="82"/>
      <c r="O496" s="66"/>
      <c r="P496" s="66"/>
      <c r="Q496" s="66"/>
      <c r="R496" s="83" t="str">
        <f t="shared" si="25"/>
        <v/>
      </c>
      <c r="S496" s="84" t="str">
        <f t="shared" si="4"/>
        <v/>
      </c>
      <c r="T496" s="85"/>
      <c r="U496" s="82">
        <f t="shared" si="5"/>
        <v>0</v>
      </c>
      <c r="V496" s="66">
        <f t="shared" si="6"/>
        <v>0</v>
      </c>
      <c r="W496" s="81">
        <f t="shared" si="7"/>
        <v>0</v>
      </c>
      <c r="X496" s="82" t="str">
        <f t="shared" si="45"/>
        <v>gerardz</v>
      </c>
      <c r="Y496" s="86" t="str">
        <f t="shared" si="46"/>
        <v>https://www.munzee.com/m/gerardz/8138/</v>
      </c>
    </row>
    <row r="497" hidden="1" outlineLevel="1">
      <c r="A497" s="76" t="s">
        <v>1155</v>
      </c>
      <c r="B497" s="77">
        <v>41.0</v>
      </c>
      <c r="C497" s="77">
        <v>20.0</v>
      </c>
      <c r="D497" s="64">
        <v>52.116692</v>
      </c>
      <c r="E497" s="64">
        <v>5.385158</v>
      </c>
      <c r="F497" s="78" t="s">
        <v>132</v>
      </c>
      <c r="G497" s="78" t="s">
        <v>133</v>
      </c>
      <c r="H497" s="66" t="str">
        <f>IF(ISTEXT(X497),X497,"")</f>
        <v>FreezeMan073</v>
      </c>
      <c r="I497" s="94" t="s">
        <v>1156</v>
      </c>
      <c r="J497" s="80"/>
      <c r="K497" s="78" t="b">
        <v>1</v>
      </c>
      <c r="L497" s="66" t="str">
        <f t="shared" si="2"/>
        <v/>
      </c>
      <c r="M497" s="81" t="str">
        <f>IFERROR(__xludf.DUMMYFUNCTION("IF(W497=1,IFERROR(IMPORTXML(I497, ""//p[@class='status-date']""), ""Not deployed""),"""")"),"")</f>
        <v/>
      </c>
      <c r="N497" s="82"/>
      <c r="O497" s="66"/>
      <c r="P497" s="66"/>
      <c r="Q497" s="66"/>
      <c r="R497" s="83" t="str">
        <f t="shared" si="25"/>
        <v/>
      </c>
      <c r="S497" s="84" t="str">
        <f t="shared" si="4"/>
        <v/>
      </c>
      <c r="T497" s="85"/>
      <c r="U497" s="82">
        <f t="shared" si="5"/>
        <v>0</v>
      </c>
      <c r="V497" s="66">
        <f t="shared" si="6"/>
        <v>0</v>
      </c>
      <c r="W497" s="81">
        <f t="shared" si="7"/>
        <v>0</v>
      </c>
      <c r="X497" s="82" t="str">
        <f t="shared" si="45"/>
        <v>FreezeMan073</v>
      </c>
      <c r="Y497" s="86" t="str">
        <f t="shared" si="46"/>
        <v>https://www.munzee.com/m/FreezeMan073/2429/</v>
      </c>
    </row>
    <row r="498" hidden="1" outlineLevel="1">
      <c r="A498" s="76" t="s">
        <v>1157</v>
      </c>
      <c r="B498" s="77">
        <v>41.0</v>
      </c>
      <c r="C498" s="77">
        <v>25.0</v>
      </c>
      <c r="D498" s="64">
        <v>52.116692</v>
      </c>
      <c r="E498" s="64">
        <v>5.386329</v>
      </c>
      <c r="F498" s="78" t="s">
        <v>1087</v>
      </c>
      <c r="G498" s="78" t="s">
        <v>1088</v>
      </c>
      <c r="H498" s="78" t="s">
        <v>1158</v>
      </c>
      <c r="I498" s="94" t="s">
        <v>1159</v>
      </c>
      <c r="J498" s="80"/>
      <c r="K498" s="78" t="b">
        <v>1</v>
      </c>
      <c r="L498" s="66" t="str">
        <f t="shared" si="2"/>
        <v/>
      </c>
      <c r="M498" s="81" t="str">
        <f>IFERROR(__xludf.DUMMYFUNCTION("IF(W498=1,IFERROR(IMPORTXML(I498, ""//p[@class='status-date']""), ""Not deployed""),"""")"),"")</f>
        <v/>
      </c>
      <c r="N498" s="82"/>
      <c r="O498" s="66"/>
      <c r="P498" s="66"/>
      <c r="Q498" s="66"/>
      <c r="R498" s="83" t="str">
        <f t="shared" si="25"/>
        <v/>
      </c>
      <c r="S498" s="84" t="str">
        <f t="shared" si="4"/>
        <v/>
      </c>
      <c r="T498" s="85"/>
      <c r="U498" s="82">
        <f t="shared" si="5"/>
        <v>0</v>
      </c>
      <c r="V498" s="66">
        <f t="shared" si="6"/>
        <v>0</v>
      </c>
      <c r="W498" s="81">
        <f t="shared" si="7"/>
        <v>0</v>
      </c>
      <c r="X498" s="82" t="str">
        <f t="shared" si="45"/>
        <v>mdtt</v>
      </c>
      <c r="Y498" s="86" t="str">
        <f t="shared" si="46"/>
        <v>https://www.munzee.com/m/mdtt/9321/</v>
      </c>
    </row>
    <row r="499" hidden="1" outlineLevel="1">
      <c r="A499" s="76" t="s">
        <v>1160</v>
      </c>
      <c r="B499" s="77">
        <v>41.0</v>
      </c>
      <c r="C499" s="77">
        <v>30.0</v>
      </c>
      <c r="D499" s="64">
        <v>52.116692</v>
      </c>
      <c r="E499" s="64">
        <v>5.387499</v>
      </c>
      <c r="F499" s="78" t="s">
        <v>1087</v>
      </c>
      <c r="G499" s="78" t="s">
        <v>1088</v>
      </c>
      <c r="H499" s="78" t="s">
        <v>237</v>
      </c>
      <c r="I499" s="79" t="s">
        <v>1161</v>
      </c>
      <c r="J499" s="80"/>
      <c r="K499" s="78" t="b">
        <v>1</v>
      </c>
      <c r="L499" s="66" t="str">
        <f t="shared" si="2"/>
        <v/>
      </c>
      <c r="M499" s="81" t="str">
        <f>IFERROR(__xludf.DUMMYFUNCTION("IF(W499=1,IFERROR(IMPORTXML(I499, ""//p[@class='status-date']""), ""Not deployed""),"""")"),"")</f>
        <v/>
      </c>
      <c r="N499" s="82"/>
      <c r="O499" s="66"/>
      <c r="P499" s="66"/>
      <c r="Q499" s="66"/>
      <c r="R499" s="83" t="str">
        <f t="shared" si="25"/>
        <v/>
      </c>
      <c r="S499" s="84" t="str">
        <f t="shared" si="4"/>
        <v/>
      </c>
      <c r="T499" s="85"/>
      <c r="U499" s="82">
        <f t="shared" si="5"/>
        <v>0</v>
      </c>
      <c r="V499" s="66">
        <f t="shared" si="6"/>
        <v>0</v>
      </c>
      <c r="W499" s="81">
        <f t="shared" si="7"/>
        <v>0</v>
      </c>
      <c r="X499" s="82" t="str">
        <f t="shared" si="45"/>
        <v>Helefant</v>
      </c>
      <c r="Y499" s="86" t="str">
        <f t="shared" si="46"/>
        <v>https://www.munzee.com/m/Helefant/5629/</v>
      </c>
    </row>
    <row r="500" hidden="1" outlineLevel="1">
      <c r="A500" s="76" t="s">
        <v>1162</v>
      </c>
      <c r="B500" s="77">
        <v>42.0</v>
      </c>
      <c r="C500" s="77">
        <v>2.0</v>
      </c>
      <c r="D500" s="64">
        <v>52.116548</v>
      </c>
      <c r="E500" s="64">
        <v>5.380945</v>
      </c>
      <c r="F500" s="78" t="s">
        <v>1087</v>
      </c>
      <c r="G500" s="78" t="s">
        <v>1088</v>
      </c>
      <c r="H500" s="78" t="str">
        <f>IF(X500=" ",X500,'Flamingo @ DenTreek'!H498)</f>
        <v>Trappertje</v>
      </c>
      <c r="I500" s="79" t="str">
        <f>'Flamingo @ DenTreek'!I498</f>
        <v>https://www.munzee.com/m/Trappertje/7933/</v>
      </c>
      <c r="J500" s="80"/>
      <c r="K500" s="78" t="b">
        <v>1</v>
      </c>
      <c r="L500" s="66" t="str">
        <f t="shared" si="2"/>
        <v/>
      </c>
      <c r="M500" s="81" t="str">
        <f>IFERROR(__xludf.DUMMYFUNCTION("IF(W500=1,IFERROR(IMPORTXML(I500, ""//p[@class='status-date']""), ""Not deployed""),"""")"),"")</f>
        <v/>
      </c>
      <c r="N500" s="82"/>
      <c r="O500" s="66"/>
      <c r="P500" s="66"/>
      <c r="Q500" s="66"/>
      <c r="R500" s="83" t="str">
        <f t="shared" si="25"/>
        <v/>
      </c>
      <c r="S500" s="84" t="str">
        <f t="shared" si="4"/>
        <v/>
      </c>
      <c r="T500" s="85"/>
      <c r="U500" s="82">
        <f t="shared" si="5"/>
        <v>0</v>
      </c>
      <c r="V500" s="66">
        <f t="shared" si="6"/>
        <v>0</v>
      </c>
      <c r="W500" s="81">
        <f t="shared" si="7"/>
        <v>0</v>
      </c>
      <c r="X500" s="82" t="str">
        <f t="shared" si="45"/>
        <v>Trappertje</v>
      </c>
      <c r="Y500" s="86" t="str">
        <f t="shared" si="46"/>
        <v>https://www.munzee.com/m/Trappertje/7933/</v>
      </c>
    </row>
    <row r="501" hidden="1" outlineLevel="1">
      <c r="A501" s="76" t="s">
        <v>1163</v>
      </c>
      <c r="B501" s="77">
        <v>42.0</v>
      </c>
      <c r="C501" s="77">
        <v>3.0</v>
      </c>
      <c r="D501" s="64">
        <v>52.116548</v>
      </c>
      <c r="E501" s="64">
        <v>5.381179</v>
      </c>
      <c r="F501" s="78" t="s">
        <v>1087</v>
      </c>
      <c r="G501" s="78" t="s">
        <v>1088</v>
      </c>
      <c r="H501" s="78" t="s">
        <v>75</v>
      </c>
      <c r="I501" s="94" t="s">
        <v>1164</v>
      </c>
      <c r="J501" s="80"/>
      <c r="K501" s="78" t="b">
        <v>1</v>
      </c>
      <c r="L501" s="66" t="str">
        <f t="shared" si="2"/>
        <v/>
      </c>
      <c r="M501" s="81" t="str">
        <f>IFERROR(__xludf.DUMMYFUNCTION("IF(W501=1,IFERROR(IMPORTXML(I501, ""//p[@class='status-date']""), ""Not deployed""),"""")"),"")</f>
        <v/>
      </c>
      <c r="N501" s="82"/>
      <c r="O501" s="66"/>
      <c r="P501" s="66"/>
      <c r="Q501" s="66"/>
      <c r="R501" s="83" t="str">
        <f t="shared" si="25"/>
        <v/>
      </c>
      <c r="S501" s="84" t="str">
        <f t="shared" si="4"/>
        <v/>
      </c>
      <c r="T501" s="85"/>
      <c r="U501" s="82">
        <f t="shared" si="5"/>
        <v>0</v>
      </c>
      <c r="V501" s="66">
        <f t="shared" si="6"/>
        <v>0</v>
      </c>
      <c r="W501" s="81">
        <f t="shared" si="7"/>
        <v>0</v>
      </c>
      <c r="X501" s="82" t="str">
        <f t="shared" si="45"/>
        <v>Ingetje</v>
      </c>
      <c r="Y501" s="86" t="str">
        <f t="shared" si="46"/>
        <v>https://www.munzee.com/m/Ingetje/4554/</v>
      </c>
    </row>
    <row r="502" hidden="1" outlineLevel="1">
      <c r="A502" s="76" t="s">
        <v>1165</v>
      </c>
      <c r="B502" s="77">
        <v>42.0</v>
      </c>
      <c r="C502" s="77">
        <v>4.0</v>
      </c>
      <c r="D502" s="64">
        <v>52.116548</v>
      </c>
      <c r="E502" s="64">
        <v>5.381413</v>
      </c>
      <c r="F502" s="78" t="s">
        <v>1087</v>
      </c>
      <c r="G502" s="78" t="s">
        <v>1088</v>
      </c>
      <c r="H502" s="78" t="s">
        <v>1166</v>
      </c>
      <c r="I502" s="79" t="s">
        <v>1167</v>
      </c>
      <c r="J502" s="80"/>
      <c r="K502" s="78" t="b">
        <v>1</v>
      </c>
      <c r="L502" s="66" t="str">
        <f t="shared" si="2"/>
        <v/>
      </c>
      <c r="M502" s="81" t="str">
        <f>IFERROR(__xludf.DUMMYFUNCTION("IF(W502=1,IFERROR(IMPORTXML(I502, ""//p[@class='status-date']""), ""Not deployed""),"""")"),"")</f>
        <v/>
      </c>
      <c r="N502" s="82"/>
      <c r="O502" s="66"/>
      <c r="P502" s="66"/>
      <c r="Q502" s="66"/>
      <c r="R502" s="83" t="str">
        <f t="shared" si="25"/>
        <v/>
      </c>
      <c r="S502" s="84" t="str">
        <f t="shared" si="4"/>
        <v/>
      </c>
      <c r="T502" s="85"/>
      <c r="U502" s="82">
        <f t="shared" si="5"/>
        <v>0</v>
      </c>
      <c r="V502" s="66">
        <f t="shared" si="6"/>
        <v>0</v>
      </c>
      <c r="W502" s="81">
        <f t="shared" si="7"/>
        <v>0</v>
      </c>
      <c r="X502" s="82" t="str">
        <f t="shared" si="45"/>
        <v>Lanyasummer</v>
      </c>
      <c r="Y502" s="86" t="str">
        <f t="shared" si="46"/>
        <v>https://www.munzee.com/m/Lanyasummer/7961/</v>
      </c>
    </row>
    <row r="503" hidden="1" outlineLevel="1">
      <c r="A503" s="76" t="s">
        <v>1168</v>
      </c>
      <c r="B503" s="77">
        <v>42.0</v>
      </c>
      <c r="C503" s="77">
        <v>5.0</v>
      </c>
      <c r="D503" s="64">
        <v>52.116548</v>
      </c>
      <c r="E503" s="64">
        <v>5.381647</v>
      </c>
      <c r="F503" s="78" t="s">
        <v>1087</v>
      </c>
      <c r="G503" s="78" t="s">
        <v>1088</v>
      </c>
      <c r="H503" s="78" t="str">
        <f>IF(X503=" ",X503,'Flamingo @ DenTreek'!H501)</f>
        <v>Trappertje</v>
      </c>
      <c r="I503" s="79" t="str">
        <f>'Flamingo @ DenTreek'!I501</f>
        <v>https://www.munzee.com/m/Trappertje/8461/</v>
      </c>
      <c r="J503" s="80"/>
      <c r="K503" s="78" t="b">
        <v>1</v>
      </c>
      <c r="L503" s="66" t="str">
        <f t="shared" si="2"/>
        <v/>
      </c>
      <c r="M503" s="81" t="str">
        <f>IFERROR(__xludf.DUMMYFUNCTION("IF(W503=1,IFERROR(IMPORTXML(I503, ""//p[@class='status-date']""), ""Not deployed""),"""")"),"")</f>
        <v/>
      </c>
      <c r="N503" s="82"/>
      <c r="O503" s="66"/>
      <c r="P503" s="66"/>
      <c r="Q503" s="66"/>
      <c r="R503" s="83" t="str">
        <f t="shared" si="25"/>
        <v/>
      </c>
      <c r="S503" s="84" t="str">
        <f t="shared" si="4"/>
        <v/>
      </c>
      <c r="T503" s="85"/>
      <c r="U503" s="82">
        <f t="shared" si="5"/>
        <v>0</v>
      </c>
      <c r="V503" s="66">
        <f t="shared" si="6"/>
        <v>0</v>
      </c>
      <c r="W503" s="81">
        <f t="shared" si="7"/>
        <v>0</v>
      </c>
      <c r="X503" s="82" t="str">
        <f t="shared" si="45"/>
        <v>Trappertje</v>
      </c>
      <c r="Y503" s="86" t="str">
        <f t="shared" si="46"/>
        <v>https://www.munzee.com/m/Trappertje/8461/</v>
      </c>
    </row>
    <row r="504" hidden="1" outlineLevel="1">
      <c r="A504" s="76" t="s">
        <v>1169</v>
      </c>
      <c r="B504" s="77">
        <v>42.0</v>
      </c>
      <c r="C504" s="77">
        <v>8.0</v>
      </c>
      <c r="D504" s="64">
        <v>52.116548</v>
      </c>
      <c r="E504" s="64">
        <v>5.38235</v>
      </c>
      <c r="F504" s="78" t="s">
        <v>1087</v>
      </c>
      <c r="G504" s="78" t="s">
        <v>1088</v>
      </c>
      <c r="H504" s="78" t="s">
        <v>1170</v>
      </c>
      <c r="I504" s="79" t="s">
        <v>1171</v>
      </c>
      <c r="J504" s="80"/>
      <c r="K504" s="78" t="b">
        <v>1</v>
      </c>
      <c r="L504" s="66" t="str">
        <f t="shared" si="2"/>
        <v/>
      </c>
      <c r="M504" s="81" t="str">
        <f>IFERROR(__xludf.DUMMYFUNCTION("IF(W504=1,IFERROR(IMPORTXML(I504, ""//p[@class='status-date']""), ""Not deployed""),"""")"),"")</f>
        <v/>
      </c>
      <c r="N504" s="82"/>
      <c r="O504" s="66"/>
      <c r="P504" s="66"/>
      <c r="Q504" s="66"/>
      <c r="R504" s="83" t="str">
        <f t="shared" si="25"/>
        <v/>
      </c>
      <c r="S504" s="84" t="str">
        <f t="shared" si="4"/>
        <v/>
      </c>
      <c r="T504" s="85"/>
      <c r="U504" s="82">
        <f t="shared" si="5"/>
        <v>0</v>
      </c>
      <c r="V504" s="66">
        <f t="shared" si="6"/>
        <v>0</v>
      </c>
      <c r="W504" s="81">
        <f t="shared" si="7"/>
        <v>0</v>
      </c>
      <c r="X504" s="82" t="str">
        <f t="shared" si="45"/>
        <v>babyw</v>
      </c>
      <c r="Y504" s="86" t="str">
        <f t="shared" si="46"/>
        <v>https://www.munzee.com/m/babyw/4313/</v>
      </c>
    </row>
    <row r="505" hidden="1" outlineLevel="1">
      <c r="A505" s="76" t="s">
        <v>1172</v>
      </c>
      <c r="B505" s="77">
        <v>42.0</v>
      </c>
      <c r="C505" s="77">
        <v>9.0</v>
      </c>
      <c r="D505" s="64">
        <v>52.116548</v>
      </c>
      <c r="E505" s="64">
        <v>5.382584</v>
      </c>
      <c r="F505" s="78" t="s">
        <v>1087</v>
      </c>
      <c r="G505" s="78" t="s">
        <v>1088</v>
      </c>
      <c r="H505" s="106" t="s">
        <v>75</v>
      </c>
      <c r="I505" s="94" t="s">
        <v>1173</v>
      </c>
      <c r="J505" s="80"/>
      <c r="K505" s="78" t="b">
        <v>1</v>
      </c>
      <c r="L505" s="66" t="str">
        <f t="shared" si="2"/>
        <v/>
      </c>
      <c r="M505" s="81" t="str">
        <f>IFERROR(__xludf.DUMMYFUNCTION("IF(W505=1,IFERROR(IMPORTXML(I505, ""//p[@class='status-date']""), ""Not deployed""),"""")"),"")</f>
        <v/>
      </c>
      <c r="N505" s="82"/>
      <c r="O505" s="66"/>
      <c r="P505" s="66"/>
      <c r="Q505" s="66"/>
      <c r="R505" s="83" t="str">
        <f t="shared" si="25"/>
        <v/>
      </c>
      <c r="S505" s="84" t="str">
        <f t="shared" si="4"/>
        <v/>
      </c>
      <c r="T505" s="85"/>
      <c r="U505" s="82">
        <f t="shared" si="5"/>
        <v>0</v>
      </c>
      <c r="V505" s="66">
        <f t="shared" si="6"/>
        <v>0</v>
      </c>
      <c r="W505" s="81">
        <f t="shared" si="7"/>
        <v>0</v>
      </c>
      <c r="X505" s="82" t="str">
        <f t="shared" si="45"/>
        <v>Ingetje</v>
      </c>
      <c r="Y505" s="86" t="str">
        <f t="shared" si="46"/>
        <v>https://www.munzee.com/m/Ingetje/4141/</v>
      </c>
    </row>
    <row r="506" hidden="1" outlineLevel="1">
      <c r="A506" s="76" t="s">
        <v>1174</v>
      </c>
      <c r="B506" s="77">
        <v>42.0</v>
      </c>
      <c r="C506" s="77">
        <v>13.0</v>
      </c>
      <c r="D506" s="64">
        <v>52.116548</v>
      </c>
      <c r="E506" s="64">
        <v>5.38352</v>
      </c>
      <c r="F506" s="78" t="s">
        <v>132</v>
      </c>
      <c r="G506" s="78" t="s">
        <v>133</v>
      </c>
      <c r="H506" s="78" t="s">
        <v>323</v>
      </c>
      <c r="I506" s="79" t="s">
        <v>1175</v>
      </c>
      <c r="J506" s="80"/>
      <c r="K506" s="78" t="b">
        <v>1</v>
      </c>
      <c r="L506" s="66" t="str">
        <f t="shared" si="2"/>
        <v/>
      </c>
      <c r="M506" s="81" t="str">
        <f>IFERROR(__xludf.DUMMYFUNCTION("IF(W506=1,IFERROR(IMPORTXML(I506, ""//p[@class='status-date']""), ""Not deployed""),"""")"),"")</f>
        <v/>
      </c>
      <c r="N506" s="82"/>
      <c r="O506" s="66"/>
      <c r="P506" s="66"/>
      <c r="Q506" s="66"/>
      <c r="R506" s="83" t="str">
        <f t="shared" si="25"/>
        <v/>
      </c>
      <c r="S506" s="84" t="str">
        <f t="shared" si="4"/>
        <v/>
      </c>
      <c r="T506" s="85"/>
      <c r="U506" s="82">
        <f t="shared" si="5"/>
        <v>0</v>
      </c>
      <c r="V506" s="66">
        <f t="shared" si="6"/>
        <v>0</v>
      </c>
      <c r="W506" s="81">
        <f t="shared" si="7"/>
        <v>0</v>
      </c>
      <c r="X506" s="82" t="str">
        <f t="shared" si="45"/>
        <v>theLuckyFinders</v>
      </c>
      <c r="Y506" s="86" t="str">
        <f t="shared" si="46"/>
        <v>https://www.munzee.com/m/theLuckyFinders/3888/</v>
      </c>
    </row>
    <row r="507" hidden="1" outlineLevel="1">
      <c r="A507" s="76" t="s">
        <v>1176</v>
      </c>
      <c r="B507" s="77">
        <v>42.0</v>
      </c>
      <c r="C507" s="77">
        <v>20.0</v>
      </c>
      <c r="D507" s="64">
        <v>52.116548</v>
      </c>
      <c r="E507" s="64">
        <v>5.385158</v>
      </c>
      <c r="F507" s="78" t="s">
        <v>247</v>
      </c>
      <c r="G507" s="78" t="s">
        <v>248</v>
      </c>
      <c r="H507" s="78" t="s">
        <v>86</v>
      </c>
      <c r="I507" s="79" t="s">
        <v>1177</v>
      </c>
      <c r="J507" s="80"/>
      <c r="K507" s="78" t="b">
        <v>1</v>
      </c>
      <c r="L507" s="66" t="str">
        <f t="shared" si="2"/>
        <v/>
      </c>
      <c r="M507" s="81" t="str">
        <f>IFERROR(__xludf.DUMMYFUNCTION("IF(W507=1,IFERROR(IMPORTXML(I507, ""//p[@class='status-date']""), ""Not deployed""),"""")"),"")</f>
        <v/>
      </c>
      <c r="N507" s="82"/>
      <c r="O507" s="66"/>
      <c r="P507" s="66"/>
      <c r="Q507" s="66"/>
      <c r="R507" s="83" t="str">
        <f t="shared" si="25"/>
        <v/>
      </c>
      <c r="S507" s="84" t="str">
        <f t="shared" si="4"/>
        <v/>
      </c>
      <c r="T507" s="85"/>
      <c r="U507" s="82">
        <f t="shared" si="5"/>
        <v>0</v>
      </c>
      <c r="V507" s="66">
        <f t="shared" si="6"/>
        <v>0</v>
      </c>
      <c r="W507" s="81">
        <f t="shared" si="7"/>
        <v>0</v>
      </c>
      <c r="X507" s="82" t="str">
        <f t="shared" si="45"/>
        <v>Alroso</v>
      </c>
      <c r="Y507" s="86" t="str">
        <f t="shared" si="46"/>
        <v>https://www.munzee.com/m/Alroso/2499/</v>
      </c>
    </row>
    <row r="508" hidden="1" outlineLevel="1">
      <c r="A508" s="76" t="s">
        <v>1178</v>
      </c>
      <c r="B508" s="77">
        <v>42.0</v>
      </c>
      <c r="C508" s="77">
        <v>24.0</v>
      </c>
      <c r="D508" s="64">
        <v>52.116548</v>
      </c>
      <c r="E508" s="64">
        <v>5.386095</v>
      </c>
      <c r="F508" s="78" t="s">
        <v>1087</v>
      </c>
      <c r="G508" s="78" t="s">
        <v>1088</v>
      </c>
      <c r="H508" s="66" t="str">
        <f>IF(X508=" ",X508,'Flamingo @ DenTreek'!H506)</f>
        <v>bordentaxi</v>
      </c>
      <c r="I508" s="79" t="str">
        <f>'Flamingo @ DenTreek'!I506</f>
        <v>https://www.munzee.com/m/bordentaxi/8339/</v>
      </c>
      <c r="J508" s="80"/>
      <c r="K508" s="78" t="b">
        <v>1</v>
      </c>
      <c r="L508" s="66" t="str">
        <f t="shared" si="2"/>
        <v/>
      </c>
      <c r="M508" s="81" t="str">
        <f>IFERROR(__xludf.DUMMYFUNCTION("IF(W508=1,IFERROR(IMPORTXML(I508, ""//p[@class='status-date']""), ""Not deployed""),"""")"),"")</f>
        <v/>
      </c>
      <c r="N508" s="82"/>
      <c r="O508" s="66"/>
      <c r="P508" s="66"/>
      <c r="Q508" s="66"/>
      <c r="R508" s="83" t="str">
        <f t="shared" si="25"/>
        <v/>
      </c>
      <c r="S508" s="84" t="str">
        <f t="shared" si="4"/>
        <v/>
      </c>
      <c r="T508" s="85"/>
      <c r="U508" s="82">
        <f t="shared" si="5"/>
        <v>0</v>
      </c>
      <c r="V508" s="66">
        <f t="shared" si="6"/>
        <v>0</v>
      </c>
      <c r="W508" s="81">
        <f t="shared" si="7"/>
        <v>0</v>
      </c>
      <c r="X508" s="82" t="str">
        <f t="shared" si="45"/>
        <v>bordentaxi</v>
      </c>
      <c r="Y508" s="86" t="str">
        <f t="shared" si="46"/>
        <v>https://www.munzee.com/m/bordentaxi/8339/</v>
      </c>
    </row>
    <row r="509" hidden="1" outlineLevel="1">
      <c r="A509" s="76" t="s">
        <v>1179</v>
      </c>
      <c r="B509" s="77">
        <v>42.0</v>
      </c>
      <c r="C509" s="77">
        <v>25.0</v>
      </c>
      <c r="D509" s="64">
        <v>52.116548</v>
      </c>
      <c r="E509" s="64">
        <v>5.386329</v>
      </c>
      <c r="F509" s="78" t="s">
        <v>1087</v>
      </c>
      <c r="G509" s="78" t="s">
        <v>1088</v>
      </c>
      <c r="H509" s="66" t="str">
        <f>IF(X509=" ",X509,'Flamingo @ DenTreek'!H507)</f>
        <v>felixbongers</v>
      </c>
      <c r="I509" s="79" t="str">
        <f>'Flamingo @ DenTreek'!I507</f>
        <v>https://www.munzee.com/m/felixbongers/9596/</v>
      </c>
      <c r="J509" s="80"/>
      <c r="K509" s="78" t="b">
        <v>1</v>
      </c>
      <c r="L509" s="66" t="str">
        <f t="shared" si="2"/>
        <v/>
      </c>
      <c r="M509" s="81" t="str">
        <f>IFERROR(__xludf.DUMMYFUNCTION("IF(W509=1,IFERROR(IMPORTXML(I509, ""//p[@class='status-date']""), ""Not deployed""),"""")"),"")</f>
        <v/>
      </c>
      <c r="N509" s="82"/>
      <c r="O509" s="66"/>
      <c r="P509" s="66"/>
      <c r="Q509" s="66"/>
      <c r="R509" s="83" t="str">
        <f t="shared" si="25"/>
        <v/>
      </c>
      <c r="S509" s="84" t="str">
        <f t="shared" si="4"/>
        <v/>
      </c>
      <c r="T509" s="85"/>
      <c r="U509" s="82">
        <f t="shared" si="5"/>
        <v>0</v>
      </c>
      <c r="V509" s="66">
        <f t="shared" si="6"/>
        <v>0</v>
      </c>
      <c r="W509" s="81">
        <f t="shared" si="7"/>
        <v>0</v>
      </c>
      <c r="X509" s="82" t="str">
        <f t="shared" si="45"/>
        <v>felixbongers</v>
      </c>
      <c r="Y509" s="86" t="str">
        <f t="shared" si="46"/>
        <v>https://www.munzee.com/m/felixbongers/9596/</v>
      </c>
    </row>
    <row r="510" hidden="1" outlineLevel="1">
      <c r="A510" s="76" t="s">
        <v>1180</v>
      </c>
      <c r="B510" s="77">
        <v>42.0</v>
      </c>
      <c r="C510" s="77">
        <v>26.0</v>
      </c>
      <c r="D510" s="64">
        <v>52.116548</v>
      </c>
      <c r="E510" s="64">
        <v>5.386563</v>
      </c>
      <c r="F510" s="78" t="s">
        <v>1087</v>
      </c>
      <c r="G510" s="78" t="s">
        <v>1088</v>
      </c>
      <c r="H510" s="66" t="str">
        <f>IF(X510=" ",X510,'Flamingo @ DenTreek'!H508)</f>
        <v>feikjen</v>
      </c>
      <c r="I510" s="79" t="str">
        <f>'Flamingo @ DenTreek'!I508</f>
        <v>https://www.munzee.com/m/feikjen/9818</v>
      </c>
      <c r="J510" s="80"/>
      <c r="K510" s="78" t="b">
        <v>1</v>
      </c>
      <c r="L510" s="66" t="str">
        <f t="shared" si="2"/>
        <v/>
      </c>
      <c r="M510" s="81" t="str">
        <f>IFERROR(__xludf.DUMMYFUNCTION("IF(W510=1,IFERROR(IMPORTXML(I510, ""//p[@class='status-date']""), ""Not deployed""),"""")"),"")</f>
        <v/>
      </c>
      <c r="N510" s="82"/>
      <c r="O510" s="66"/>
      <c r="P510" s="66"/>
      <c r="Q510" s="66"/>
      <c r="R510" s="83" t="str">
        <f t="shared" si="25"/>
        <v/>
      </c>
      <c r="S510" s="84" t="str">
        <f t="shared" si="4"/>
        <v/>
      </c>
      <c r="T510" s="85"/>
      <c r="U510" s="82">
        <f t="shared" si="5"/>
        <v>0</v>
      </c>
      <c r="V510" s="66">
        <f t="shared" si="6"/>
        <v>0</v>
      </c>
      <c r="W510" s="81">
        <f t="shared" si="7"/>
        <v>0</v>
      </c>
      <c r="X510" s="82" t="str">
        <f t="shared" si="45"/>
        <v>feikjen</v>
      </c>
      <c r="Y510" s="86" t="str">
        <f t="shared" si="46"/>
        <v>https://www.munzee.com/m/feikjen/9818/</v>
      </c>
    </row>
    <row r="511" hidden="1" outlineLevel="1">
      <c r="A511" s="76" t="s">
        <v>1181</v>
      </c>
      <c r="B511" s="77">
        <v>42.0</v>
      </c>
      <c r="C511" s="77">
        <v>27.0</v>
      </c>
      <c r="D511" s="64">
        <v>52.116548</v>
      </c>
      <c r="E511" s="64">
        <v>5.386797</v>
      </c>
      <c r="F511" s="78" t="s">
        <v>1087</v>
      </c>
      <c r="G511" s="78" t="s">
        <v>1088</v>
      </c>
      <c r="H511" s="66" t="str">
        <f>IF(X511=" ",X511,'Flamingo @ DenTreek'!H509)</f>
        <v>bordentaxi</v>
      </c>
      <c r="I511" s="79" t="str">
        <f>'Flamingo @ DenTreek'!I509</f>
        <v>https://www.munzee.com/m/bordentaxi/8341/</v>
      </c>
      <c r="J511" s="80"/>
      <c r="K511" s="78" t="b">
        <v>1</v>
      </c>
      <c r="L511" s="66" t="str">
        <f t="shared" si="2"/>
        <v/>
      </c>
      <c r="M511" s="81" t="str">
        <f>IFERROR(__xludf.DUMMYFUNCTION("IF(W511=1,IFERROR(IMPORTXML(I511, ""//p[@class='status-date']""), ""Not deployed""),"""")"),"")</f>
        <v/>
      </c>
      <c r="N511" s="82"/>
      <c r="O511" s="66"/>
      <c r="P511" s="66"/>
      <c r="Q511" s="66"/>
      <c r="R511" s="83" t="str">
        <f t="shared" si="25"/>
        <v/>
      </c>
      <c r="S511" s="84" t="str">
        <f t="shared" si="4"/>
        <v/>
      </c>
      <c r="T511" s="85"/>
      <c r="U511" s="82">
        <f t="shared" si="5"/>
        <v>0</v>
      </c>
      <c r="V511" s="66">
        <f t="shared" si="6"/>
        <v>0</v>
      </c>
      <c r="W511" s="81">
        <f t="shared" si="7"/>
        <v>0</v>
      </c>
      <c r="X511" s="82" t="str">
        <f t="shared" si="45"/>
        <v>bordentaxi</v>
      </c>
      <c r="Y511" s="86" t="str">
        <f t="shared" si="46"/>
        <v>https://www.munzee.com/m/bordentaxi/8341/</v>
      </c>
    </row>
    <row r="512" hidden="1" outlineLevel="1">
      <c r="A512" s="76" t="s">
        <v>1182</v>
      </c>
      <c r="B512" s="77">
        <v>42.0</v>
      </c>
      <c r="C512" s="77">
        <v>29.0</v>
      </c>
      <c r="D512" s="64">
        <v>52.116548</v>
      </c>
      <c r="E512" s="64">
        <v>5.387265</v>
      </c>
      <c r="F512" s="78" t="s">
        <v>1087</v>
      </c>
      <c r="G512" s="78" t="s">
        <v>1088</v>
      </c>
      <c r="H512" s="66" t="str">
        <f>IF(X512=" ",X512,'Flamingo @ DenTreek'!H510)</f>
        <v>felixbongers</v>
      </c>
      <c r="I512" s="79" t="str">
        <f>'Flamingo @ DenTreek'!I510</f>
        <v>https://www.munzee.com/m/felixbongers/9437</v>
      </c>
      <c r="J512" s="80"/>
      <c r="K512" s="78" t="b">
        <v>1</v>
      </c>
      <c r="L512" s="66" t="str">
        <f t="shared" si="2"/>
        <v/>
      </c>
      <c r="M512" s="81" t="str">
        <f>IFERROR(__xludf.DUMMYFUNCTION("IF(W512=1,IFERROR(IMPORTXML(I512, ""//p[@class='status-date']""), ""Not deployed""),"""")"),"")</f>
        <v/>
      </c>
      <c r="N512" s="82"/>
      <c r="O512" s="66"/>
      <c r="P512" s="66"/>
      <c r="Q512" s="66"/>
      <c r="R512" s="83" t="str">
        <f t="shared" si="25"/>
        <v/>
      </c>
      <c r="S512" s="84" t="str">
        <f t="shared" si="4"/>
        <v/>
      </c>
      <c r="T512" s="85"/>
      <c r="U512" s="82">
        <f t="shared" si="5"/>
        <v>0</v>
      </c>
      <c r="V512" s="66">
        <f t="shared" si="6"/>
        <v>0</v>
      </c>
      <c r="W512" s="81">
        <f t="shared" si="7"/>
        <v>0</v>
      </c>
      <c r="X512" s="82" t="str">
        <f t="shared" si="45"/>
        <v>felixbongers</v>
      </c>
      <c r="Y512" s="86" t="str">
        <f t="shared" si="46"/>
        <v>https://www.munzee.com/m/felixbongers/9437/</v>
      </c>
    </row>
    <row r="513" hidden="1" outlineLevel="1">
      <c r="A513" s="76" t="s">
        <v>1183</v>
      </c>
      <c r="B513" s="77">
        <v>42.0</v>
      </c>
      <c r="C513" s="77">
        <v>30.0</v>
      </c>
      <c r="D513" s="64">
        <v>52.116548</v>
      </c>
      <c r="E513" s="64">
        <v>5.387499</v>
      </c>
      <c r="F513" s="78" t="s">
        <v>1087</v>
      </c>
      <c r="G513" s="78" t="s">
        <v>1088</v>
      </c>
      <c r="H513" s="66" t="str">
        <f>IF(X513=" ",X513,'Flamingo @ DenTreek'!H511)</f>
        <v>feikjen</v>
      </c>
      <c r="I513" s="79" t="str">
        <f>'Flamingo @ DenTreek'!I511</f>
        <v>https://www.munzee.com/m/feikjen/9653</v>
      </c>
      <c r="J513" s="80"/>
      <c r="K513" s="78" t="b">
        <v>1</v>
      </c>
      <c r="L513" s="66" t="str">
        <f t="shared" si="2"/>
        <v/>
      </c>
      <c r="M513" s="81" t="str">
        <f>IFERROR(__xludf.DUMMYFUNCTION("IF(W513=1,IFERROR(IMPORTXML(I513, ""//p[@class='status-date']""), ""Not deployed""),"""")"),"")</f>
        <v/>
      </c>
      <c r="N513" s="82"/>
      <c r="O513" s="66"/>
      <c r="P513" s="66"/>
      <c r="Q513" s="66"/>
      <c r="R513" s="83" t="str">
        <f t="shared" si="25"/>
        <v/>
      </c>
      <c r="S513" s="84" t="str">
        <f t="shared" si="4"/>
        <v/>
      </c>
      <c r="T513" s="85"/>
      <c r="U513" s="82">
        <f t="shared" si="5"/>
        <v>0</v>
      </c>
      <c r="V513" s="66">
        <f t="shared" si="6"/>
        <v>0</v>
      </c>
      <c r="W513" s="81">
        <f t="shared" si="7"/>
        <v>0</v>
      </c>
      <c r="X513" s="82" t="str">
        <f t="shared" si="45"/>
        <v>feikjen</v>
      </c>
      <c r="Y513" s="86" t="str">
        <f t="shared" si="46"/>
        <v>https://www.munzee.com/m/feikjen/9653/</v>
      </c>
    </row>
    <row r="514" hidden="1" outlineLevel="1">
      <c r="A514" s="76" t="s">
        <v>1184</v>
      </c>
      <c r="B514" s="77">
        <v>42.0</v>
      </c>
      <c r="C514" s="77">
        <v>31.0</v>
      </c>
      <c r="D514" s="64">
        <v>52.116548</v>
      </c>
      <c r="E514" s="64">
        <v>5.387733</v>
      </c>
      <c r="F514" s="78" t="s">
        <v>1087</v>
      </c>
      <c r="G514" s="78" t="s">
        <v>1088</v>
      </c>
      <c r="H514" s="78" t="s">
        <v>1185</v>
      </c>
      <c r="I514" s="79" t="s">
        <v>1186</v>
      </c>
      <c r="J514" s="80"/>
      <c r="K514" s="78" t="b">
        <v>1</v>
      </c>
      <c r="L514" s="66" t="str">
        <f t="shared" si="2"/>
        <v/>
      </c>
      <c r="M514" s="81" t="str">
        <f>IFERROR(__xludf.DUMMYFUNCTION("IF(W514=1,IFERROR(IMPORTXML(I514, ""//p[@class='status-date']""), ""Not deployed""),"""")"),"")</f>
        <v/>
      </c>
      <c r="N514" s="82"/>
      <c r="O514" s="66"/>
      <c r="P514" s="66"/>
      <c r="Q514" s="66"/>
      <c r="R514" s="83" t="str">
        <f t="shared" si="25"/>
        <v/>
      </c>
      <c r="S514" s="84" t="str">
        <f t="shared" si="4"/>
        <v/>
      </c>
      <c r="T514" s="85"/>
      <c r="U514" s="82">
        <f t="shared" si="5"/>
        <v>0</v>
      </c>
      <c r="V514" s="66">
        <f t="shared" si="6"/>
        <v>0</v>
      </c>
      <c r="W514" s="81">
        <f t="shared" si="7"/>
        <v>0</v>
      </c>
      <c r="X514" s="82" t="str">
        <f t="shared" si="45"/>
        <v>teamsturms</v>
      </c>
      <c r="Y514" s="86" t="str">
        <f t="shared" si="46"/>
        <v>https://www.munzee.com/m/teamsturms/8293/</v>
      </c>
    </row>
    <row r="515" hidden="1" outlineLevel="1">
      <c r="A515" s="76" t="s">
        <v>1187</v>
      </c>
      <c r="B515" s="77">
        <v>42.0</v>
      </c>
      <c r="C515" s="77">
        <v>32.0</v>
      </c>
      <c r="D515" s="64">
        <v>52.116548</v>
      </c>
      <c r="E515" s="64">
        <v>5.387967</v>
      </c>
      <c r="F515" s="78" t="s">
        <v>1087</v>
      </c>
      <c r="G515" s="78" t="s">
        <v>1088</v>
      </c>
      <c r="H515" s="78" t="s">
        <v>1188</v>
      </c>
      <c r="I515" s="79" t="s">
        <v>1189</v>
      </c>
      <c r="J515" s="80"/>
      <c r="K515" s="78" t="b">
        <v>1</v>
      </c>
      <c r="L515" s="66" t="str">
        <f t="shared" si="2"/>
        <v/>
      </c>
      <c r="M515" s="81" t="str">
        <f>IFERROR(__xludf.DUMMYFUNCTION("IF(W515=1,IFERROR(IMPORTXML(I515, ""//p[@class='status-date']""), ""Not deployed""),"""")"),"")</f>
        <v/>
      </c>
      <c r="N515" s="82"/>
      <c r="O515" s="66"/>
      <c r="P515" s="66"/>
      <c r="Q515" s="66"/>
      <c r="R515" s="83" t="str">
        <f t="shared" si="25"/>
        <v/>
      </c>
      <c r="S515" s="84" t="str">
        <f t="shared" si="4"/>
        <v/>
      </c>
      <c r="T515" s="85"/>
      <c r="U515" s="82">
        <f t="shared" si="5"/>
        <v>0</v>
      </c>
      <c r="V515" s="66">
        <f t="shared" si="6"/>
        <v>0</v>
      </c>
      <c r="W515" s="81">
        <f t="shared" si="7"/>
        <v>0</v>
      </c>
      <c r="X515" s="82" t="str">
        <f t="shared" si="45"/>
        <v>Franske</v>
      </c>
      <c r="Y515" s="86" t="str">
        <f t="shared" si="46"/>
        <v>https://www.munzee.com/m/Franske/1867/</v>
      </c>
    </row>
    <row r="516" hidden="1" outlineLevel="1">
      <c r="A516" s="76" t="s">
        <v>1190</v>
      </c>
      <c r="B516" s="77">
        <v>43.0</v>
      </c>
      <c r="C516" s="77">
        <v>1.0</v>
      </c>
      <c r="D516" s="64">
        <v>52.116405</v>
      </c>
      <c r="E516" s="64">
        <v>5.380711</v>
      </c>
      <c r="F516" s="78" t="s">
        <v>1191</v>
      </c>
      <c r="G516" s="78" t="s">
        <v>1192</v>
      </c>
      <c r="H516" s="78" t="str">
        <f>IF(X516=" ",X516,'Flamingo @ DenTreek'!H514)</f>
        <v>Wawie</v>
      </c>
      <c r="I516" s="79" t="s">
        <v>1193</v>
      </c>
      <c r="J516" s="88"/>
      <c r="K516" s="78" t="b">
        <v>1</v>
      </c>
      <c r="L516" s="66" t="str">
        <f t="shared" si="2"/>
        <v/>
      </c>
      <c r="M516" s="81" t="str">
        <f>IFERROR(__xludf.DUMMYFUNCTION("IF(W516=1,IFERROR(IMPORTXML(I516, ""//p[@class='status-date']""), ""Not deployed""),"""")"),"")</f>
        <v/>
      </c>
      <c r="N516" s="82"/>
      <c r="O516" s="66"/>
      <c r="P516" s="66"/>
      <c r="Q516" s="66"/>
      <c r="R516" s="83" t="str">
        <f t="shared" si="25"/>
        <v/>
      </c>
      <c r="S516" s="84" t="str">
        <f t="shared" si="4"/>
        <v/>
      </c>
      <c r="T516" s="85"/>
      <c r="U516" s="82">
        <f t="shared" si="5"/>
        <v>0</v>
      </c>
      <c r="V516" s="66">
        <f t="shared" si="6"/>
        <v>0</v>
      </c>
      <c r="W516" s="81">
        <f t="shared" si="7"/>
        <v>0</v>
      </c>
      <c r="X516" s="82" t="str">
        <f t="shared" si="45"/>
        <v>Wawie</v>
      </c>
      <c r="Y516" s="86" t="str">
        <f t="shared" si="46"/>
        <v>https://www.munzee.com/m/Wawie/2279/</v>
      </c>
    </row>
    <row r="517" hidden="1" outlineLevel="1">
      <c r="A517" s="76" t="s">
        <v>1194</v>
      </c>
      <c r="B517" s="77">
        <v>43.0</v>
      </c>
      <c r="C517" s="77">
        <v>2.0</v>
      </c>
      <c r="D517" s="64">
        <v>52.116405</v>
      </c>
      <c r="E517" s="64">
        <v>5.380945</v>
      </c>
      <c r="F517" s="78" t="s">
        <v>1191</v>
      </c>
      <c r="G517" s="78" t="s">
        <v>1192</v>
      </c>
      <c r="H517" s="66" t="str">
        <f>IF(X517=" ",X517,'Flamingo @ DenTreek'!H515)</f>
        <v>bordentaxi</v>
      </c>
      <c r="I517" s="79" t="str">
        <f>'Flamingo @ DenTreek'!I515</f>
        <v>https://www.munzee.com/m/bordentaxi/8568/</v>
      </c>
      <c r="J517" s="80"/>
      <c r="K517" s="78" t="b">
        <v>1</v>
      </c>
      <c r="L517" s="66" t="str">
        <f t="shared" si="2"/>
        <v/>
      </c>
      <c r="M517" s="81" t="str">
        <f>IFERROR(__xludf.DUMMYFUNCTION("IF(W517=1,IFERROR(IMPORTXML(I517, ""//p[@class='status-date']""), ""Not deployed""),"""")"),"")</f>
        <v/>
      </c>
      <c r="N517" s="82"/>
      <c r="O517" s="66"/>
      <c r="P517" s="66"/>
      <c r="Q517" s="66"/>
      <c r="R517" s="83" t="str">
        <f t="shared" si="25"/>
        <v/>
      </c>
      <c r="S517" s="84" t="str">
        <f t="shared" si="4"/>
        <v/>
      </c>
      <c r="T517" s="85"/>
      <c r="U517" s="82">
        <f t="shared" si="5"/>
        <v>0</v>
      </c>
      <c r="V517" s="66">
        <f t="shared" si="6"/>
        <v>0</v>
      </c>
      <c r="W517" s="81">
        <f t="shared" si="7"/>
        <v>0</v>
      </c>
      <c r="X517" s="82" t="str">
        <f t="shared" si="45"/>
        <v>bordentaxi</v>
      </c>
      <c r="Y517" s="86" t="str">
        <f t="shared" si="46"/>
        <v>https://www.munzee.com/m/bordentaxi/8568/</v>
      </c>
    </row>
    <row r="518" hidden="1" outlineLevel="1">
      <c r="A518" s="76" t="s">
        <v>1195</v>
      </c>
      <c r="B518" s="77">
        <v>43.0</v>
      </c>
      <c r="C518" s="77">
        <v>3.0</v>
      </c>
      <c r="D518" s="64">
        <v>52.116405</v>
      </c>
      <c r="E518" s="64">
        <v>5.381179</v>
      </c>
      <c r="F518" s="78" t="s">
        <v>1191</v>
      </c>
      <c r="G518" s="78" t="s">
        <v>1192</v>
      </c>
      <c r="H518" s="66" t="str">
        <f>IF(X518=" ",X518,'Flamingo @ DenTreek'!H516)</f>
        <v>felixbongers</v>
      </c>
      <c r="I518" s="79" t="str">
        <f>'Flamingo @ DenTreek'!I516</f>
        <v>https://www.munzee.com/m/felixbongers/8838/</v>
      </c>
      <c r="J518" s="80"/>
      <c r="K518" s="78" t="b">
        <v>1</v>
      </c>
      <c r="L518" s="66" t="str">
        <f t="shared" si="2"/>
        <v/>
      </c>
      <c r="M518" s="81" t="str">
        <f>IFERROR(__xludf.DUMMYFUNCTION("IF(W518=1,IFERROR(IMPORTXML(I518, ""//p[@class='status-date']""), ""Not deployed""),"""")"),"")</f>
        <v/>
      </c>
      <c r="N518" s="82"/>
      <c r="O518" s="66"/>
      <c r="P518" s="66"/>
      <c r="Q518" s="66"/>
      <c r="R518" s="83" t="str">
        <f t="shared" si="25"/>
        <v/>
      </c>
      <c r="S518" s="84" t="str">
        <f t="shared" si="4"/>
        <v/>
      </c>
      <c r="T518" s="85"/>
      <c r="U518" s="82">
        <f t="shared" si="5"/>
        <v>0</v>
      </c>
      <c r="V518" s="66">
        <f t="shared" si="6"/>
        <v>0</v>
      </c>
      <c r="W518" s="81">
        <f t="shared" si="7"/>
        <v>0</v>
      </c>
      <c r="X518" s="82" t="str">
        <f t="shared" si="45"/>
        <v>felixbongers</v>
      </c>
      <c r="Y518" s="86" t="str">
        <f t="shared" si="46"/>
        <v>https://www.munzee.com/m/felixbongers/8838/</v>
      </c>
    </row>
    <row r="519" hidden="1" outlineLevel="1">
      <c r="A519" s="76" t="s">
        <v>1196</v>
      </c>
      <c r="B519" s="77">
        <v>43.0</v>
      </c>
      <c r="C519" s="77">
        <v>4.0</v>
      </c>
      <c r="D519" s="64">
        <v>52.116405</v>
      </c>
      <c r="E519" s="64">
        <v>5.381413</v>
      </c>
      <c r="F519" s="78" t="s">
        <v>1191</v>
      </c>
      <c r="G519" s="78" t="s">
        <v>1192</v>
      </c>
      <c r="H519" s="78" t="str">
        <f>IF(X519=" ",X519,'Flamingo @ DenTreek'!H517)</f>
        <v>feikjen</v>
      </c>
      <c r="I519" s="79" t="str">
        <f>'Flamingo @ DenTreek'!I517</f>
        <v>https://www.munzee.com/m/feikjen/8951</v>
      </c>
      <c r="J519" s="88"/>
      <c r="K519" s="78" t="b">
        <v>1</v>
      </c>
      <c r="L519" s="66" t="str">
        <f t="shared" si="2"/>
        <v/>
      </c>
      <c r="M519" s="81" t="str">
        <f>IFERROR(__xludf.DUMMYFUNCTION("IF(W519=1,IFERROR(IMPORTXML(I519, ""//p[@class='status-date']""), ""Not deployed""),"""")"),"")</f>
        <v/>
      </c>
      <c r="N519" s="82"/>
      <c r="O519" s="66"/>
      <c r="P519" s="66"/>
      <c r="Q519" s="66"/>
      <c r="R519" s="83" t="str">
        <f t="shared" si="25"/>
        <v/>
      </c>
      <c r="S519" s="84" t="str">
        <f t="shared" si="4"/>
        <v/>
      </c>
      <c r="T519" s="85"/>
      <c r="U519" s="82">
        <f t="shared" si="5"/>
        <v>0</v>
      </c>
      <c r="V519" s="66">
        <f t="shared" si="6"/>
        <v>0</v>
      </c>
      <c r="W519" s="81">
        <f t="shared" si="7"/>
        <v>0</v>
      </c>
      <c r="X519" s="82" t="str">
        <f t="shared" si="45"/>
        <v>feikjen</v>
      </c>
      <c r="Y519" s="86" t="str">
        <f t="shared" si="46"/>
        <v>https://www.munzee.com/m/feikjen/8951/</v>
      </c>
    </row>
    <row r="520" hidden="1" outlineLevel="1">
      <c r="A520" s="76" t="s">
        <v>1197</v>
      </c>
      <c r="B520" s="77">
        <v>43.0</v>
      </c>
      <c r="C520" s="77">
        <v>5.0</v>
      </c>
      <c r="D520" s="64">
        <v>52.116405</v>
      </c>
      <c r="E520" s="64">
        <v>5.381647</v>
      </c>
      <c r="F520" s="78" t="s">
        <v>1191</v>
      </c>
      <c r="G520" s="78" t="s">
        <v>1192</v>
      </c>
      <c r="H520" s="78" t="s">
        <v>1198</v>
      </c>
      <c r="I520" s="107" t="s">
        <v>1199</v>
      </c>
      <c r="J520" s="80"/>
      <c r="K520" s="78" t="b">
        <v>1</v>
      </c>
      <c r="L520" s="66" t="str">
        <f t="shared" si="2"/>
        <v/>
      </c>
      <c r="M520" s="81" t="str">
        <f>IFERROR(__xludf.DUMMYFUNCTION("IF(W520=1,IFERROR(IMPORTXML(I520, ""//p[@class='status-date']""), ""Not deployed""),"""")"),"")</f>
        <v/>
      </c>
      <c r="N520" s="82"/>
      <c r="O520" s="66"/>
      <c r="P520" s="66"/>
      <c r="Q520" s="66"/>
      <c r="R520" s="83" t="str">
        <f t="shared" si="25"/>
        <v/>
      </c>
      <c r="S520" s="84" t="str">
        <f t="shared" si="4"/>
        <v/>
      </c>
      <c r="T520" s="85"/>
      <c r="U520" s="82">
        <f t="shared" si="5"/>
        <v>0</v>
      </c>
      <c r="V520" s="66">
        <f t="shared" si="6"/>
        <v>0</v>
      </c>
      <c r="W520" s="81">
        <f t="shared" si="7"/>
        <v>0</v>
      </c>
      <c r="X520" s="82" t="str">
        <f t="shared" si="45"/>
        <v>Theceoiksjes</v>
      </c>
      <c r="Y520" s="86" t="str">
        <f t="shared" si="46"/>
        <v>https://www.munzee.com/m/Theceoiksjes/7834/</v>
      </c>
    </row>
    <row r="521" hidden="1" outlineLevel="1">
      <c r="A521" s="76" t="s">
        <v>1200</v>
      </c>
      <c r="B521" s="77">
        <v>43.0</v>
      </c>
      <c r="C521" s="77">
        <v>6.0</v>
      </c>
      <c r="D521" s="64">
        <v>52.116405</v>
      </c>
      <c r="E521" s="64">
        <v>5.381881</v>
      </c>
      <c r="F521" s="78" t="s">
        <v>1191</v>
      </c>
      <c r="G521" s="78" t="s">
        <v>1192</v>
      </c>
      <c r="H521" s="106" t="str">
        <f>IF(X521=" ",X521,'Flamingo @ DenTreek'!H519)</f>
        <v>Appeltje32</v>
      </c>
      <c r="I521" s="79" t="str">
        <f>'Flamingo @ DenTreek'!I519</f>
        <v>https://www.munzee.com/m/appeltje32/7807/</v>
      </c>
      <c r="J521" s="80"/>
      <c r="K521" s="78" t="b">
        <v>1</v>
      </c>
      <c r="L521" s="66" t="str">
        <f t="shared" si="2"/>
        <v/>
      </c>
      <c r="M521" s="81" t="str">
        <f>IFERROR(__xludf.DUMMYFUNCTION("IF(W521=1,IFERROR(IMPORTXML(I521, ""//p[@class='status-date']""), ""Not deployed""),"""")"),"")</f>
        <v/>
      </c>
      <c r="N521" s="82"/>
      <c r="O521" s="66"/>
      <c r="P521" s="66"/>
      <c r="Q521" s="66"/>
      <c r="R521" s="83" t="str">
        <f t="shared" si="25"/>
        <v/>
      </c>
      <c r="S521" s="84" t="str">
        <f t="shared" si="4"/>
        <v/>
      </c>
      <c r="T521" s="85"/>
      <c r="U521" s="82">
        <f t="shared" si="5"/>
        <v>0</v>
      </c>
      <c r="V521" s="66">
        <f t="shared" si="6"/>
        <v>0</v>
      </c>
      <c r="W521" s="81">
        <f t="shared" si="7"/>
        <v>0</v>
      </c>
      <c r="X521" s="82" t="str">
        <f t="shared" si="45"/>
        <v>appeltje32</v>
      </c>
      <c r="Y521" s="86" t="str">
        <f t="shared" si="46"/>
        <v>https://www.munzee.com/m/appeltje32/7807/</v>
      </c>
    </row>
    <row r="522" hidden="1" outlineLevel="1">
      <c r="A522" s="76" t="s">
        <v>1201</v>
      </c>
      <c r="B522" s="77">
        <v>43.0</v>
      </c>
      <c r="C522" s="77">
        <v>7.0</v>
      </c>
      <c r="D522" s="64">
        <v>52.116405</v>
      </c>
      <c r="E522" s="64">
        <v>5.382115</v>
      </c>
      <c r="F522" s="78" t="s">
        <v>1191</v>
      </c>
      <c r="G522" s="78" t="s">
        <v>1192</v>
      </c>
      <c r="H522" s="78" t="str">
        <f>IF(X522=" ",X522,'Flamingo @ DenTreek'!H520)</f>
        <v>Wawie</v>
      </c>
      <c r="I522" s="79" t="s">
        <v>1202</v>
      </c>
      <c r="J522" s="88"/>
      <c r="K522" s="78" t="b">
        <v>1</v>
      </c>
      <c r="L522" s="66" t="str">
        <f t="shared" si="2"/>
        <v/>
      </c>
      <c r="M522" s="81" t="str">
        <f>IFERROR(__xludf.DUMMYFUNCTION("IF(W522=1,IFERROR(IMPORTXML(I522, ""//p[@class='status-date']""), ""Not deployed""),"""")"),"")</f>
        <v/>
      </c>
      <c r="N522" s="82"/>
      <c r="O522" s="66"/>
      <c r="P522" s="66"/>
      <c r="Q522" s="66"/>
      <c r="R522" s="83" t="str">
        <f t="shared" si="25"/>
        <v/>
      </c>
      <c r="S522" s="84" t="str">
        <f t="shared" si="4"/>
        <v/>
      </c>
      <c r="T522" s="85"/>
      <c r="U522" s="82">
        <f t="shared" si="5"/>
        <v>0</v>
      </c>
      <c r="V522" s="66">
        <f t="shared" si="6"/>
        <v>0</v>
      </c>
      <c r="W522" s="81">
        <f t="shared" si="7"/>
        <v>0</v>
      </c>
      <c r="X522" s="82" t="str">
        <f t="shared" si="45"/>
        <v>Wawie</v>
      </c>
      <c r="Y522" s="86" t="str">
        <f t="shared" si="46"/>
        <v>https://www.munzee.com/m/Wawie/2278/</v>
      </c>
    </row>
    <row r="523" hidden="1" outlineLevel="1">
      <c r="A523" s="76" t="s">
        <v>1203</v>
      </c>
      <c r="B523" s="77">
        <v>43.0</v>
      </c>
      <c r="C523" s="77">
        <v>8.0</v>
      </c>
      <c r="D523" s="64">
        <v>52.116405</v>
      </c>
      <c r="E523" s="64">
        <v>5.38235</v>
      </c>
      <c r="F523" s="78" t="s">
        <v>1191</v>
      </c>
      <c r="G523" s="78" t="s">
        <v>1192</v>
      </c>
      <c r="H523" s="78" t="str">
        <f>IF(X523=" ",X523,'Flamingo @ DenTreek'!H521)</f>
        <v>Anetzet</v>
      </c>
      <c r="I523" s="79" t="str">
        <f>'Flamingo @ DenTreek'!I521</f>
        <v>https://www.munzee.com/m/Anetzet/7227/</v>
      </c>
      <c r="J523" s="80"/>
      <c r="K523" s="78" t="b">
        <v>1</v>
      </c>
      <c r="L523" s="66" t="str">
        <f t="shared" si="2"/>
        <v/>
      </c>
      <c r="M523" s="81" t="str">
        <f>IFERROR(__xludf.DUMMYFUNCTION("IF(W523=1,IFERROR(IMPORTXML(I523, ""//p[@class='status-date']""), ""Not deployed""),"""")"),"")</f>
        <v/>
      </c>
      <c r="N523" s="82"/>
      <c r="O523" s="66"/>
      <c r="P523" s="66"/>
      <c r="Q523" s="66"/>
      <c r="R523" s="83" t="str">
        <f t="shared" si="25"/>
        <v/>
      </c>
      <c r="S523" s="84" t="str">
        <f t="shared" si="4"/>
        <v/>
      </c>
      <c r="T523" s="85"/>
      <c r="U523" s="82">
        <f t="shared" si="5"/>
        <v>0</v>
      </c>
      <c r="V523" s="66">
        <f t="shared" si="6"/>
        <v>0</v>
      </c>
      <c r="W523" s="81">
        <f t="shared" si="7"/>
        <v>0</v>
      </c>
      <c r="X523" s="82" t="str">
        <f t="shared" si="45"/>
        <v>Anetzet</v>
      </c>
      <c r="Y523" s="86" t="str">
        <f t="shared" si="46"/>
        <v>https://www.munzee.com/m/Anetzet/7227/</v>
      </c>
    </row>
    <row r="524" hidden="1" outlineLevel="1">
      <c r="A524" s="76" t="s">
        <v>1204</v>
      </c>
      <c r="B524" s="77">
        <v>43.0</v>
      </c>
      <c r="C524" s="77">
        <v>9.0</v>
      </c>
      <c r="D524" s="64">
        <v>52.116405</v>
      </c>
      <c r="E524" s="64">
        <v>5.382584</v>
      </c>
      <c r="F524" s="78" t="s">
        <v>1191</v>
      </c>
      <c r="G524" s="78" t="s">
        <v>1192</v>
      </c>
      <c r="H524" s="78" t="str">
        <f>IF(X524=" ",X524,'Flamingo @ DenTreek'!H522)</f>
        <v>Trappertje</v>
      </c>
      <c r="I524" s="79" t="str">
        <f>'Flamingo @ DenTreek'!I522</f>
        <v>https://www.munzee.com/m/Trappertje/5198/</v>
      </c>
      <c r="J524" s="80"/>
      <c r="K524" s="78" t="b">
        <v>1</v>
      </c>
      <c r="L524" s="66" t="str">
        <f t="shared" si="2"/>
        <v/>
      </c>
      <c r="M524" s="81" t="str">
        <f>IFERROR(__xludf.DUMMYFUNCTION("IF(W524=1,IFERROR(IMPORTXML(I524, ""//p[@class='status-date']""), ""Not deployed""),"""")"),"")</f>
        <v/>
      </c>
      <c r="N524" s="82"/>
      <c r="O524" s="66"/>
      <c r="P524" s="66"/>
      <c r="Q524" s="66"/>
      <c r="R524" s="83" t="str">
        <f t="shared" si="25"/>
        <v/>
      </c>
      <c r="S524" s="84" t="str">
        <f t="shared" si="4"/>
        <v/>
      </c>
      <c r="T524" s="85"/>
      <c r="U524" s="82">
        <f t="shared" si="5"/>
        <v>0</v>
      </c>
      <c r="V524" s="66">
        <f t="shared" si="6"/>
        <v>0</v>
      </c>
      <c r="W524" s="81">
        <f t="shared" si="7"/>
        <v>0</v>
      </c>
      <c r="X524" s="82" t="str">
        <f t="shared" si="45"/>
        <v>Trappertje</v>
      </c>
      <c r="Y524" s="86" t="str">
        <f t="shared" si="46"/>
        <v>https://www.munzee.com/m/Trappertje/5198/</v>
      </c>
    </row>
    <row r="525" hidden="1" outlineLevel="1">
      <c r="A525" s="76" t="s">
        <v>1205</v>
      </c>
      <c r="B525" s="77">
        <v>43.0</v>
      </c>
      <c r="C525" s="77">
        <v>10.0</v>
      </c>
      <c r="D525" s="64">
        <v>52.116405</v>
      </c>
      <c r="E525" s="64">
        <v>5.382818</v>
      </c>
      <c r="F525" s="78" t="s">
        <v>1191</v>
      </c>
      <c r="G525" s="78" t="s">
        <v>1192</v>
      </c>
      <c r="H525" s="78" t="str">
        <f>IF(X525=" ",X525,'Flamingo @ DenTreek'!H523)</f>
        <v>Wawie</v>
      </c>
      <c r="I525" s="102" t="s">
        <v>1206</v>
      </c>
      <c r="J525" s="88"/>
      <c r="K525" s="78" t="b">
        <v>1</v>
      </c>
      <c r="L525" s="66" t="str">
        <f t="shared" si="2"/>
        <v/>
      </c>
      <c r="M525" s="81" t="str">
        <f>IFERROR(__xludf.DUMMYFUNCTION("IF(W525=1,IFERROR(IMPORTXML(I525, ""//p[@class='status-date']""), ""Not deployed""),"""")"),"")</f>
        <v/>
      </c>
      <c r="N525" s="82"/>
      <c r="O525" s="66"/>
      <c r="P525" s="66"/>
      <c r="Q525" s="66"/>
      <c r="R525" s="83" t="str">
        <f t="shared" si="25"/>
        <v/>
      </c>
      <c r="S525" s="84" t="str">
        <f t="shared" si="4"/>
        <v/>
      </c>
      <c r="T525" s="85"/>
      <c r="U525" s="82">
        <f t="shared" si="5"/>
        <v>0</v>
      </c>
      <c r="V525" s="66">
        <f t="shared" si="6"/>
        <v>0</v>
      </c>
      <c r="W525" s="81">
        <f t="shared" si="7"/>
        <v>0</v>
      </c>
      <c r="X525" s="82" t="str">
        <f t="shared" si="45"/>
        <v>Wawie</v>
      </c>
      <c r="Y525" s="86" t="str">
        <f t="shared" si="46"/>
        <v>https://www.munzee.com/m/Wawie/2273/</v>
      </c>
    </row>
    <row r="526" hidden="1" outlineLevel="1">
      <c r="A526" s="76" t="s">
        <v>1207</v>
      </c>
      <c r="B526" s="77">
        <v>43.0</v>
      </c>
      <c r="C526" s="77">
        <v>11.0</v>
      </c>
      <c r="D526" s="64">
        <v>52.116405</v>
      </c>
      <c r="E526" s="64">
        <v>5.383052</v>
      </c>
      <c r="F526" s="78" t="s">
        <v>1191</v>
      </c>
      <c r="G526" s="78" t="s">
        <v>1192</v>
      </c>
      <c r="H526" s="78" t="str">
        <f>IF(X526=" ",X526,'Flamingo @ DenTreek'!H524)</f>
        <v>Appeltje32</v>
      </c>
      <c r="I526" s="79" t="str">
        <f>'Flamingo @ DenTreek'!I524</f>
        <v>https://www.munzee.com/m/appeltje32/7808/</v>
      </c>
      <c r="J526" s="80"/>
      <c r="K526" s="78" t="b">
        <v>1</v>
      </c>
      <c r="L526" s="66" t="str">
        <f t="shared" si="2"/>
        <v/>
      </c>
      <c r="M526" s="81" t="str">
        <f>IFERROR(__xludf.DUMMYFUNCTION("IF(W526=1,IFERROR(IMPORTXML(I526, ""//p[@class='status-date']""), ""Not deployed""),"""")"),"")</f>
        <v/>
      </c>
      <c r="N526" s="82"/>
      <c r="O526" s="66"/>
      <c r="P526" s="66"/>
      <c r="Q526" s="66"/>
      <c r="R526" s="83" t="str">
        <f t="shared" si="25"/>
        <v/>
      </c>
      <c r="S526" s="84" t="str">
        <f t="shared" si="4"/>
        <v/>
      </c>
      <c r="T526" s="85"/>
      <c r="U526" s="82">
        <f t="shared" si="5"/>
        <v>0</v>
      </c>
      <c r="V526" s="66">
        <f t="shared" si="6"/>
        <v>0</v>
      </c>
      <c r="W526" s="81">
        <f t="shared" si="7"/>
        <v>0</v>
      </c>
      <c r="X526" s="82" t="str">
        <f t="shared" si="45"/>
        <v>appeltje32</v>
      </c>
      <c r="Y526" s="86" t="str">
        <f t="shared" si="46"/>
        <v>https://www.munzee.com/m/appeltje32/7808/</v>
      </c>
    </row>
    <row r="527" hidden="1" outlineLevel="1">
      <c r="A527" s="76" t="s">
        <v>1208</v>
      </c>
      <c r="B527" s="77">
        <v>43.0</v>
      </c>
      <c r="C527" s="77">
        <v>13.0</v>
      </c>
      <c r="D527" s="64">
        <v>52.116405</v>
      </c>
      <c r="E527" s="64">
        <v>5.38352</v>
      </c>
      <c r="F527" s="78" t="s">
        <v>132</v>
      </c>
      <c r="G527" s="78" t="s">
        <v>133</v>
      </c>
      <c r="H527" s="78" t="str">
        <f>IF(X527=" ",X527,'Flamingo @ DenTreek'!H525)</f>
        <v>Wawie</v>
      </c>
      <c r="I527" s="79" t="s">
        <v>1209</v>
      </c>
      <c r="J527" s="88"/>
      <c r="K527" s="78" t="b">
        <v>1</v>
      </c>
      <c r="L527" s="66" t="str">
        <f t="shared" si="2"/>
        <v/>
      </c>
      <c r="M527" s="81" t="str">
        <f>IFERROR(__xludf.DUMMYFUNCTION("IF(W527=1,IFERROR(IMPORTXML(I527, ""//p[@class='status-date']""), ""Not deployed""),"""")"),"")</f>
        <v/>
      </c>
      <c r="N527" s="82"/>
      <c r="O527" s="66"/>
      <c r="P527" s="66"/>
      <c r="Q527" s="66"/>
      <c r="R527" s="83" t="str">
        <f t="shared" si="25"/>
        <v/>
      </c>
      <c r="S527" s="84" t="str">
        <f t="shared" si="4"/>
        <v/>
      </c>
      <c r="T527" s="85"/>
      <c r="U527" s="82">
        <f t="shared" si="5"/>
        <v>0</v>
      </c>
      <c r="V527" s="66">
        <f t="shared" si="6"/>
        <v>0</v>
      </c>
      <c r="W527" s="81">
        <f t="shared" si="7"/>
        <v>0</v>
      </c>
      <c r="X527" s="82" t="str">
        <f t="shared" si="45"/>
        <v>Wawie</v>
      </c>
      <c r="Y527" s="86" t="str">
        <f t="shared" si="46"/>
        <v>https://www.munzee.com/m/Wawie/1303/</v>
      </c>
    </row>
    <row r="528" hidden="1" outlineLevel="1">
      <c r="A528" s="76" t="s">
        <v>1210</v>
      </c>
      <c r="B528" s="77">
        <v>43.0</v>
      </c>
      <c r="C528" s="77">
        <v>20.0</v>
      </c>
      <c r="D528" s="64">
        <v>52.116405</v>
      </c>
      <c r="E528" s="64">
        <v>5.385158</v>
      </c>
      <c r="F528" s="78" t="s">
        <v>247</v>
      </c>
      <c r="G528" s="78" t="s">
        <v>248</v>
      </c>
      <c r="H528" s="78" t="str">
        <f>IF(X528=" ",X528,'Flamingo @ DenTreek'!H526)</f>
        <v>Wawie</v>
      </c>
      <c r="I528" s="79" t="s">
        <v>1211</v>
      </c>
      <c r="J528" s="88"/>
      <c r="K528" s="78" t="b">
        <v>1</v>
      </c>
      <c r="L528" s="66" t="str">
        <f t="shared" si="2"/>
        <v/>
      </c>
      <c r="M528" s="81" t="str">
        <f>IFERROR(__xludf.DUMMYFUNCTION("IF(W528=1,IFERROR(IMPORTXML(I528, ""//p[@class='status-date']""), ""Not deployed""),"""")"),"")</f>
        <v/>
      </c>
      <c r="N528" s="82"/>
      <c r="O528" s="66"/>
      <c r="P528" s="66"/>
      <c r="Q528" s="66"/>
      <c r="R528" s="83" t="str">
        <f t="shared" si="25"/>
        <v/>
      </c>
      <c r="S528" s="84" t="str">
        <f t="shared" si="4"/>
        <v/>
      </c>
      <c r="T528" s="85"/>
      <c r="U528" s="82">
        <f t="shared" si="5"/>
        <v>0</v>
      </c>
      <c r="V528" s="66">
        <f t="shared" si="6"/>
        <v>0</v>
      </c>
      <c r="W528" s="81">
        <f t="shared" si="7"/>
        <v>0</v>
      </c>
      <c r="X528" s="82" t="str">
        <f t="shared" si="45"/>
        <v>Wawie</v>
      </c>
      <c r="Y528" s="86" t="str">
        <f t="shared" si="46"/>
        <v>https://www.munzee.com/m/Wawie/1302/</v>
      </c>
    </row>
    <row r="529" hidden="1" outlineLevel="1">
      <c r="A529" s="76" t="s">
        <v>1212</v>
      </c>
      <c r="B529" s="77">
        <v>43.0</v>
      </c>
      <c r="C529" s="77">
        <v>23.0</v>
      </c>
      <c r="D529" s="64">
        <v>52.116405</v>
      </c>
      <c r="E529" s="64">
        <v>5.385861</v>
      </c>
      <c r="F529" s="78" t="s">
        <v>1191</v>
      </c>
      <c r="G529" s="78" t="s">
        <v>1192</v>
      </c>
      <c r="H529" s="78" t="str">
        <f>IF(X529=" ",X529,'Flamingo @ DenTreek'!H527)</f>
        <v>Wawie</v>
      </c>
      <c r="I529" s="79" t="s">
        <v>1213</v>
      </c>
      <c r="J529" s="88"/>
      <c r="K529" s="78" t="b">
        <v>1</v>
      </c>
      <c r="L529" s="66" t="str">
        <f t="shared" si="2"/>
        <v/>
      </c>
      <c r="M529" s="81" t="str">
        <f>IFERROR(__xludf.DUMMYFUNCTION("IF(W529=1,IFERROR(IMPORTXML(I529, ""//p[@class='status-date']""), ""Not deployed""),"""")"),"")</f>
        <v/>
      </c>
      <c r="N529" s="82"/>
      <c r="O529" s="66"/>
      <c r="P529" s="66"/>
      <c r="Q529" s="66"/>
      <c r="R529" s="83" t="str">
        <f t="shared" si="25"/>
        <v/>
      </c>
      <c r="S529" s="84" t="str">
        <f t="shared" si="4"/>
        <v/>
      </c>
      <c r="T529" s="85"/>
      <c r="U529" s="82">
        <f t="shared" si="5"/>
        <v>0</v>
      </c>
      <c r="V529" s="66">
        <f t="shared" si="6"/>
        <v>0</v>
      </c>
      <c r="W529" s="81">
        <f t="shared" si="7"/>
        <v>0</v>
      </c>
      <c r="X529" s="82" t="str">
        <f t="shared" si="45"/>
        <v>Wawie</v>
      </c>
      <c r="Y529" s="86" t="str">
        <f t="shared" si="46"/>
        <v>https://www.munzee.com/m/Wawie/2272/</v>
      </c>
    </row>
    <row r="530" hidden="1" outlineLevel="1">
      <c r="A530" s="76" t="s">
        <v>1214</v>
      </c>
      <c r="B530" s="77">
        <v>43.0</v>
      </c>
      <c r="C530" s="77">
        <v>24.0</v>
      </c>
      <c r="D530" s="64">
        <v>52.116405</v>
      </c>
      <c r="E530" s="64">
        <v>5.386095</v>
      </c>
      <c r="F530" s="78" t="s">
        <v>1191</v>
      </c>
      <c r="G530" s="78" t="s">
        <v>1192</v>
      </c>
      <c r="H530" s="106" t="str">
        <f>IF(X530=" ",X530,'Flamingo @ DenTreek'!H528)</f>
        <v>Appeltje32</v>
      </c>
      <c r="I530" s="79" t="str">
        <f>'Flamingo @ DenTreek'!I528</f>
        <v>https://www.munzee.com/m/appeltje32/7809/</v>
      </c>
      <c r="J530" s="80"/>
      <c r="K530" s="78" t="b">
        <v>1</v>
      </c>
      <c r="L530" s="66" t="str">
        <f t="shared" si="2"/>
        <v/>
      </c>
      <c r="M530" s="81" t="str">
        <f>IFERROR(__xludf.DUMMYFUNCTION("IF(W530=1,IFERROR(IMPORTXML(I530, ""//p[@class='status-date']""), ""Not deployed""),"""")"),"")</f>
        <v/>
      </c>
      <c r="N530" s="82"/>
      <c r="O530" s="66"/>
      <c r="P530" s="66"/>
      <c r="Q530" s="66"/>
      <c r="R530" s="83" t="str">
        <f t="shared" si="25"/>
        <v/>
      </c>
      <c r="S530" s="84" t="str">
        <f t="shared" si="4"/>
        <v/>
      </c>
      <c r="T530" s="85"/>
      <c r="U530" s="82">
        <f t="shared" si="5"/>
        <v>0</v>
      </c>
      <c r="V530" s="66">
        <f t="shared" si="6"/>
        <v>0</v>
      </c>
      <c r="W530" s="81">
        <f t="shared" si="7"/>
        <v>0</v>
      </c>
      <c r="X530" s="82" t="str">
        <f t="shared" si="45"/>
        <v>appeltje32</v>
      </c>
      <c r="Y530" s="86" t="str">
        <f t="shared" si="46"/>
        <v>https://www.munzee.com/m/appeltje32/7809/</v>
      </c>
    </row>
    <row r="531" hidden="1" outlineLevel="1">
      <c r="A531" s="76" t="s">
        <v>1215</v>
      </c>
      <c r="B531" s="77">
        <v>43.0</v>
      </c>
      <c r="C531" s="77">
        <v>25.0</v>
      </c>
      <c r="D531" s="64">
        <v>52.116405</v>
      </c>
      <c r="E531" s="64">
        <v>5.386329</v>
      </c>
      <c r="F531" s="78" t="s">
        <v>1191</v>
      </c>
      <c r="G531" s="78" t="s">
        <v>1192</v>
      </c>
      <c r="H531" s="78" t="s">
        <v>1216</v>
      </c>
      <c r="I531" s="79" t="s">
        <v>1217</v>
      </c>
      <c r="J531" s="80"/>
      <c r="K531" s="78" t="b">
        <v>1</v>
      </c>
      <c r="L531" s="66" t="str">
        <f t="shared" si="2"/>
        <v/>
      </c>
      <c r="M531" s="81" t="str">
        <f>IFERROR(__xludf.DUMMYFUNCTION("IF(W531=1,IFERROR(IMPORTXML(I531, ""//p[@class='status-date']""), ""Not deployed""),"""")"),"")</f>
        <v/>
      </c>
      <c r="N531" s="82"/>
      <c r="O531" s="66"/>
      <c r="P531" s="66"/>
      <c r="Q531" s="66"/>
      <c r="R531" s="83" t="str">
        <f t="shared" si="25"/>
        <v/>
      </c>
      <c r="S531" s="84" t="str">
        <f t="shared" si="4"/>
        <v/>
      </c>
      <c r="T531" s="85"/>
      <c r="U531" s="82">
        <f t="shared" si="5"/>
        <v>0</v>
      </c>
      <c r="V531" s="66">
        <f t="shared" si="6"/>
        <v>0</v>
      </c>
      <c r="W531" s="81">
        <f t="shared" si="7"/>
        <v>0</v>
      </c>
      <c r="X531" s="82" t="str">
        <f t="shared" si="45"/>
        <v>Pronkrug</v>
      </c>
      <c r="Y531" s="86" t="str">
        <f t="shared" si="46"/>
        <v>https://www.munzee.com/m/Pronkrug/2884/</v>
      </c>
    </row>
    <row r="532" hidden="1" outlineLevel="1">
      <c r="A532" s="76" t="s">
        <v>1218</v>
      </c>
      <c r="B532" s="77">
        <v>43.0</v>
      </c>
      <c r="C532" s="77">
        <v>26.0</v>
      </c>
      <c r="D532" s="64">
        <v>52.116405</v>
      </c>
      <c r="E532" s="64">
        <v>5.386563</v>
      </c>
      <c r="F532" s="78" t="s">
        <v>1191</v>
      </c>
      <c r="G532" s="78" t="s">
        <v>1192</v>
      </c>
      <c r="H532" s="78" t="str">
        <f>IF(X532=" ",X532,'Flamingo @ DenTreek'!H530)</f>
        <v>Wawie</v>
      </c>
      <c r="I532" s="79" t="s">
        <v>1219</v>
      </c>
      <c r="J532" s="88"/>
      <c r="K532" s="78" t="b">
        <v>1</v>
      </c>
      <c r="L532" s="66" t="str">
        <f t="shared" si="2"/>
        <v/>
      </c>
      <c r="M532" s="81" t="str">
        <f>IFERROR(__xludf.DUMMYFUNCTION("IF(W532=1,IFERROR(IMPORTXML(I532, ""//p[@class='status-date']""), ""Not deployed""),"""")"),"")</f>
        <v/>
      </c>
      <c r="N532" s="82"/>
      <c r="O532" s="66"/>
      <c r="P532" s="66"/>
      <c r="Q532" s="66"/>
      <c r="R532" s="83" t="str">
        <f t="shared" si="25"/>
        <v/>
      </c>
      <c r="S532" s="84" t="str">
        <f t="shared" si="4"/>
        <v/>
      </c>
      <c r="T532" s="85"/>
      <c r="U532" s="82">
        <f t="shared" si="5"/>
        <v>0</v>
      </c>
      <c r="V532" s="66">
        <f t="shared" si="6"/>
        <v>0</v>
      </c>
      <c r="W532" s="81">
        <f t="shared" si="7"/>
        <v>0</v>
      </c>
      <c r="X532" s="82" t="str">
        <f t="shared" si="45"/>
        <v>Wawie</v>
      </c>
      <c r="Y532" s="86" t="str">
        <f t="shared" si="46"/>
        <v>https://www.munzee.com/m/Wawie/2270/</v>
      </c>
    </row>
    <row r="533" hidden="1" outlineLevel="1">
      <c r="A533" s="76" t="s">
        <v>1220</v>
      </c>
      <c r="B533" s="77">
        <v>43.0</v>
      </c>
      <c r="C533" s="77">
        <v>27.0</v>
      </c>
      <c r="D533" s="64">
        <v>52.116405</v>
      </c>
      <c r="E533" s="64">
        <v>5.386797</v>
      </c>
      <c r="F533" s="78" t="s">
        <v>1191</v>
      </c>
      <c r="G533" s="78" t="s">
        <v>1192</v>
      </c>
      <c r="H533" s="106" t="str">
        <f>IF(X533=" ",X533,'Flamingo @ DenTreek'!H531)</f>
        <v>Appeltje32</v>
      </c>
      <c r="I533" s="79" t="str">
        <f>'Flamingo @ DenTreek'!I531</f>
        <v>https://www.munzee.com/m/appeltje32/7810/</v>
      </c>
      <c r="J533" s="80"/>
      <c r="K533" s="78" t="b">
        <v>1</v>
      </c>
      <c r="L533" s="66" t="str">
        <f t="shared" si="2"/>
        <v/>
      </c>
      <c r="M533" s="81" t="str">
        <f>IFERROR(__xludf.DUMMYFUNCTION("IF(W533=1,IFERROR(IMPORTXML(I533, ""//p[@class='status-date']""), ""Not deployed""),"""")"),"")</f>
        <v/>
      </c>
      <c r="N533" s="82"/>
      <c r="O533" s="66"/>
      <c r="P533" s="66"/>
      <c r="Q533" s="66"/>
      <c r="R533" s="83" t="str">
        <f t="shared" si="25"/>
        <v/>
      </c>
      <c r="S533" s="84" t="str">
        <f t="shared" si="4"/>
        <v/>
      </c>
      <c r="T533" s="85"/>
      <c r="U533" s="82">
        <f t="shared" si="5"/>
        <v>0</v>
      </c>
      <c r="V533" s="66">
        <f t="shared" si="6"/>
        <v>0</v>
      </c>
      <c r="W533" s="81">
        <f t="shared" si="7"/>
        <v>0</v>
      </c>
      <c r="X533" s="82" t="str">
        <f t="shared" si="45"/>
        <v>appeltje32</v>
      </c>
      <c r="Y533" s="86" t="str">
        <f t="shared" si="46"/>
        <v>https://www.munzee.com/m/appeltje32/7810/</v>
      </c>
    </row>
    <row r="534" hidden="1" outlineLevel="1">
      <c r="A534" s="76" t="s">
        <v>1221</v>
      </c>
      <c r="B534" s="77">
        <v>43.0</v>
      </c>
      <c r="C534" s="77">
        <v>28.0</v>
      </c>
      <c r="D534" s="64">
        <v>52.116405</v>
      </c>
      <c r="E534" s="64">
        <v>5.387031</v>
      </c>
      <c r="F534" s="78" t="s">
        <v>1191</v>
      </c>
      <c r="G534" s="78" t="s">
        <v>1192</v>
      </c>
      <c r="H534" s="78" t="s">
        <v>1222</v>
      </c>
      <c r="I534" s="79" t="s">
        <v>1223</v>
      </c>
      <c r="J534" s="80"/>
      <c r="K534" s="78" t="b">
        <v>1</v>
      </c>
      <c r="L534" s="66" t="str">
        <f t="shared" si="2"/>
        <v/>
      </c>
      <c r="M534" s="81" t="str">
        <f>IFERROR(__xludf.DUMMYFUNCTION("IF(W534=1,IFERROR(IMPORTXML(I534, ""//p[@class='status-date']""), ""Not deployed""),"""")"),"")</f>
        <v/>
      </c>
      <c r="N534" s="82"/>
      <c r="O534" s="66"/>
      <c r="P534" s="66"/>
      <c r="Q534" s="66"/>
      <c r="R534" s="83" t="str">
        <f t="shared" si="25"/>
        <v/>
      </c>
      <c r="S534" s="84" t="str">
        <f t="shared" si="4"/>
        <v/>
      </c>
      <c r="T534" s="85"/>
      <c r="U534" s="82">
        <f t="shared" si="5"/>
        <v>0</v>
      </c>
      <c r="V534" s="66">
        <f t="shared" si="6"/>
        <v>0</v>
      </c>
      <c r="W534" s="81">
        <f t="shared" si="7"/>
        <v>0</v>
      </c>
      <c r="X534" s="82" t="str">
        <f t="shared" si="45"/>
        <v>barefootguru</v>
      </c>
      <c r="Y534" s="86" t="str">
        <f t="shared" si="46"/>
        <v>https://www.munzee.com/m/barefootguru/16853/</v>
      </c>
    </row>
    <row r="535" hidden="1" outlineLevel="1">
      <c r="A535" s="76" t="s">
        <v>1224</v>
      </c>
      <c r="B535" s="77">
        <v>43.0</v>
      </c>
      <c r="C535" s="77">
        <v>29.0</v>
      </c>
      <c r="D535" s="64">
        <v>52.116405</v>
      </c>
      <c r="E535" s="64">
        <v>5.387265</v>
      </c>
      <c r="F535" s="78" t="s">
        <v>1191</v>
      </c>
      <c r="G535" s="78" t="s">
        <v>1192</v>
      </c>
      <c r="H535" s="78" t="str">
        <f>IF(X535=" ",X535,'Flamingo @ DenTreek'!H533)</f>
        <v>Wawie</v>
      </c>
      <c r="I535" s="79" t="s">
        <v>1225</v>
      </c>
      <c r="J535" s="88"/>
      <c r="K535" s="78" t="b">
        <v>1</v>
      </c>
      <c r="L535" s="66" t="str">
        <f t="shared" si="2"/>
        <v/>
      </c>
      <c r="M535" s="81" t="str">
        <f>IFERROR(__xludf.DUMMYFUNCTION("IF(W535=1,IFERROR(IMPORTXML(I535, ""//p[@class='status-date']""), ""Not deployed""),"""")"),"")</f>
        <v/>
      </c>
      <c r="N535" s="82"/>
      <c r="O535" s="66"/>
      <c r="P535" s="66"/>
      <c r="Q535" s="66"/>
      <c r="R535" s="83" t="str">
        <f t="shared" si="25"/>
        <v/>
      </c>
      <c r="S535" s="84" t="str">
        <f t="shared" si="4"/>
        <v/>
      </c>
      <c r="T535" s="85"/>
      <c r="U535" s="82">
        <f t="shared" si="5"/>
        <v>0</v>
      </c>
      <c r="V535" s="66">
        <f t="shared" si="6"/>
        <v>0</v>
      </c>
      <c r="W535" s="81">
        <f t="shared" si="7"/>
        <v>0</v>
      </c>
      <c r="X535" s="82" t="str">
        <f t="shared" si="45"/>
        <v>Wawie</v>
      </c>
      <c r="Y535" s="86" t="str">
        <f t="shared" si="46"/>
        <v>https://www.munzee.com/m/Wawie/2387/</v>
      </c>
    </row>
    <row r="536" hidden="1" outlineLevel="1">
      <c r="A536" s="76" t="s">
        <v>1226</v>
      </c>
      <c r="B536" s="77">
        <v>43.0</v>
      </c>
      <c r="C536" s="77">
        <v>30.0</v>
      </c>
      <c r="D536" s="64">
        <v>52.116405</v>
      </c>
      <c r="E536" s="64">
        <v>5.387499</v>
      </c>
      <c r="F536" s="78" t="s">
        <v>1191</v>
      </c>
      <c r="G536" s="78" t="s">
        <v>1192</v>
      </c>
      <c r="H536" s="66" t="str">
        <f>IF(X536=" ",X536,'Flamingo @ DenTreek'!H534)</f>
        <v>destolkjes4ever</v>
      </c>
      <c r="I536" s="79" t="s">
        <v>1227</v>
      </c>
      <c r="J536" s="80"/>
      <c r="K536" s="78" t="b">
        <v>1</v>
      </c>
      <c r="L536" s="66" t="str">
        <f t="shared" si="2"/>
        <v/>
      </c>
      <c r="M536" s="81" t="str">
        <f>IFERROR(__xludf.DUMMYFUNCTION("IF(W536=1,IFERROR(IMPORTXML(I536, ""//p[@class='status-date']""), ""Not deployed""),"""")"),"")</f>
        <v/>
      </c>
      <c r="N536" s="82"/>
      <c r="O536" s="66"/>
      <c r="P536" s="66"/>
      <c r="Q536" s="66"/>
      <c r="R536" s="83" t="str">
        <f t="shared" si="25"/>
        <v/>
      </c>
      <c r="S536" s="84" t="str">
        <f t="shared" si="4"/>
        <v/>
      </c>
      <c r="T536" s="85"/>
      <c r="U536" s="82">
        <f t="shared" si="5"/>
        <v>0</v>
      </c>
      <c r="V536" s="66">
        <f t="shared" si="6"/>
        <v>0</v>
      </c>
      <c r="W536" s="81">
        <f t="shared" si="7"/>
        <v>0</v>
      </c>
      <c r="X536" s="82" t="str">
        <f t="shared" si="45"/>
        <v>destolkjes4ever</v>
      </c>
      <c r="Y536" s="86" t="str">
        <f t="shared" si="46"/>
        <v>https://www.munzee.com/m/destolkjes4ever/8180/</v>
      </c>
    </row>
    <row r="537" hidden="1" outlineLevel="1">
      <c r="A537" s="76" t="s">
        <v>1228</v>
      </c>
      <c r="B537" s="77">
        <v>43.0</v>
      </c>
      <c r="C537" s="77">
        <v>31.0</v>
      </c>
      <c r="D537" s="64">
        <v>52.116405</v>
      </c>
      <c r="E537" s="64">
        <v>5.387733</v>
      </c>
      <c r="F537" s="78" t="s">
        <v>1191</v>
      </c>
      <c r="G537" s="78" t="s">
        <v>1192</v>
      </c>
      <c r="H537" s="66" t="str">
        <f>IF(X537=" ",X537,'Flamingo @ DenTreek'!H535)</f>
        <v>NikitaStolk</v>
      </c>
      <c r="I537" s="79" t="s">
        <v>1229</v>
      </c>
      <c r="J537" s="80"/>
      <c r="K537" s="78" t="b">
        <v>1</v>
      </c>
      <c r="L537" s="66" t="str">
        <f t="shared" si="2"/>
        <v/>
      </c>
      <c r="M537" s="81" t="str">
        <f>IFERROR(__xludf.DUMMYFUNCTION("IF(W537=1,IFERROR(IMPORTXML(I537, ""//p[@class='status-date']""), ""Not deployed""),"""")"),"")</f>
        <v/>
      </c>
      <c r="N537" s="82"/>
      <c r="O537" s="66"/>
      <c r="P537" s="66"/>
      <c r="Q537" s="66"/>
      <c r="R537" s="83" t="str">
        <f t="shared" si="25"/>
        <v/>
      </c>
      <c r="S537" s="84" t="str">
        <f t="shared" si="4"/>
        <v/>
      </c>
      <c r="T537" s="85"/>
      <c r="U537" s="82">
        <f t="shared" si="5"/>
        <v>0</v>
      </c>
      <c r="V537" s="66">
        <f t="shared" si="6"/>
        <v>0</v>
      </c>
      <c r="W537" s="81">
        <f t="shared" si="7"/>
        <v>0</v>
      </c>
      <c r="X537" s="82" t="str">
        <f t="shared" si="45"/>
        <v>NikitaStolk</v>
      </c>
      <c r="Y537" s="86" t="str">
        <f t="shared" si="46"/>
        <v>https://www.munzee.com/m/NikitaStolk/4787/</v>
      </c>
    </row>
    <row r="538" hidden="1" outlineLevel="1">
      <c r="A538" s="76" t="s">
        <v>1230</v>
      </c>
      <c r="B538" s="77">
        <v>43.0</v>
      </c>
      <c r="C538" s="77">
        <v>32.0</v>
      </c>
      <c r="D538" s="64">
        <v>52.116405</v>
      </c>
      <c r="E538" s="64">
        <v>5.387967</v>
      </c>
      <c r="F538" s="78" t="s">
        <v>1191</v>
      </c>
      <c r="G538" s="78" t="s">
        <v>1192</v>
      </c>
      <c r="H538" s="78" t="str">
        <f>IF(X538=" ",X538,'Flamingo @ DenTreek'!H536)</f>
        <v>Wawie</v>
      </c>
      <c r="I538" s="79" t="s">
        <v>1231</v>
      </c>
      <c r="J538" s="88"/>
      <c r="K538" s="78" t="b">
        <v>1</v>
      </c>
      <c r="L538" s="66" t="str">
        <f t="shared" si="2"/>
        <v/>
      </c>
      <c r="M538" s="81" t="str">
        <f>IFERROR(__xludf.DUMMYFUNCTION("IF(W538=1,IFERROR(IMPORTXML(I538, ""//p[@class='status-date']""), ""Not deployed""),"""")"),"")</f>
        <v/>
      </c>
      <c r="N538" s="82"/>
      <c r="O538" s="66"/>
      <c r="P538" s="66"/>
      <c r="Q538" s="66"/>
      <c r="R538" s="83" t="str">
        <f t="shared" si="25"/>
        <v/>
      </c>
      <c r="S538" s="84" t="str">
        <f t="shared" si="4"/>
        <v/>
      </c>
      <c r="T538" s="85"/>
      <c r="U538" s="82">
        <f t="shared" si="5"/>
        <v>0</v>
      </c>
      <c r="V538" s="66">
        <f t="shared" si="6"/>
        <v>0</v>
      </c>
      <c r="W538" s="81">
        <f t="shared" si="7"/>
        <v>0</v>
      </c>
      <c r="X538" s="82" t="str">
        <f t="shared" si="45"/>
        <v>Wawie</v>
      </c>
      <c r="Y538" s="86" t="str">
        <f t="shared" si="46"/>
        <v>https://www.munzee.com/m/Wawie/2386/</v>
      </c>
    </row>
    <row r="539" hidden="1" outlineLevel="1">
      <c r="A539" s="76" t="s">
        <v>1232</v>
      </c>
      <c r="B539" s="77">
        <v>43.0</v>
      </c>
      <c r="C539" s="77">
        <v>33.0</v>
      </c>
      <c r="D539" s="64">
        <v>52.116405</v>
      </c>
      <c r="E539" s="64">
        <v>5.388201</v>
      </c>
      <c r="F539" s="78" t="s">
        <v>1191</v>
      </c>
      <c r="G539" s="78" t="s">
        <v>1192</v>
      </c>
      <c r="H539" s="66" t="str">
        <f>IF(X539=" ",X539,'Flamingo @ DenTreek'!H537)</f>
        <v>Frikandelbroodjes</v>
      </c>
      <c r="I539" s="79" t="s">
        <v>1233</v>
      </c>
      <c r="J539" s="80"/>
      <c r="K539" s="78" t="b">
        <v>1</v>
      </c>
      <c r="L539" s="66" t="str">
        <f t="shared" si="2"/>
        <v/>
      </c>
      <c r="M539" s="81" t="str">
        <f>IFERROR(__xludf.DUMMYFUNCTION("IF(W539=1,IFERROR(IMPORTXML(I539, ""//p[@class='status-date']""), ""Not deployed""),"""")"),"")</f>
        <v/>
      </c>
      <c r="N539" s="82"/>
      <c r="O539" s="66"/>
      <c r="P539" s="66"/>
      <c r="Q539" s="66"/>
      <c r="R539" s="83" t="str">
        <f t="shared" si="25"/>
        <v/>
      </c>
      <c r="S539" s="84" t="str">
        <f t="shared" si="4"/>
        <v/>
      </c>
      <c r="T539" s="85"/>
      <c r="U539" s="82">
        <f t="shared" si="5"/>
        <v>0</v>
      </c>
      <c r="V539" s="66">
        <f t="shared" si="6"/>
        <v>0</v>
      </c>
      <c r="W539" s="81">
        <f t="shared" si="7"/>
        <v>0</v>
      </c>
      <c r="X539" s="82" t="str">
        <f t="shared" si="45"/>
        <v>Frikandelbroodjes</v>
      </c>
      <c r="Y539" s="86" t="str">
        <f t="shared" si="46"/>
        <v>https://www.munzee.com/m/Frikandelbroodjes/1217/</v>
      </c>
    </row>
    <row r="540" hidden="1" outlineLevel="1">
      <c r="A540" s="76" t="s">
        <v>1234</v>
      </c>
      <c r="B540" s="77">
        <v>44.0</v>
      </c>
      <c r="C540" s="77">
        <v>13.0</v>
      </c>
      <c r="D540" s="64">
        <v>52.116261</v>
      </c>
      <c r="E540" s="64">
        <v>5.38352</v>
      </c>
      <c r="F540" s="78" t="s">
        <v>247</v>
      </c>
      <c r="G540" s="78" t="s">
        <v>248</v>
      </c>
      <c r="H540" s="78" t="s">
        <v>633</v>
      </c>
      <c r="I540" s="79" t="s">
        <v>1235</v>
      </c>
      <c r="J540" s="80"/>
      <c r="K540" s="78" t="b">
        <v>1</v>
      </c>
      <c r="L540" s="66" t="str">
        <f t="shared" si="2"/>
        <v/>
      </c>
      <c r="M540" s="81" t="str">
        <f>IFERROR(__xludf.DUMMYFUNCTION("IF(W540=1,IFERROR(IMPORTXML(I540, ""//p[@class='status-date']""), ""Not deployed""),"""")"),"")</f>
        <v/>
      </c>
      <c r="N540" s="82"/>
      <c r="O540" s="66"/>
      <c r="P540" s="66"/>
      <c r="Q540" s="66"/>
      <c r="R540" s="83" t="str">
        <f t="shared" si="25"/>
        <v/>
      </c>
      <c r="S540" s="84" t="str">
        <f t="shared" si="4"/>
        <v/>
      </c>
      <c r="T540" s="85"/>
      <c r="U540" s="82">
        <f t="shared" si="5"/>
        <v>0</v>
      </c>
      <c r="V540" s="66">
        <f t="shared" si="6"/>
        <v>0</v>
      </c>
      <c r="W540" s="81">
        <f t="shared" si="7"/>
        <v>0</v>
      </c>
      <c r="X540" s="82" t="str">
        <f t="shared" si="45"/>
        <v>Eskiss</v>
      </c>
      <c r="Y540" s="86" t="str">
        <f t="shared" si="46"/>
        <v>https://www.munzee.com/m/Eskiss/5812/</v>
      </c>
    </row>
    <row r="541" hidden="1" outlineLevel="1">
      <c r="A541" s="76" t="s">
        <v>1236</v>
      </c>
      <c r="B541" s="77">
        <v>44.0</v>
      </c>
      <c r="C541" s="77">
        <v>21.0</v>
      </c>
      <c r="D541" s="64">
        <v>52.116261</v>
      </c>
      <c r="E541" s="64">
        <v>5.385392</v>
      </c>
      <c r="F541" s="78" t="s">
        <v>247</v>
      </c>
      <c r="G541" s="78" t="s">
        <v>248</v>
      </c>
      <c r="H541" s="78" t="s">
        <v>1237</v>
      </c>
      <c r="I541" s="79" t="s">
        <v>1238</v>
      </c>
      <c r="J541" s="88"/>
      <c r="K541" s="78" t="b">
        <v>1</v>
      </c>
      <c r="L541" s="66" t="str">
        <f t="shared" si="2"/>
        <v/>
      </c>
      <c r="M541" s="81" t="str">
        <f>IFERROR(__xludf.DUMMYFUNCTION("IF(W541=1,IFERROR(IMPORTXML(I541, ""//p[@class='status-date']""), ""Not deployed""),"""")"),"")</f>
        <v/>
      </c>
      <c r="N541" s="82"/>
      <c r="O541" s="66"/>
      <c r="P541" s="66"/>
      <c r="Q541" s="66"/>
      <c r="R541" s="83" t="str">
        <f t="shared" si="25"/>
        <v/>
      </c>
      <c r="S541" s="84" t="str">
        <f t="shared" si="4"/>
        <v/>
      </c>
      <c r="T541" s="85"/>
      <c r="U541" s="82">
        <f t="shared" si="5"/>
        <v>0</v>
      </c>
      <c r="V541" s="66">
        <f t="shared" si="6"/>
        <v>0</v>
      </c>
      <c r="W541" s="81">
        <f t="shared" si="7"/>
        <v>0</v>
      </c>
      <c r="X541" s="82" t="str">
        <f t="shared" si="45"/>
        <v>HingeAndBracket</v>
      </c>
      <c r="Y541" s="86" t="str">
        <f t="shared" si="46"/>
        <v>https://www.munzee.com/m/HingeAndBracket/7133/</v>
      </c>
    </row>
    <row r="542" hidden="1" outlineLevel="1">
      <c r="A542" s="76" t="s">
        <v>1239</v>
      </c>
      <c r="B542" s="77">
        <v>45.0</v>
      </c>
      <c r="C542" s="77">
        <v>13.0</v>
      </c>
      <c r="D542" s="64">
        <v>52.116117</v>
      </c>
      <c r="E542" s="64">
        <v>5.38352</v>
      </c>
      <c r="F542" s="78" t="s">
        <v>247</v>
      </c>
      <c r="G542" s="78" t="s">
        <v>248</v>
      </c>
      <c r="H542" s="66" t="str">
        <f>IF(ISTEXT(X542),X542,"")</f>
        <v>Suomieven</v>
      </c>
      <c r="I542" s="79" t="s">
        <v>1240</v>
      </c>
      <c r="J542" s="80"/>
      <c r="K542" s="78" t="b">
        <v>1</v>
      </c>
      <c r="L542" s="66" t="str">
        <f t="shared" si="2"/>
        <v/>
      </c>
      <c r="M542" s="81" t="str">
        <f>IFERROR(__xludf.DUMMYFUNCTION("IF(W542=1,IFERROR(IMPORTXML(I542, ""//p[@class='status-date']""), ""Not deployed""),"""")"),"")</f>
        <v/>
      </c>
      <c r="N542" s="82"/>
      <c r="O542" s="66"/>
      <c r="P542" s="66"/>
      <c r="Q542" s="66"/>
      <c r="R542" s="83" t="str">
        <f t="shared" si="25"/>
        <v/>
      </c>
      <c r="S542" s="84" t="str">
        <f t="shared" si="4"/>
        <v/>
      </c>
      <c r="T542" s="85"/>
      <c r="U542" s="82">
        <f t="shared" si="5"/>
        <v>0</v>
      </c>
      <c r="V542" s="66">
        <f t="shared" si="6"/>
        <v>0</v>
      </c>
      <c r="W542" s="81">
        <f t="shared" si="7"/>
        <v>0</v>
      </c>
      <c r="X542" s="82" t="str">
        <f t="shared" si="45"/>
        <v>Suomieven</v>
      </c>
      <c r="Y542" s="86" t="str">
        <f t="shared" si="46"/>
        <v>https://www.munzee.com/m/Suomieven/12067/</v>
      </c>
    </row>
    <row r="543" hidden="1" outlineLevel="1">
      <c r="A543" s="76" t="s">
        <v>1241</v>
      </c>
      <c r="B543" s="77">
        <v>45.0</v>
      </c>
      <c r="C543" s="77">
        <v>21.0</v>
      </c>
      <c r="D543" s="64">
        <v>52.116117</v>
      </c>
      <c r="E543" s="64">
        <v>5.385392</v>
      </c>
      <c r="F543" s="78" t="s">
        <v>247</v>
      </c>
      <c r="G543" s="78" t="s">
        <v>248</v>
      </c>
      <c r="H543" s="78" t="s">
        <v>983</v>
      </c>
      <c r="I543" s="79" t="s">
        <v>1242</v>
      </c>
      <c r="J543" s="88"/>
      <c r="K543" s="78" t="b">
        <v>1</v>
      </c>
      <c r="L543" s="66" t="str">
        <f t="shared" si="2"/>
        <v/>
      </c>
      <c r="M543" s="81" t="str">
        <f>IFERROR(__xludf.DUMMYFUNCTION("IF(W543=1,IFERROR(IMPORTXML(I543, ""//p[@class='status-date']""), ""Not deployed""),"""")"),"")</f>
        <v/>
      </c>
      <c r="N543" s="82"/>
      <c r="O543" s="66"/>
      <c r="P543" s="66"/>
      <c r="Q543" s="66"/>
      <c r="R543" s="83" t="str">
        <f t="shared" si="25"/>
        <v/>
      </c>
      <c r="S543" s="84" t="str">
        <f t="shared" si="4"/>
        <v/>
      </c>
      <c r="T543" s="85"/>
      <c r="U543" s="82">
        <f t="shared" si="5"/>
        <v>0</v>
      </c>
      <c r="V543" s="66">
        <f t="shared" si="6"/>
        <v>0</v>
      </c>
      <c r="W543" s="81">
        <f t="shared" si="7"/>
        <v>0</v>
      </c>
      <c r="X543" s="82" t="str">
        <f t="shared" si="45"/>
        <v>Boersentrader</v>
      </c>
      <c r="Y543" s="86" t="str">
        <f t="shared" si="46"/>
        <v>https://www.munzee.com/m/Boersentrader/8264/</v>
      </c>
    </row>
    <row r="544" hidden="1" outlineLevel="1">
      <c r="A544" s="76" t="s">
        <v>1243</v>
      </c>
      <c r="B544" s="77">
        <v>46.0</v>
      </c>
      <c r="C544" s="77">
        <v>13.0</v>
      </c>
      <c r="D544" s="64">
        <v>52.115973</v>
      </c>
      <c r="E544" s="64">
        <v>5.38352</v>
      </c>
      <c r="F544" s="78" t="s">
        <v>247</v>
      </c>
      <c r="G544" s="78" t="s">
        <v>248</v>
      </c>
      <c r="H544" s="78" t="s">
        <v>53</v>
      </c>
      <c r="I544" s="79" t="s">
        <v>1244</v>
      </c>
      <c r="J544" s="80"/>
      <c r="K544" s="78" t="b">
        <v>1</v>
      </c>
      <c r="L544" s="66" t="str">
        <f t="shared" si="2"/>
        <v/>
      </c>
      <c r="M544" s="81" t="str">
        <f>IFERROR(__xludf.DUMMYFUNCTION("IF(W544=1,IFERROR(IMPORTXML(I544, ""//p[@class='status-date']""), ""Not deployed""),"""")"),"")</f>
        <v/>
      </c>
      <c r="N544" s="82"/>
      <c r="O544" s="66"/>
      <c r="P544" s="66"/>
      <c r="Q544" s="66"/>
      <c r="R544" s="83" t="str">
        <f t="shared" si="25"/>
        <v/>
      </c>
      <c r="S544" s="84" t="str">
        <f t="shared" si="4"/>
        <v/>
      </c>
      <c r="T544" s="85"/>
      <c r="U544" s="82">
        <f t="shared" si="5"/>
        <v>0</v>
      </c>
      <c r="V544" s="66">
        <f t="shared" si="6"/>
        <v>0</v>
      </c>
      <c r="W544" s="81">
        <f t="shared" si="7"/>
        <v>0</v>
      </c>
      <c r="X544" s="82" t="str">
        <f t="shared" si="45"/>
        <v>Wawie</v>
      </c>
      <c r="Y544" s="86" t="str">
        <f t="shared" si="46"/>
        <v>https://www.munzee.com/m/Wawie/2468/</v>
      </c>
    </row>
    <row r="545" hidden="1" outlineLevel="1">
      <c r="A545" s="76" t="s">
        <v>1245</v>
      </c>
      <c r="B545" s="77">
        <v>46.0</v>
      </c>
      <c r="C545" s="77">
        <v>21.0</v>
      </c>
      <c r="D545" s="64">
        <v>52.115973</v>
      </c>
      <c r="E545" s="64">
        <v>5.385392</v>
      </c>
      <c r="F545" s="78" t="s">
        <v>247</v>
      </c>
      <c r="G545" s="78" t="s">
        <v>248</v>
      </c>
      <c r="H545" s="78" t="s">
        <v>53</v>
      </c>
      <c r="I545" s="79" t="s">
        <v>1246</v>
      </c>
      <c r="J545" s="80"/>
      <c r="K545" s="78" t="b">
        <v>1</v>
      </c>
      <c r="L545" s="66" t="str">
        <f t="shared" si="2"/>
        <v/>
      </c>
      <c r="M545" s="81" t="str">
        <f>IFERROR(__xludf.DUMMYFUNCTION("IF(W545=1,IFERROR(IMPORTXML(I545, ""//p[@class='status-date']""), ""Not deployed""),"""")"),"")</f>
        <v/>
      </c>
      <c r="N545" s="82"/>
      <c r="O545" s="66"/>
      <c r="P545" s="66"/>
      <c r="Q545" s="66"/>
      <c r="R545" s="83" t="str">
        <f t="shared" si="25"/>
        <v/>
      </c>
      <c r="S545" s="84" t="str">
        <f t="shared" si="4"/>
        <v/>
      </c>
      <c r="T545" s="85"/>
      <c r="U545" s="82">
        <f t="shared" si="5"/>
        <v>0</v>
      </c>
      <c r="V545" s="66">
        <f t="shared" si="6"/>
        <v>0</v>
      </c>
      <c r="W545" s="81">
        <f t="shared" si="7"/>
        <v>0</v>
      </c>
      <c r="X545" s="82" t="str">
        <f t="shared" si="45"/>
        <v>Wawie</v>
      </c>
      <c r="Y545" s="86" t="str">
        <f t="shared" si="46"/>
        <v>https://www.munzee.com/m/Wawie/2431/</v>
      </c>
    </row>
    <row r="546" hidden="1" outlineLevel="1">
      <c r="A546" s="76" t="s">
        <v>1247</v>
      </c>
      <c r="B546" s="77">
        <v>47.0</v>
      </c>
      <c r="C546" s="77">
        <v>12.0</v>
      </c>
      <c r="D546" s="64">
        <v>52.11583</v>
      </c>
      <c r="E546" s="64">
        <v>5.383286</v>
      </c>
      <c r="F546" s="78" t="s">
        <v>132</v>
      </c>
      <c r="G546" s="78" t="s">
        <v>133</v>
      </c>
      <c r="H546" s="66" t="str">
        <f>IF(ISTEXT(X546),X546,"")</f>
        <v>Ingetje</v>
      </c>
      <c r="I546" s="102" t="s">
        <v>1248</v>
      </c>
      <c r="J546" s="80"/>
      <c r="K546" s="78" t="b">
        <v>1</v>
      </c>
      <c r="L546" s="66" t="str">
        <f t="shared" si="2"/>
        <v/>
      </c>
      <c r="M546" s="81" t="str">
        <f>IFERROR(__xludf.DUMMYFUNCTION("IF(W546=1,IFERROR(IMPORTXML(I546, ""//p[@class='status-date']""), ""Not deployed""),"""")"),"")</f>
        <v/>
      </c>
      <c r="N546" s="82"/>
      <c r="O546" s="66"/>
      <c r="P546" s="66"/>
      <c r="Q546" s="66"/>
      <c r="R546" s="83" t="str">
        <f t="shared" si="25"/>
        <v/>
      </c>
      <c r="S546" s="84" t="str">
        <f t="shared" si="4"/>
        <v/>
      </c>
      <c r="T546" s="85"/>
      <c r="U546" s="82">
        <f t="shared" si="5"/>
        <v>0</v>
      </c>
      <c r="V546" s="66">
        <f t="shared" si="6"/>
        <v>0</v>
      </c>
      <c r="W546" s="81">
        <f t="shared" si="7"/>
        <v>0</v>
      </c>
      <c r="X546" s="82" t="str">
        <f t="shared" si="45"/>
        <v>Ingetje</v>
      </c>
      <c r="Y546" s="86" t="str">
        <f t="shared" si="46"/>
        <v>https://www.munzee.com/m/Ingetje/5535/</v>
      </c>
    </row>
    <row r="547" hidden="1" outlineLevel="1">
      <c r="A547" s="76" t="s">
        <v>1249</v>
      </c>
      <c r="B547" s="77">
        <v>47.0</v>
      </c>
      <c r="C547" s="77">
        <v>21.0</v>
      </c>
      <c r="D547" s="64">
        <v>52.11583</v>
      </c>
      <c r="E547" s="64">
        <v>5.385392</v>
      </c>
      <c r="F547" s="78" t="s">
        <v>132</v>
      </c>
      <c r="G547" s="78" t="s">
        <v>133</v>
      </c>
      <c r="H547" s="78" t="s">
        <v>1028</v>
      </c>
      <c r="I547" s="79" t="s">
        <v>1250</v>
      </c>
      <c r="J547" s="80"/>
      <c r="K547" s="78" t="b">
        <v>1</v>
      </c>
      <c r="L547" s="66" t="str">
        <f t="shared" si="2"/>
        <v/>
      </c>
      <c r="M547" s="81" t="str">
        <f>IFERROR(__xludf.DUMMYFUNCTION("IF(W547=1,IFERROR(IMPORTXML(I547, ""//p[@class='status-date']""), ""Not deployed""),"""")"),"")</f>
        <v/>
      </c>
      <c r="N547" s="82"/>
      <c r="O547" s="66"/>
      <c r="P547" s="66"/>
      <c r="Q547" s="66"/>
      <c r="R547" s="83" t="str">
        <f t="shared" si="25"/>
        <v/>
      </c>
      <c r="S547" s="84" t="str">
        <f t="shared" si="4"/>
        <v/>
      </c>
      <c r="T547" s="85"/>
      <c r="U547" s="82">
        <f t="shared" si="5"/>
        <v>0</v>
      </c>
      <c r="V547" s="66">
        <f t="shared" si="6"/>
        <v>0</v>
      </c>
      <c r="W547" s="81">
        <f t="shared" si="7"/>
        <v>0</v>
      </c>
      <c r="X547" s="82" t="str">
        <f t="shared" si="45"/>
        <v>TeamBlackie</v>
      </c>
      <c r="Y547" s="86" t="str">
        <f t="shared" si="46"/>
        <v>https://www.munzee.com/m/TeamBlackie/1099/</v>
      </c>
    </row>
    <row r="548" hidden="1" outlineLevel="1">
      <c r="A548" s="76" t="s">
        <v>1251</v>
      </c>
      <c r="B548" s="77">
        <v>48.0</v>
      </c>
      <c r="C548" s="77">
        <v>12.0</v>
      </c>
      <c r="D548" s="64">
        <v>52.115686</v>
      </c>
      <c r="E548" s="64">
        <v>5.383286</v>
      </c>
      <c r="F548" s="78" t="s">
        <v>247</v>
      </c>
      <c r="G548" s="78" t="s">
        <v>248</v>
      </c>
      <c r="H548" s="78" t="s">
        <v>1028</v>
      </c>
      <c r="I548" s="79" t="s">
        <v>1252</v>
      </c>
      <c r="J548" s="80"/>
      <c r="K548" s="78" t="b">
        <v>1</v>
      </c>
      <c r="L548" s="66" t="str">
        <f t="shared" si="2"/>
        <v/>
      </c>
      <c r="M548" s="81" t="str">
        <f>IFERROR(__xludf.DUMMYFUNCTION("IF(W548=1,IFERROR(IMPORTXML(I548, ""//p[@class='status-date']""), ""Not deployed""),"""")"),"")</f>
        <v/>
      </c>
      <c r="N548" s="82"/>
      <c r="O548" s="66"/>
      <c r="P548" s="66"/>
      <c r="Q548" s="66"/>
      <c r="R548" s="83" t="str">
        <f t="shared" si="25"/>
        <v/>
      </c>
      <c r="S548" s="84" t="str">
        <f t="shared" si="4"/>
        <v/>
      </c>
      <c r="T548" s="85"/>
      <c r="U548" s="82">
        <f t="shared" si="5"/>
        <v>0</v>
      </c>
      <c r="V548" s="66">
        <f t="shared" si="6"/>
        <v>0</v>
      </c>
      <c r="W548" s="81">
        <f t="shared" si="7"/>
        <v>0</v>
      </c>
      <c r="X548" s="82" t="str">
        <f t="shared" si="45"/>
        <v>TeamBlackie</v>
      </c>
      <c r="Y548" s="86" t="str">
        <f t="shared" si="46"/>
        <v>https://www.munzee.com/m/TeamBlackie/1098/</v>
      </c>
    </row>
    <row r="549" hidden="1" outlineLevel="1">
      <c r="A549" s="76" t="s">
        <v>1253</v>
      </c>
      <c r="B549" s="77">
        <v>48.0</v>
      </c>
      <c r="C549" s="77">
        <v>21.0</v>
      </c>
      <c r="D549" s="64">
        <v>52.115686</v>
      </c>
      <c r="E549" s="64">
        <v>5.385392</v>
      </c>
      <c r="F549" s="78" t="s">
        <v>132</v>
      </c>
      <c r="G549" s="78" t="s">
        <v>133</v>
      </c>
      <c r="H549" s="78" t="s">
        <v>1254</v>
      </c>
      <c r="I549" s="79" t="s">
        <v>1255</v>
      </c>
      <c r="J549" s="80"/>
      <c r="K549" s="78" t="b">
        <v>1</v>
      </c>
      <c r="L549" s="66" t="str">
        <f t="shared" si="2"/>
        <v/>
      </c>
      <c r="M549" s="81" t="str">
        <f>IFERROR(__xludf.DUMMYFUNCTION("IF(W549=1,IFERROR(IMPORTXML(I549, ""//p[@class='status-date']""), ""Not deployed""),"""")"),"")</f>
        <v/>
      </c>
      <c r="N549" s="82"/>
      <c r="O549" s="66"/>
      <c r="P549" s="66"/>
      <c r="Q549" s="66"/>
      <c r="R549" s="83" t="str">
        <f t="shared" si="25"/>
        <v/>
      </c>
      <c r="S549" s="84" t="str">
        <f t="shared" si="4"/>
        <v/>
      </c>
      <c r="T549" s="85"/>
      <c r="U549" s="82">
        <f t="shared" si="5"/>
        <v>0</v>
      </c>
      <c r="V549" s="66">
        <f t="shared" si="6"/>
        <v>0</v>
      </c>
      <c r="W549" s="81">
        <f t="shared" si="7"/>
        <v>0</v>
      </c>
      <c r="X549" s="82" t="str">
        <f t="shared" si="45"/>
        <v>taska1981</v>
      </c>
      <c r="Y549" s="86" t="str">
        <f t="shared" si="46"/>
        <v>https://www.munzee.com/m/taska1981/7579/</v>
      </c>
    </row>
    <row r="550" hidden="1" outlineLevel="1">
      <c r="A550" s="76" t="s">
        <v>1256</v>
      </c>
      <c r="B550" s="77">
        <v>49.0</v>
      </c>
      <c r="C550" s="77">
        <v>12.0</v>
      </c>
      <c r="D550" s="64">
        <v>52.115542</v>
      </c>
      <c r="E550" s="64">
        <v>5.383286</v>
      </c>
      <c r="F550" s="78" t="s">
        <v>247</v>
      </c>
      <c r="G550" s="78" t="s">
        <v>248</v>
      </c>
      <c r="H550" s="78" t="s">
        <v>1007</v>
      </c>
      <c r="I550" s="79" t="s">
        <v>1257</v>
      </c>
      <c r="J550" s="80"/>
      <c r="K550" s="78" t="b">
        <v>1</v>
      </c>
      <c r="L550" s="66" t="str">
        <f t="shared" si="2"/>
        <v/>
      </c>
      <c r="M550" s="81" t="str">
        <f>IFERROR(__xludf.DUMMYFUNCTION("IF(W550=1,IFERROR(IMPORTXML(I550, ""//p[@class='status-date']""), ""Not deployed""),"""")"),"")</f>
        <v/>
      </c>
      <c r="N550" s="82"/>
      <c r="O550" s="66"/>
      <c r="P550" s="66"/>
      <c r="Q550" s="66"/>
      <c r="R550" s="83" t="str">
        <f t="shared" si="25"/>
        <v/>
      </c>
      <c r="S550" s="84" t="str">
        <f t="shared" si="4"/>
        <v/>
      </c>
      <c r="T550" s="85"/>
      <c r="U550" s="82">
        <f t="shared" si="5"/>
        <v>0</v>
      </c>
      <c r="V550" s="66">
        <f t="shared" si="6"/>
        <v>0</v>
      </c>
      <c r="W550" s="81">
        <f t="shared" si="7"/>
        <v>0</v>
      </c>
      <c r="X550" s="82" t="str">
        <f t="shared" si="45"/>
        <v>Vezliukai</v>
      </c>
      <c r="Y550" s="86" t="str">
        <f t="shared" si="46"/>
        <v>https://www.munzee.com/m/Vezliukai/1736/</v>
      </c>
    </row>
    <row r="551" hidden="1" outlineLevel="1">
      <c r="A551" s="76" t="s">
        <v>1258</v>
      </c>
      <c r="B551" s="77">
        <v>49.0</v>
      </c>
      <c r="C551" s="77">
        <v>22.0</v>
      </c>
      <c r="D551" s="64">
        <v>52.115542</v>
      </c>
      <c r="E551" s="64">
        <v>5.385626</v>
      </c>
      <c r="F551" s="78" t="s">
        <v>132</v>
      </c>
      <c r="G551" s="78" t="s">
        <v>133</v>
      </c>
      <c r="H551" s="78" t="s">
        <v>1058</v>
      </c>
      <c r="I551" s="79" t="s">
        <v>1259</v>
      </c>
      <c r="J551" s="80"/>
      <c r="K551" s="78" t="b">
        <v>1</v>
      </c>
      <c r="L551" s="66" t="str">
        <f t="shared" si="2"/>
        <v/>
      </c>
      <c r="M551" s="81" t="str">
        <f>IFERROR(__xludf.DUMMYFUNCTION("IF(W551=1,IFERROR(IMPORTXML(I551, ""//p[@class='status-date']""), ""Not deployed""),"""")"),"")</f>
        <v/>
      </c>
      <c r="N551" s="82"/>
      <c r="O551" s="66"/>
      <c r="P551" s="66"/>
      <c r="Q551" s="66"/>
      <c r="R551" s="83" t="str">
        <f t="shared" si="25"/>
        <v/>
      </c>
      <c r="S551" s="84" t="str">
        <f t="shared" si="4"/>
        <v/>
      </c>
      <c r="T551" s="85"/>
      <c r="U551" s="82">
        <f t="shared" si="5"/>
        <v>0</v>
      </c>
      <c r="V551" s="66">
        <f t="shared" si="6"/>
        <v>0</v>
      </c>
      <c r="W551" s="81">
        <f t="shared" si="7"/>
        <v>0</v>
      </c>
      <c r="X551" s="82" t="str">
        <f t="shared" si="45"/>
        <v>Intel9</v>
      </c>
      <c r="Y551" s="86" t="str">
        <f t="shared" si="46"/>
        <v>https://www.munzee.com/m/Intel9/517/</v>
      </c>
    </row>
    <row r="552" hidden="1" outlineLevel="1">
      <c r="A552" s="76" t="s">
        <v>1260</v>
      </c>
      <c r="B552" s="77">
        <v>50.0</v>
      </c>
      <c r="C552" s="77">
        <v>12.0</v>
      </c>
      <c r="D552" s="64">
        <v>52.115399</v>
      </c>
      <c r="E552" s="64">
        <v>5.383286</v>
      </c>
      <c r="F552" s="78" t="s">
        <v>247</v>
      </c>
      <c r="G552" s="78" t="s">
        <v>248</v>
      </c>
      <c r="H552" s="66" t="str">
        <f>IF(ISTEXT(X552),X552,"")</f>
        <v>does</v>
      </c>
      <c r="I552" s="79" t="s">
        <v>1261</v>
      </c>
      <c r="J552" s="80"/>
      <c r="K552" s="78" t="b">
        <v>1</v>
      </c>
      <c r="L552" s="66" t="str">
        <f t="shared" si="2"/>
        <v/>
      </c>
      <c r="M552" s="81" t="str">
        <f>IFERROR(__xludf.DUMMYFUNCTION("IF(W552=1,IFERROR(IMPORTXML(I552, ""//p[@class='status-date']""), ""Not deployed""),"""")"),"")</f>
        <v/>
      </c>
      <c r="N552" s="82"/>
      <c r="O552" s="66"/>
      <c r="P552" s="66"/>
      <c r="Q552" s="66"/>
      <c r="R552" s="83" t="str">
        <f t="shared" si="25"/>
        <v/>
      </c>
      <c r="S552" s="84" t="str">
        <f t="shared" si="4"/>
        <v/>
      </c>
      <c r="T552" s="85"/>
      <c r="U552" s="82">
        <f t="shared" si="5"/>
        <v>0</v>
      </c>
      <c r="V552" s="66">
        <f t="shared" si="6"/>
        <v>0</v>
      </c>
      <c r="W552" s="81">
        <f t="shared" si="7"/>
        <v>0</v>
      </c>
      <c r="X552" s="82" t="str">
        <f t="shared" si="45"/>
        <v>does</v>
      </c>
      <c r="Y552" s="86" t="str">
        <f t="shared" si="46"/>
        <v>https://www.munzee.com/m/does/1185/</v>
      </c>
    </row>
    <row r="553" hidden="1" outlineLevel="1">
      <c r="A553" s="76" t="s">
        <v>1262</v>
      </c>
      <c r="B553" s="77">
        <v>50.0</v>
      </c>
      <c r="C553" s="77">
        <v>22.0</v>
      </c>
      <c r="D553" s="64">
        <v>52.115399</v>
      </c>
      <c r="E553" s="64">
        <v>5.385626</v>
      </c>
      <c r="F553" s="78" t="s">
        <v>132</v>
      </c>
      <c r="G553" s="78" t="s">
        <v>133</v>
      </c>
      <c r="H553" s="78" t="s">
        <v>836</v>
      </c>
      <c r="I553" s="79" t="s">
        <v>1263</v>
      </c>
      <c r="J553" s="80"/>
      <c r="K553" s="78" t="b">
        <v>1</v>
      </c>
      <c r="L553" s="66" t="str">
        <f t="shared" si="2"/>
        <v/>
      </c>
      <c r="M553" s="81" t="str">
        <f>IFERROR(__xludf.DUMMYFUNCTION("IF(W553=1,IFERROR(IMPORTXML(I553, ""//p[@class='status-date']""), ""Not deployed""),"""")"),"")</f>
        <v/>
      </c>
      <c r="N553" s="82"/>
      <c r="O553" s="66"/>
      <c r="P553" s="66"/>
      <c r="Q553" s="66"/>
      <c r="R553" s="83" t="str">
        <f t="shared" si="25"/>
        <v/>
      </c>
      <c r="S553" s="84" t="str">
        <f t="shared" si="4"/>
        <v/>
      </c>
      <c r="T553" s="85"/>
      <c r="U553" s="82">
        <f t="shared" si="5"/>
        <v>0</v>
      </c>
      <c r="V553" s="66">
        <f t="shared" si="6"/>
        <v>0</v>
      </c>
      <c r="W553" s="81">
        <f t="shared" si="7"/>
        <v>0</v>
      </c>
      <c r="X553" s="82" t="str">
        <f t="shared" si="45"/>
        <v>Johnsjen</v>
      </c>
      <c r="Y553" s="86" t="str">
        <f t="shared" si="46"/>
        <v>https://www.munzee.com/m/Johnsjen/4304/</v>
      </c>
    </row>
    <row r="554" hidden="1" outlineLevel="1">
      <c r="A554" s="76" t="s">
        <v>1264</v>
      </c>
      <c r="B554" s="77">
        <v>51.0</v>
      </c>
      <c r="C554" s="77">
        <v>11.0</v>
      </c>
      <c r="D554" s="64">
        <v>52.115255</v>
      </c>
      <c r="E554" s="64">
        <v>5.383052</v>
      </c>
      <c r="F554" s="78" t="s">
        <v>247</v>
      </c>
      <c r="G554" s="78" t="s">
        <v>248</v>
      </c>
      <c r="H554" s="78" t="s">
        <v>983</v>
      </c>
      <c r="I554" s="79" t="s">
        <v>1265</v>
      </c>
      <c r="J554" s="80"/>
      <c r="K554" s="78" t="b">
        <v>1</v>
      </c>
      <c r="L554" s="66" t="str">
        <f t="shared" si="2"/>
        <v/>
      </c>
      <c r="M554" s="81" t="str">
        <f>IFERROR(__xludf.DUMMYFUNCTION("IF(W554=1,IFERROR(IMPORTXML(I554, ""//p[@class='status-date']""), ""Not deployed""),"""")"),"")</f>
        <v/>
      </c>
      <c r="N554" s="82"/>
      <c r="O554" s="66"/>
      <c r="P554" s="66"/>
      <c r="Q554" s="66"/>
      <c r="R554" s="83" t="str">
        <f t="shared" si="25"/>
        <v/>
      </c>
      <c r="S554" s="84" t="str">
        <f t="shared" si="4"/>
        <v/>
      </c>
      <c r="T554" s="85"/>
      <c r="U554" s="82">
        <f t="shared" si="5"/>
        <v>0</v>
      </c>
      <c r="V554" s="66">
        <f t="shared" si="6"/>
        <v>0</v>
      </c>
      <c r="W554" s="81">
        <f t="shared" si="7"/>
        <v>0</v>
      </c>
      <c r="X554" s="82" t="str">
        <f t="shared" si="45"/>
        <v>Boersentrader</v>
      </c>
      <c r="Y554" s="86" t="str">
        <f t="shared" si="46"/>
        <v>https://www.munzee.com/m/Boersentrader/8023/</v>
      </c>
    </row>
    <row r="555" hidden="1" outlineLevel="1">
      <c r="A555" s="76" t="s">
        <v>1266</v>
      </c>
      <c r="B555" s="77">
        <v>51.0</v>
      </c>
      <c r="C555" s="77">
        <v>22.0</v>
      </c>
      <c r="D555" s="64">
        <v>52.115255</v>
      </c>
      <c r="E555" s="64">
        <v>5.385626</v>
      </c>
      <c r="F555" s="78" t="s">
        <v>247</v>
      </c>
      <c r="G555" s="78" t="s">
        <v>248</v>
      </c>
      <c r="H555" s="78" t="s">
        <v>1267</v>
      </c>
      <c r="I555" s="79" t="s">
        <v>1268</v>
      </c>
      <c r="J555" s="80"/>
      <c r="K555" s="78" t="b">
        <v>1</v>
      </c>
      <c r="L555" s="66" t="str">
        <f t="shared" si="2"/>
        <v/>
      </c>
      <c r="M555" s="81" t="str">
        <f>IFERROR(__xludf.DUMMYFUNCTION("IF(W555=1,IFERROR(IMPORTXML(I555, ""//p[@class='status-date']""), ""Not deployed""),"""")"),"")</f>
        <v/>
      </c>
      <c r="N555" s="82"/>
      <c r="O555" s="66"/>
      <c r="P555" s="66"/>
      <c r="Q555" s="66"/>
      <c r="R555" s="83" t="str">
        <f t="shared" si="25"/>
        <v/>
      </c>
      <c r="S555" s="84" t="str">
        <f t="shared" si="4"/>
        <v/>
      </c>
      <c r="T555" s="85"/>
      <c r="U555" s="82">
        <f t="shared" si="5"/>
        <v>0</v>
      </c>
      <c r="V555" s="66">
        <f t="shared" si="6"/>
        <v>0</v>
      </c>
      <c r="W555" s="81">
        <f t="shared" si="7"/>
        <v>0</v>
      </c>
      <c r="X555" s="82" t="str">
        <f t="shared" si="45"/>
        <v>bordentaxi</v>
      </c>
      <c r="Y555" s="86" t="str">
        <f t="shared" si="46"/>
        <v>https://www.munzee.com/m/bordentaxi/11614/</v>
      </c>
    </row>
    <row r="556" hidden="1" outlineLevel="1">
      <c r="A556" s="76" t="s">
        <v>1269</v>
      </c>
      <c r="B556" s="77">
        <v>52.0</v>
      </c>
      <c r="C556" s="77">
        <v>11.0</v>
      </c>
      <c r="D556" s="64">
        <v>52.115111</v>
      </c>
      <c r="E556" s="64">
        <v>5.383052</v>
      </c>
      <c r="F556" s="78" t="s">
        <v>247</v>
      </c>
      <c r="G556" s="78" t="s">
        <v>248</v>
      </c>
      <c r="H556" s="78" t="s">
        <v>1070</v>
      </c>
      <c r="I556" s="79" t="s">
        <v>1270</v>
      </c>
      <c r="J556" s="80"/>
      <c r="K556" s="78" t="b">
        <v>1</v>
      </c>
      <c r="L556" s="66" t="str">
        <f t="shared" si="2"/>
        <v/>
      </c>
      <c r="M556" s="81" t="str">
        <f>IFERROR(__xludf.DUMMYFUNCTION("IF(W556=1,IFERROR(IMPORTXML(I556, ""//p[@class='status-date']""), ""Not deployed""),"""")"),"")</f>
        <v/>
      </c>
      <c r="N556" s="82"/>
      <c r="O556" s="66"/>
      <c r="P556" s="66"/>
      <c r="Q556" s="66"/>
      <c r="R556" s="83" t="str">
        <f t="shared" si="25"/>
        <v/>
      </c>
      <c r="S556" s="84" t="str">
        <f t="shared" si="4"/>
        <v/>
      </c>
      <c r="T556" s="85"/>
      <c r="U556" s="82">
        <f t="shared" si="5"/>
        <v>0</v>
      </c>
      <c r="V556" s="66">
        <f t="shared" si="6"/>
        <v>0</v>
      </c>
      <c r="W556" s="81">
        <f t="shared" si="7"/>
        <v>0</v>
      </c>
      <c r="X556" s="82" t="str">
        <f t="shared" si="45"/>
        <v>edwin21</v>
      </c>
      <c r="Y556" s="86" t="str">
        <f t="shared" si="46"/>
        <v>https://www.munzee.com/m/edwin21/1208/</v>
      </c>
    </row>
    <row r="557" hidden="1" outlineLevel="1">
      <c r="A557" s="76" t="s">
        <v>1271</v>
      </c>
      <c r="B557" s="77">
        <v>52.0</v>
      </c>
      <c r="C557" s="77">
        <v>22.0</v>
      </c>
      <c r="D557" s="64">
        <v>52.115111</v>
      </c>
      <c r="E557" s="64">
        <v>5.385626</v>
      </c>
      <c r="F557" s="78" t="s">
        <v>247</v>
      </c>
      <c r="G557" s="78" t="s">
        <v>248</v>
      </c>
      <c r="H557" s="78" t="s">
        <v>512</v>
      </c>
      <c r="I557" s="79" t="s">
        <v>1272</v>
      </c>
      <c r="J557" s="80"/>
      <c r="K557" s="78" t="b">
        <v>1</v>
      </c>
      <c r="L557" s="66" t="str">
        <f t="shared" si="2"/>
        <v/>
      </c>
      <c r="M557" s="81" t="str">
        <f>IFERROR(__xludf.DUMMYFUNCTION("IF(W557=1,IFERROR(IMPORTXML(I557, ""//p[@class='status-date']""), ""Not deployed""),"""")"),"")</f>
        <v/>
      </c>
      <c r="N557" s="82"/>
      <c r="O557" s="66"/>
      <c r="P557" s="66"/>
      <c r="Q557" s="66"/>
      <c r="R557" s="83" t="str">
        <f t="shared" si="25"/>
        <v/>
      </c>
      <c r="S557" s="84" t="str">
        <f t="shared" si="4"/>
        <v/>
      </c>
      <c r="T557" s="85"/>
      <c r="U557" s="82">
        <f t="shared" si="5"/>
        <v>0</v>
      </c>
      <c r="V557" s="66">
        <f t="shared" si="6"/>
        <v>0</v>
      </c>
      <c r="W557" s="81">
        <f t="shared" si="7"/>
        <v>0</v>
      </c>
      <c r="X557" s="82" t="str">
        <f t="shared" si="45"/>
        <v>Jafo43</v>
      </c>
      <c r="Y557" s="86" t="str">
        <f t="shared" si="46"/>
        <v>https://www.munzee.com/m/Jafo43/33593/</v>
      </c>
    </row>
    <row r="558" hidden="1" outlineLevel="1">
      <c r="A558" s="76" t="s">
        <v>1273</v>
      </c>
      <c r="B558" s="77">
        <v>53.0</v>
      </c>
      <c r="C558" s="77">
        <v>11.0</v>
      </c>
      <c r="D558" s="64">
        <v>52.114967</v>
      </c>
      <c r="E558" s="64">
        <v>5.383052</v>
      </c>
      <c r="F558" s="78" t="s">
        <v>247</v>
      </c>
      <c r="G558" s="78" t="s">
        <v>248</v>
      </c>
      <c r="H558" s="78" t="s">
        <v>538</v>
      </c>
      <c r="I558" s="102" t="s">
        <v>1274</v>
      </c>
      <c r="J558" s="80"/>
      <c r="K558" s="78" t="b">
        <v>1</v>
      </c>
      <c r="L558" s="66" t="str">
        <f t="shared" si="2"/>
        <v/>
      </c>
      <c r="M558" s="81" t="str">
        <f>IFERROR(__xludf.DUMMYFUNCTION("IF(W558=1,IFERROR(IMPORTXML(I558, ""//p[@class='status-date']""), ""Not deployed""),"""")"),"")</f>
        <v/>
      </c>
      <c r="N558" s="82"/>
      <c r="O558" s="66"/>
      <c r="P558" s="66"/>
      <c r="Q558" s="66"/>
      <c r="R558" s="83" t="str">
        <f t="shared" si="25"/>
        <v/>
      </c>
      <c r="S558" s="84" t="str">
        <f t="shared" si="4"/>
        <v/>
      </c>
      <c r="T558" s="85"/>
      <c r="U558" s="82">
        <f t="shared" si="5"/>
        <v>0</v>
      </c>
      <c r="V558" s="66">
        <f t="shared" si="6"/>
        <v>0</v>
      </c>
      <c r="W558" s="81">
        <f t="shared" si="7"/>
        <v>0</v>
      </c>
      <c r="X558" s="82" t="str">
        <f t="shared" si="45"/>
        <v>ahagmann</v>
      </c>
      <c r="Y558" s="86" t="str">
        <f t="shared" si="46"/>
        <v>https://www.munzee.com/m/ahagmann/12061/</v>
      </c>
    </row>
    <row r="559" hidden="1" outlineLevel="1">
      <c r="A559" s="76" t="s">
        <v>1275</v>
      </c>
      <c r="B559" s="77">
        <v>53.0</v>
      </c>
      <c r="C559" s="77">
        <v>22.0</v>
      </c>
      <c r="D559" s="64">
        <v>52.114967</v>
      </c>
      <c r="E559" s="64">
        <v>5.385626</v>
      </c>
      <c r="F559" s="78" t="s">
        <v>247</v>
      </c>
      <c r="G559" s="78" t="s">
        <v>248</v>
      </c>
      <c r="H559" s="78" t="s">
        <v>1070</v>
      </c>
      <c r="I559" s="79" t="s">
        <v>1276</v>
      </c>
      <c r="J559" s="80"/>
      <c r="K559" s="78" t="b">
        <v>1</v>
      </c>
      <c r="L559" s="66" t="str">
        <f t="shared" si="2"/>
        <v/>
      </c>
      <c r="M559" s="81" t="str">
        <f>IFERROR(__xludf.DUMMYFUNCTION("IF(W559=1,IFERROR(IMPORTXML(I559, ""//p[@class='status-date']""), ""Not deployed""),"""")"),"")</f>
        <v/>
      </c>
      <c r="N559" s="82"/>
      <c r="O559" s="66"/>
      <c r="P559" s="66"/>
      <c r="Q559" s="66"/>
      <c r="R559" s="83" t="str">
        <f t="shared" si="25"/>
        <v/>
      </c>
      <c r="S559" s="84" t="str">
        <f t="shared" si="4"/>
        <v/>
      </c>
      <c r="T559" s="85"/>
      <c r="U559" s="82">
        <f t="shared" si="5"/>
        <v>0</v>
      </c>
      <c r="V559" s="66">
        <f t="shared" si="6"/>
        <v>0</v>
      </c>
      <c r="W559" s="81">
        <f t="shared" si="7"/>
        <v>0</v>
      </c>
      <c r="X559" s="82" t="str">
        <f t="shared" si="45"/>
        <v>edwin21</v>
      </c>
      <c r="Y559" s="86" t="str">
        <f t="shared" si="46"/>
        <v>https://www.munzee.com/m/edwin21/1209/</v>
      </c>
    </row>
    <row r="560" hidden="1" outlineLevel="1">
      <c r="A560" s="76" t="s">
        <v>1277</v>
      </c>
      <c r="B560" s="77">
        <v>54.0</v>
      </c>
      <c r="C560" s="77">
        <v>11.0</v>
      </c>
      <c r="D560" s="64">
        <v>52.114824</v>
      </c>
      <c r="E560" s="64">
        <v>5.383052</v>
      </c>
      <c r="F560" s="78" t="s">
        <v>132</v>
      </c>
      <c r="G560" s="78" t="s">
        <v>133</v>
      </c>
      <c r="H560" s="78" t="s">
        <v>512</v>
      </c>
      <c r="I560" s="79" t="s">
        <v>1278</v>
      </c>
      <c r="J560" s="80"/>
      <c r="K560" s="78" t="b">
        <v>1</v>
      </c>
      <c r="L560" s="66" t="str">
        <f t="shared" si="2"/>
        <v/>
      </c>
      <c r="M560" s="81" t="str">
        <f>IFERROR(__xludf.DUMMYFUNCTION("IF(W560=1,IFERROR(IMPORTXML(I560, ""//p[@class='status-date']""), ""Not deployed""),"""")"),"")</f>
        <v/>
      </c>
      <c r="N560" s="82"/>
      <c r="O560" s="66"/>
      <c r="P560" s="66"/>
      <c r="Q560" s="66"/>
      <c r="R560" s="83" t="str">
        <f t="shared" si="25"/>
        <v/>
      </c>
      <c r="S560" s="84" t="str">
        <f t="shared" si="4"/>
        <v/>
      </c>
      <c r="T560" s="85"/>
      <c r="U560" s="82">
        <f t="shared" si="5"/>
        <v>0</v>
      </c>
      <c r="V560" s="66">
        <f t="shared" si="6"/>
        <v>0</v>
      </c>
      <c r="W560" s="81">
        <f t="shared" si="7"/>
        <v>0</v>
      </c>
      <c r="X560" s="82" t="str">
        <f t="shared" si="45"/>
        <v>Jafo43</v>
      </c>
      <c r="Y560" s="86" t="str">
        <f t="shared" si="46"/>
        <v>https://www.munzee.com/m/Jafo43/33592/</v>
      </c>
    </row>
    <row r="561" hidden="1" outlineLevel="1">
      <c r="A561" s="76" t="s">
        <v>1279</v>
      </c>
      <c r="B561" s="77">
        <v>54.0</v>
      </c>
      <c r="C561" s="77">
        <v>23.0</v>
      </c>
      <c r="D561" s="64">
        <v>52.114824</v>
      </c>
      <c r="E561" s="64">
        <v>5.38586</v>
      </c>
      <c r="F561" s="78" t="s">
        <v>132</v>
      </c>
      <c r="G561" s="78" t="s">
        <v>133</v>
      </c>
      <c r="H561" s="66" t="str">
        <f t="shared" ref="H561:H564" si="47">IF(ISTEXT(X561),X561,"")</f>
        <v>Vonney</v>
      </c>
      <c r="I561" s="79" t="s">
        <v>1280</v>
      </c>
      <c r="J561" s="80"/>
      <c r="K561" s="78" t="b">
        <v>1</v>
      </c>
      <c r="L561" s="66" t="str">
        <f t="shared" si="2"/>
        <v/>
      </c>
      <c r="M561" s="81" t="str">
        <f>IFERROR(__xludf.DUMMYFUNCTION("IF(W561=1,IFERROR(IMPORTXML(I561, ""//p[@class='status-date']""), ""Not deployed""),"""")"),"")</f>
        <v/>
      </c>
      <c r="N561" s="82"/>
      <c r="O561" s="66"/>
      <c r="P561" s="66"/>
      <c r="Q561" s="66"/>
      <c r="R561" s="83" t="str">
        <f t="shared" si="25"/>
        <v/>
      </c>
      <c r="S561" s="84" t="str">
        <f t="shared" si="4"/>
        <v/>
      </c>
      <c r="T561" s="85"/>
      <c r="U561" s="82">
        <f t="shared" si="5"/>
        <v>0</v>
      </c>
      <c r="V561" s="66">
        <f t="shared" si="6"/>
        <v>0</v>
      </c>
      <c r="W561" s="81">
        <f t="shared" si="7"/>
        <v>0</v>
      </c>
      <c r="X561" s="82" t="str">
        <f t="shared" si="45"/>
        <v>Vonney</v>
      </c>
      <c r="Y561" s="86" t="str">
        <f t="shared" si="46"/>
        <v>https://www.munzee.com/m/Vonney/3522/</v>
      </c>
    </row>
    <row r="562" hidden="1" outlineLevel="1">
      <c r="A562" s="76" t="s">
        <v>1281</v>
      </c>
      <c r="B562" s="77">
        <v>55.0</v>
      </c>
      <c r="C562" s="77">
        <v>10.0</v>
      </c>
      <c r="D562" s="64">
        <v>52.11468</v>
      </c>
      <c r="E562" s="64">
        <v>5.382817</v>
      </c>
      <c r="F562" s="78" t="s">
        <v>132</v>
      </c>
      <c r="G562" s="78" t="s">
        <v>133</v>
      </c>
      <c r="H562" s="66" t="str">
        <f t="shared" si="47"/>
        <v>Vonney</v>
      </c>
      <c r="I562" s="94" t="s">
        <v>1282</v>
      </c>
      <c r="J562" s="88"/>
      <c r="K562" s="78" t="b">
        <v>1</v>
      </c>
      <c r="L562" s="66" t="str">
        <f t="shared" si="2"/>
        <v/>
      </c>
      <c r="M562" s="81" t="str">
        <f>IFERROR(__xludf.DUMMYFUNCTION("IF(W562=1,IFERROR(IMPORTXML(I562, ""//p[@class='status-date']""), ""Not deployed""),"""")"),"")</f>
        <v/>
      </c>
      <c r="N562" s="82"/>
      <c r="O562" s="66"/>
      <c r="P562" s="66"/>
      <c r="Q562" s="66"/>
      <c r="R562" s="83" t="str">
        <f t="shared" si="25"/>
        <v/>
      </c>
      <c r="S562" s="84" t="str">
        <f t="shared" si="4"/>
        <v/>
      </c>
      <c r="T562" s="85"/>
      <c r="U562" s="82">
        <f t="shared" si="5"/>
        <v>0</v>
      </c>
      <c r="V562" s="66">
        <f t="shared" si="6"/>
        <v>0</v>
      </c>
      <c r="W562" s="81">
        <f t="shared" si="7"/>
        <v>0</v>
      </c>
      <c r="X562" s="82" t="str">
        <f t="shared" si="45"/>
        <v>Vonney</v>
      </c>
      <c r="Y562" s="86" t="str">
        <f t="shared" si="46"/>
        <v>https://www.munzee.com/m/Vonney/3523/</v>
      </c>
    </row>
    <row r="563" hidden="1" outlineLevel="1">
      <c r="A563" s="76" t="s">
        <v>1283</v>
      </c>
      <c r="B563" s="77">
        <v>55.0</v>
      </c>
      <c r="C563" s="77">
        <v>11.0</v>
      </c>
      <c r="D563" s="64">
        <v>52.11468</v>
      </c>
      <c r="E563" s="64">
        <v>5.383052</v>
      </c>
      <c r="F563" s="78" t="s">
        <v>132</v>
      </c>
      <c r="G563" s="78" t="s">
        <v>133</v>
      </c>
      <c r="H563" s="66" t="str">
        <f t="shared" si="47"/>
        <v>Wawie</v>
      </c>
      <c r="I563" s="79" t="s">
        <v>1284</v>
      </c>
      <c r="J563" s="80"/>
      <c r="K563" s="78" t="b">
        <v>1</v>
      </c>
      <c r="L563" s="66" t="str">
        <f t="shared" si="2"/>
        <v/>
      </c>
      <c r="M563" s="81" t="str">
        <f>IFERROR(__xludf.DUMMYFUNCTION("IF(W563=1,IFERROR(IMPORTXML(I563, ""//p[@class='status-date']""), ""Not deployed""),"""")"),"")</f>
        <v/>
      </c>
      <c r="N563" s="82"/>
      <c r="O563" s="66"/>
      <c r="P563" s="66"/>
      <c r="Q563" s="66"/>
      <c r="R563" s="83" t="str">
        <f t="shared" si="25"/>
        <v/>
      </c>
      <c r="S563" s="84" t="str">
        <f t="shared" si="4"/>
        <v/>
      </c>
      <c r="T563" s="85"/>
      <c r="U563" s="82">
        <f t="shared" si="5"/>
        <v>0</v>
      </c>
      <c r="V563" s="66">
        <f t="shared" si="6"/>
        <v>0</v>
      </c>
      <c r="W563" s="81">
        <f t="shared" si="7"/>
        <v>0</v>
      </c>
      <c r="X563" s="82" t="str">
        <f t="shared" si="45"/>
        <v>Wawie</v>
      </c>
      <c r="Y563" s="86" t="str">
        <f t="shared" si="46"/>
        <v>https://www.munzee.com/m/Wawie/795/</v>
      </c>
    </row>
    <row r="564" hidden="1" outlineLevel="1">
      <c r="A564" s="76" t="s">
        <v>1285</v>
      </c>
      <c r="B564" s="77">
        <v>55.0</v>
      </c>
      <c r="C564" s="77">
        <v>23.0</v>
      </c>
      <c r="D564" s="64">
        <v>52.11468</v>
      </c>
      <c r="E564" s="64">
        <v>5.38586</v>
      </c>
      <c r="F564" s="78" t="s">
        <v>132</v>
      </c>
      <c r="G564" s="78" t="s">
        <v>133</v>
      </c>
      <c r="H564" s="66" t="str">
        <f t="shared" si="47"/>
        <v>Wawie</v>
      </c>
      <c r="I564" s="79" t="s">
        <v>1286</v>
      </c>
      <c r="J564" s="80"/>
      <c r="K564" s="78" t="b">
        <v>1</v>
      </c>
      <c r="L564" s="66" t="str">
        <f t="shared" si="2"/>
        <v/>
      </c>
      <c r="M564" s="81" t="str">
        <f>IFERROR(__xludf.DUMMYFUNCTION("IF(W564=1,IFERROR(IMPORTXML(I564, ""//p[@class='status-date']""), ""Not deployed""),"""")"),"")</f>
        <v/>
      </c>
      <c r="N564" s="82"/>
      <c r="O564" s="66"/>
      <c r="P564" s="66"/>
      <c r="Q564" s="66"/>
      <c r="R564" s="83" t="str">
        <f t="shared" si="25"/>
        <v/>
      </c>
      <c r="S564" s="84" t="str">
        <f t="shared" si="4"/>
        <v/>
      </c>
      <c r="T564" s="85"/>
      <c r="U564" s="82">
        <f t="shared" si="5"/>
        <v>0</v>
      </c>
      <c r="V564" s="66">
        <f t="shared" si="6"/>
        <v>0</v>
      </c>
      <c r="W564" s="81">
        <f t="shared" si="7"/>
        <v>0</v>
      </c>
      <c r="X564" s="82" t="str">
        <f t="shared" si="45"/>
        <v>Wawie</v>
      </c>
      <c r="Y564" s="86" t="str">
        <f t="shared" si="46"/>
        <v>https://www.munzee.com/m/Wawie/794/</v>
      </c>
    </row>
    <row r="565" hidden="1" outlineLevel="1">
      <c r="A565" s="76" t="s">
        <v>1287</v>
      </c>
      <c r="B565" s="77">
        <v>56.0</v>
      </c>
      <c r="C565" s="77">
        <v>10.0</v>
      </c>
      <c r="D565" s="64">
        <v>52.114536</v>
      </c>
      <c r="E565" s="64">
        <v>5.382817</v>
      </c>
      <c r="F565" s="78" t="s">
        <v>132</v>
      </c>
      <c r="G565" s="78" t="s">
        <v>133</v>
      </c>
      <c r="H565" s="78" t="s">
        <v>538</v>
      </c>
      <c r="I565" s="102" t="s">
        <v>1288</v>
      </c>
      <c r="J565" s="80"/>
      <c r="K565" s="78" t="b">
        <v>1</v>
      </c>
      <c r="L565" s="66" t="str">
        <f t="shared" si="2"/>
        <v/>
      </c>
      <c r="M565" s="81" t="str">
        <f>IFERROR(__xludf.DUMMYFUNCTION("IF(W565=1,IFERROR(IMPORTXML(I565, ""//p[@class='status-date']""), ""Not deployed""),"""")"),"")</f>
        <v/>
      </c>
      <c r="N565" s="82"/>
      <c r="O565" s="66"/>
      <c r="P565" s="66"/>
      <c r="Q565" s="66"/>
      <c r="R565" s="83" t="str">
        <f t="shared" si="25"/>
        <v/>
      </c>
      <c r="S565" s="84" t="str">
        <f t="shared" si="4"/>
        <v/>
      </c>
      <c r="T565" s="85"/>
      <c r="U565" s="82">
        <f t="shared" si="5"/>
        <v>0</v>
      </c>
      <c r="V565" s="66">
        <f t="shared" si="6"/>
        <v>0</v>
      </c>
      <c r="W565" s="81">
        <f t="shared" si="7"/>
        <v>0</v>
      </c>
      <c r="X565" s="82" t="str">
        <f t="shared" si="45"/>
        <v>ahagmann</v>
      </c>
      <c r="Y565" s="86" t="str">
        <f t="shared" si="46"/>
        <v>https://www.munzee.com/m/ahagmann/12062/</v>
      </c>
    </row>
    <row r="566" hidden="1" outlineLevel="1">
      <c r="A566" s="76" t="s">
        <v>1289</v>
      </c>
      <c r="B566" s="77">
        <v>56.0</v>
      </c>
      <c r="C566" s="77">
        <v>23.0</v>
      </c>
      <c r="D566" s="64">
        <v>52.114536</v>
      </c>
      <c r="E566" s="64">
        <v>5.38586</v>
      </c>
      <c r="F566" s="78" t="s">
        <v>132</v>
      </c>
      <c r="G566" s="78" t="s">
        <v>133</v>
      </c>
      <c r="H566" s="66" t="str">
        <f t="shared" ref="H566:H568" si="48">IF(ISTEXT(X566),X566,"")</f>
        <v>Iphoney</v>
      </c>
      <c r="I566" s="79" t="s">
        <v>1290</v>
      </c>
      <c r="J566" s="80"/>
      <c r="K566" s="78" t="b">
        <v>1</v>
      </c>
      <c r="L566" s="66" t="str">
        <f t="shared" si="2"/>
        <v/>
      </c>
      <c r="M566" s="81" t="str">
        <f>IFERROR(__xludf.DUMMYFUNCTION("IF(W566=1,IFERROR(IMPORTXML(I566, ""//p[@class='status-date']""), ""Not deployed""),"""")"),"")</f>
        <v/>
      </c>
      <c r="N566" s="82"/>
      <c r="O566" s="66"/>
      <c r="P566" s="66"/>
      <c r="Q566" s="66"/>
      <c r="R566" s="83" t="str">
        <f t="shared" si="25"/>
        <v/>
      </c>
      <c r="S566" s="84" t="str">
        <f t="shared" si="4"/>
        <v/>
      </c>
      <c r="T566" s="85"/>
      <c r="U566" s="82">
        <f t="shared" si="5"/>
        <v>0</v>
      </c>
      <c r="V566" s="66">
        <f t="shared" si="6"/>
        <v>0</v>
      </c>
      <c r="W566" s="81">
        <f t="shared" si="7"/>
        <v>0</v>
      </c>
      <c r="X566" s="82" t="str">
        <f t="shared" si="45"/>
        <v>Iphoney</v>
      </c>
      <c r="Y566" s="86" t="str">
        <f t="shared" si="46"/>
        <v>https://www.munzee.com/m/Iphoney/803/</v>
      </c>
    </row>
    <row r="567" hidden="1" outlineLevel="1">
      <c r="A567" s="76" t="s">
        <v>1291</v>
      </c>
      <c r="B567" s="77">
        <v>57.0</v>
      </c>
      <c r="C567" s="77">
        <v>10.0</v>
      </c>
      <c r="D567" s="64">
        <v>52.114392</v>
      </c>
      <c r="E567" s="64">
        <v>5.382817</v>
      </c>
      <c r="F567" s="78" t="s">
        <v>247</v>
      </c>
      <c r="G567" s="78" t="s">
        <v>248</v>
      </c>
      <c r="H567" s="66" t="str">
        <f t="shared" si="48"/>
        <v>Dariuneee</v>
      </c>
      <c r="I567" s="79" t="s">
        <v>1292</v>
      </c>
      <c r="J567" s="80"/>
      <c r="K567" s="78" t="b">
        <v>1</v>
      </c>
      <c r="L567" s="66" t="str">
        <f t="shared" si="2"/>
        <v/>
      </c>
      <c r="M567" s="81" t="str">
        <f>IFERROR(__xludf.DUMMYFUNCTION("IF(W567=1,IFERROR(IMPORTXML(I567, ""//p[@class='status-date']""), ""Not deployed""),"""")"),"")</f>
        <v/>
      </c>
      <c r="N567" s="82"/>
      <c r="O567" s="66"/>
      <c r="P567" s="66"/>
      <c r="Q567" s="66"/>
      <c r="R567" s="83" t="str">
        <f t="shared" si="25"/>
        <v/>
      </c>
      <c r="S567" s="84" t="str">
        <f t="shared" si="4"/>
        <v/>
      </c>
      <c r="T567" s="85"/>
      <c r="U567" s="82">
        <f t="shared" si="5"/>
        <v>0</v>
      </c>
      <c r="V567" s="66">
        <f t="shared" si="6"/>
        <v>0</v>
      </c>
      <c r="W567" s="81">
        <f t="shared" si="7"/>
        <v>0</v>
      </c>
      <c r="X567" s="82" t="str">
        <f t="shared" si="45"/>
        <v>Dariuneee</v>
      </c>
      <c r="Y567" s="86" t="str">
        <f t="shared" si="46"/>
        <v>https://www.munzee.com/m/Dariuneee/8303/</v>
      </c>
    </row>
    <row r="568" hidden="1" outlineLevel="1">
      <c r="A568" s="76" t="s">
        <v>1293</v>
      </c>
      <c r="B568" s="77">
        <v>57.0</v>
      </c>
      <c r="C568" s="77">
        <v>23.0</v>
      </c>
      <c r="D568" s="64">
        <v>52.114392</v>
      </c>
      <c r="E568" s="64">
        <v>5.38586</v>
      </c>
      <c r="F568" s="78" t="s">
        <v>247</v>
      </c>
      <c r="G568" s="78" t="s">
        <v>248</v>
      </c>
      <c r="H568" s="66" t="str">
        <f t="shared" si="48"/>
        <v>FRH</v>
      </c>
      <c r="I568" s="79" t="s">
        <v>1294</v>
      </c>
      <c r="J568" s="80"/>
      <c r="K568" s="78" t="b">
        <v>1</v>
      </c>
      <c r="L568" s="66" t="str">
        <f t="shared" si="2"/>
        <v/>
      </c>
      <c r="M568" s="81" t="str">
        <f>IFERROR(__xludf.DUMMYFUNCTION("IF(W568=1,IFERROR(IMPORTXML(I568, ""//p[@class='status-date']""), ""Not deployed""),"""")"),"")</f>
        <v/>
      </c>
      <c r="N568" s="82"/>
      <c r="O568" s="66"/>
      <c r="P568" s="66"/>
      <c r="Q568" s="66"/>
      <c r="R568" s="83" t="str">
        <f t="shared" si="25"/>
        <v/>
      </c>
      <c r="S568" s="84" t="str">
        <f t="shared" si="4"/>
        <v/>
      </c>
      <c r="T568" s="85"/>
      <c r="U568" s="82">
        <f t="shared" si="5"/>
        <v>0</v>
      </c>
      <c r="V568" s="66">
        <f t="shared" si="6"/>
        <v>0</v>
      </c>
      <c r="W568" s="81">
        <f t="shared" si="7"/>
        <v>0</v>
      </c>
      <c r="X568" s="82" t="str">
        <f t="shared" si="45"/>
        <v>FRH</v>
      </c>
      <c r="Y568" s="86" t="str">
        <f t="shared" si="46"/>
        <v>https://www.munzee.com/m/FRH/6980/</v>
      </c>
    </row>
    <row r="569" hidden="1" outlineLevel="1">
      <c r="A569" s="76" t="s">
        <v>1295</v>
      </c>
      <c r="B569" s="77">
        <v>58.0</v>
      </c>
      <c r="C569" s="77">
        <v>8.0</v>
      </c>
      <c r="D569" s="64">
        <v>52.114249</v>
      </c>
      <c r="E569" s="64">
        <v>5.382349</v>
      </c>
      <c r="F569" s="78" t="s">
        <v>132</v>
      </c>
      <c r="G569" s="78" t="s">
        <v>133</v>
      </c>
      <c r="H569" s="78" t="str">
        <f>IF(X569=" ",X569,'Flamingo @ DenTreek'!H567)</f>
        <v>Wawie</v>
      </c>
      <c r="I569" s="79" t="s">
        <v>1296</v>
      </c>
      <c r="J569" s="88"/>
      <c r="K569" s="78" t="b">
        <v>1</v>
      </c>
      <c r="L569" s="66" t="str">
        <f t="shared" si="2"/>
        <v/>
      </c>
      <c r="M569" s="81" t="str">
        <f>IFERROR(__xludf.DUMMYFUNCTION("IF(W569=1,IFERROR(IMPORTXML(I569, ""//p[@class='status-date']""), ""Not deployed""),"""")"),"")</f>
        <v/>
      </c>
      <c r="N569" s="82"/>
      <c r="O569" s="66"/>
      <c r="P569" s="66"/>
      <c r="Q569" s="66"/>
      <c r="R569" s="83" t="str">
        <f t="shared" si="25"/>
        <v/>
      </c>
      <c r="S569" s="84" t="str">
        <f t="shared" si="4"/>
        <v/>
      </c>
      <c r="T569" s="85"/>
      <c r="U569" s="82">
        <f t="shared" si="5"/>
        <v>0</v>
      </c>
      <c r="V569" s="66">
        <f t="shared" si="6"/>
        <v>0</v>
      </c>
      <c r="W569" s="81">
        <f t="shared" si="7"/>
        <v>0</v>
      </c>
      <c r="X569" s="82" t="str">
        <f t="shared" si="45"/>
        <v>Wawie</v>
      </c>
      <c r="Y569" s="86" t="str">
        <f t="shared" si="46"/>
        <v>https://www.munzee.com/m/Wawie/978/</v>
      </c>
    </row>
    <row r="570" hidden="1" outlineLevel="1">
      <c r="A570" s="76" t="s">
        <v>1297</v>
      </c>
      <c r="B570" s="77">
        <v>58.0</v>
      </c>
      <c r="C570" s="77">
        <v>9.0</v>
      </c>
      <c r="D570" s="64">
        <v>52.114249</v>
      </c>
      <c r="E570" s="64">
        <v>5.382583</v>
      </c>
      <c r="F570" s="78" t="s">
        <v>132</v>
      </c>
      <c r="G570" s="78" t="s">
        <v>133</v>
      </c>
      <c r="H570" s="66" t="str">
        <f>IF(ISTEXT(X570),X570,"")</f>
        <v>Sivontim</v>
      </c>
      <c r="I570" s="79" t="s">
        <v>1298</v>
      </c>
      <c r="J570" s="80"/>
      <c r="K570" s="78" t="b">
        <v>1</v>
      </c>
      <c r="L570" s="66" t="str">
        <f t="shared" si="2"/>
        <v/>
      </c>
      <c r="M570" s="81" t="str">
        <f>IFERROR(__xludf.DUMMYFUNCTION("IF(W570=1,IFERROR(IMPORTXML(I570, ""//p[@class='status-date']""), ""Not deployed""),"""")"),"")</f>
        <v/>
      </c>
      <c r="N570" s="82"/>
      <c r="O570" s="66"/>
      <c r="P570" s="66"/>
      <c r="Q570" s="66"/>
      <c r="R570" s="83" t="str">
        <f t="shared" si="25"/>
        <v/>
      </c>
      <c r="S570" s="84" t="str">
        <f t="shared" si="4"/>
        <v/>
      </c>
      <c r="T570" s="85"/>
      <c r="U570" s="82">
        <f t="shared" si="5"/>
        <v>0</v>
      </c>
      <c r="V570" s="66">
        <f t="shared" si="6"/>
        <v>0</v>
      </c>
      <c r="W570" s="81">
        <f t="shared" si="7"/>
        <v>0</v>
      </c>
      <c r="X570" s="82" t="str">
        <f t="shared" si="45"/>
        <v>Sivontim</v>
      </c>
      <c r="Y570" s="86" t="str">
        <f t="shared" si="46"/>
        <v>https://www.munzee.com/m/Sivontim/15956/</v>
      </c>
    </row>
    <row r="571" hidden="1" outlineLevel="1">
      <c r="A571" s="76" t="s">
        <v>1299</v>
      </c>
      <c r="B571" s="77">
        <v>58.0</v>
      </c>
      <c r="C571" s="77">
        <v>10.0</v>
      </c>
      <c r="D571" s="64">
        <v>52.114249</v>
      </c>
      <c r="E571" s="64">
        <v>5.382817</v>
      </c>
      <c r="F571" s="78" t="s">
        <v>132</v>
      </c>
      <c r="G571" s="78" t="s">
        <v>133</v>
      </c>
      <c r="H571" s="78" t="s">
        <v>644</v>
      </c>
      <c r="I571" s="79" t="s">
        <v>1300</v>
      </c>
      <c r="J571" s="80"/>
      <c r="K571" s="78" t="b">
        <v>1</v>
      </c>
      <c r="L571" s="66" t="str">
        <f t="shared" si="2"/>
        <v/>
      </c>
      <c r="M571" s="81" t="str">
        <f>IFERROR(__xludf.DUMMYFUNCTION("IF(W571=1,IFERROR(IMPORTXML(I571, ""//p[@class='status-date']""), ""Not deployed""),"""")"),"")</f>
        <v/>
      </c>
      <c r="N571" s="82"/>
      <c r="O571" s="66"/>
      <c r="P571" s="66"/>
      <c r="Q571" s="66"/>
      <c r="R571" s="83" t="str">
        <f t="shared" si="25"/>
        <v/>
      </c>
      <c r="S571" s="84" t="str">
        <f t="shared" si="4"/>
        <v/>
      </c>
      <c r="T571" s="85"/>
      <c r="U571" s="82">
        <f t="shared" si="5"/>
        <v>0</v>
      </c>
      <c r="V571" s="66">
        <f t="shared" si="6"/>
        <v>0</v>
      </c>
      <c r="W571" s="81">
        <f t="shared" si="7"/>
        <v>0</v>
      </c>
      <c r="X571" s="82" t="str">
        <f t="shared" si="45"/>
        <v>Andrew81</v>
      </c>
      <c r="Y571" s="86" t="str">
        <f t="shared" si="46"/>
        <v>https://www.munzee.com/m/Andrew81/1664/</v>
      </c>
    </row>
    <row r="572" hidden="1" outlineLevel="1">
      <c r="A572" s="76" t="s">
        <v>1301</v>
      </c>
      <c r="B572" s="77">
        <v>58.0</v>
      </c>
      <c r="C572" s="77">
        <v>11.0</v>
      </c>
      <c r="D572" s="64">
        <v>52.114249</v>
      </c>
      <c r="E572" s="64">
        <v>5.383051</v>
      </c>
      <c r="F572" s="78" t="s">
        <v>132</v>
      </c>
      <c r="G572" s="78" t="s">
        <v>133</v>
      </c>
      <c r="H572" s="78" t="str">
        <f>IF(X572=" ",X572,'Flamingo @ DenTreek'!H570)</f>
        <v>Wawie</v>
      </c>
      <c r="I572" s="79" t="s">
        <v>1302</v>
      </c>
      <c r="J572" s="88"/>
      <c r="K572" s="78" t="b">
        <v>1</v>
      </c>
      <c r="L572" s="66" t="str">
        <f t="shared" si="2"/>
        <v/>
      </c>
      <c r="M572" s="81" t="str">
        <f>IFERROR(__xludf.DUMMYFUNCTION("IF(W572=1,IFERROR(IMPORTXML(I572, ""//p[@class='status-date']""), ""Not deployed""),"""")"),"")</f>
        <v/>
      </c>
      <c r="N572" s="82"/>
      <c r="O572" s="66"/>
      <c r="P572" s="66"/>
      <c r="Q572" s="66"/>
      <c r="R572" s="83" t="str">
        <f t="shared" si="25"/>
        <v/>
      </c>
      <c r="S572" s="84" t="str">
        <f t="shared" si="4"/>
        <v/>
      </c>
      <c r="T572" s="85"/>
      <c r="U572" s="82">
        <f t="shared" si="5"/>
        <v>0</v>
      </c>
      <c r="V572" s="66">
        <f t="shared" si="6"/>
        <v>0</v>
      </c>
      <c r="W572" s="81">
        <f t="shared" si="7"/>
        <v>0</v>
      </c>
      <c r="X572" s="82" t="str">
        <f t="shared" si="45"/>
        <v>Wawie</v>
      </c>
      <c r="Y572" s="86" t="str">
        <f t="shared" si="46"/>
        <v>https://www.munzee.com/m/Wawie/975/</v>
      </c>
    </row>
    <row r="573" hidden="1" outlineLevel="1">
      <c r="A573" s="76" t="s">
        <v>1303</v>
      </c>
      <c r="B573" s="77">
        <v>58.0</v>
      </c>
      <c r="C573" s="77">
        <v>22.0</v>
      </c>
      <c r="D573" s="64">
        <v>52.114249</v>
      </c>
      <c r="E573" s="64">
        <v>5.385626</v>
      </c>
      <c r="F573" s="78" t="s">
        <v>132</v>
      </c>
      <c r="G573" s="78" t="s">
        <v>133</v>
      </c>
      <c r="H573" s="78" t="str">
        <f>IF(X573=" ",X573,'Flamingo @ DenTreek'!H571)</f>
        <v>Wawie</v>
      </c>
      <c r="I573" s="79" t="s">
        <v>1304</v>
      </c>
      <c r="J573" s="88"/>
      <c r="K573" s="78" t="b">
        <v>1</v>
      </c>
      <c r="L573" s="66" t="str">
        <f t="shared" si="2"/>
        <v/>
      </c>
      <c r="M573" s="81" t="str">
        <f>IFERROR(__xludf.DUMMYFUNCTION("IF(W573=1,IFERROR(IMPORTXML(I573, ""//p[@class='status-date']""), ""Not deployed""),"""")"),"")</f>
        <v/>
      </c>
      <c r="N573" s="82"/>
      <c r="O573" s="66"/>
      <c r="P573" s="66"/>
      <c r="Q573" s="66"/>
      <c r="R573" s="83" t="str">
        <f t="shared" si="25"/>
        <v/>
      </c>
      <c r="S573" s="84" t="str">
        <f t="shared" si="4"/>
        <v/>
      </c>
      <c r="T573" s="85"/>
      <c r="U573" s="82">
        <f t="shared" si="5"/>
        <v>0</v>
      </c>
      <c r="V573" s="66">
        <f t="shared" si="6"/>
        <v>0</v>
      </c>
      <c r="W573" s="81">
        <f t="shared" si="7"/>
        <v>0</v>
      </c>
      <c r="X573" s="82" t="str">
        <f t="shared" si="45"/>
        <v>Wawie</v>
      </c>
      <c r="Y573" s="86" t="str">
        <f t="shared" si="46"/>
        <v>https://www.munzee.com/m/Wawie/974/</v>
      </c>
    </row>
    <row r="574" hidden="1" outlineLevel="1">
      <c r="A574" s="76" t="s">
        <v>1305</v>
      </c>
      <c r="B574" s="77">
        <v>58.0</v>
      </c>
      <c r="C574" s="77">
        <v>23.0</v>
      </c>
      <c r="D574" s="64">
        <v>52.114249</v>
      </c>
      <c r="E574" s="64">
        <v>5.38586</v>
      </c>
      <c r="F574" s="78" t="s">
        <v>132</v>
      </c>
      <c r="G574" s="78" t="s">
        <v>133</v>
      </c>
      <c r="H574" s="78" t="s">
        <v>237</v>
      </c>
      <c r="I574" s="79" t="s">
        <v>1306</v>
      </c>
      <c r="J574" s="80"/>
      <c r="K574" s="78" t="b">
        <v>1</v>
      </c>
      <c r="L574" s="66" t="str">
        <f t="shared" si="2"/>
        <v/>
      </c>
      <c r="M574" s="81" t="str">
        <f>IFERROR(__xludf.DUMMYFUNCTION("IF(W574=1,IFERROR(IMPORTXML(I574, ""//p[@class='status-date']""), ""Not deployed""),"""")"),"")</f>
        <v/>
      </c>
      <c r="N574" s="82"/>
      <c r="O574" s="66"/>
      <c r="P574" s="66"/>
      <c r="Q574" s="66"/>
      <c r="R574" s="83" t="str">
        <f t="shared" si="25"/>
        <v/>
      </c>
      <c r="S574" s="84" t="str">
        <f t="shared" si="4"/>
        <v/>
      </c>
      <c r="T574" s="85"/>
      <c r="U574" s="82">
        <f t="shared" si="5"/>
        <v>0</v>
      </c>
      <c r="V574" s="66">
        <f t="shared" si="6"/>
        <v>0</v>
      </c>
      <c r="W574" s="81">
        <f t="shared" si="7"/>
        <v>0</v>
      </c>
      <c r="X574" s="82" t="str">
        <f t="shared" si="45"/>
        <v>Helefant</v>
      </c>
      <c r="Y574" s="86" t="str">
        <f t="shared" si="46"/>
        <v>https://www.munzee.com/m/Helefant/5537/</v>
      </c>
    </row>
    <row r="575" hidden="1" outlineLevel="1">
      <c r="A575" s="76" t="s">
        <v>1307</v>
      </c>
      <c r="B575" s="77">
        <v>58.0</v>
      </c>
      <c r="C575" s="77">
        <v>24.0</v>
      </c>
      <c r="D575" s="64">
        <v>52.114249</v>
      </c>
      <c r="E575" s="64">
        <v>5.386094</v>
      </c>
      <c r="F575" s="78" t="s">
        <v>132</v>
      </c>
      <c r="G575" s="78" t="s">
        <v>133</v>
      </c>
      <c r="H575" s="78" t="s">
        <v>1308</v>
      </c>
      <c r="I575" s="102" t="s">
        <v>1309</v>
      </c>
      <c r="J575" s="88"/>
      <c r="K575" s="78" t="b">
        <v>1</v>
      </c>
      <c r="L575" s="66" t="str">
        <f t="shared" si="2"/>
        <v/>
      </c>
      <c r="M575" s="81" t="str">
        <f>IFERROR(__xludf.DUMMYFUNCTION("IF(W575=1,IFERROR(IMPORTXML(I575, ""//p[@class='status-date']""), ""Not deployed""),"""")"),"")</f>
        <v/>
      </c>
      <c r="N575" s="82"/>
      <c r="O575" s="66"/>
      <c r="P575" s="66"/>
      <c r="Q575" s="66"/>
      <c r="R575" s="83" t="str">
        <f t="shared" si="25"/>
        <v/>
      </c>
      <c r="S575" s="84" t="str">
        <f t="shared" si="4"/>
        <v/>
      </c>
      <c r="T575" s="85"/>
      <c r="U575" s="82">
        <f t="shared" si="5"/>
        <v>0</v>
      </c>
      <c r="V575" s="66">
        <f t="shared" si="6"/>
        <v>0</v>
      </c>
      <c r="W575" s="81">
        <f t="shared" si="7"/>
        <v>0</v>
      </c>
      <c r="X575" s="82" t="str">
        <f t="shared" si="45"/>
        <v>purplecourgette</v>
      </c>
      <c r="Y575" s="86" t="str">
        <f t="shared" si="46"/>
        <v>https://www.munzee.com/m/purplecourgette/8850/</v>
      </c>
    </row>
    <row r="576" hidden="1" outlineLevel="1">
      <c r="A576" s="108" t="s">
        <v>1310</v>
      </c>
      <c r="B576" s="109">
        <v>58.0</v>
      </c>
      <c r="C576" s="109">
        <v>25.0</v>
      </c>
      <c r="D576" s="110">
        <v>52.114249</v>
      </c>
      <c r="E576" s="110">
        <v>5.386328</v>
      </c>
      <c r="F576" s="111" t="s">
        <v>132</v>
      </c>
      <c r="G576" s="111" t="s">
        <v>133</v>
      </c>
      <c r="H576" s="111" t="str">
        <f>IF(X576=" ",X576,'Flamingo @ DenTreek'!H574)</f>
        <v>Wawie</v>
      </c>
      <c r="I576" s="112" t="s">
        <v>1311</v>
      </c>
      <c r="J576" s="113"/>
      <c r="K576" s="111" t="b">
        <v>1</v>
      </c>
      <c r="L576" s="114" t="str">
        <f t="shared" si="2"/>
        <v/>
      </c>
      <c r="M576" s="115" t="str">
        <f>IFERROR(__xludf.DUMMYFUNCTION("IF(W576=1,IFERROR(IMPORTXML(I576, ""//p[@class='status-date']""), ""Not deployed""),"""")"),"")</f>
        <v/>
      </c>
      <c r="N576" s="116"/>
      <c r="O576" s="114"/>
      <c r="P576" s="114"/>
      <c r="Q576" s="114"/>
      <c r="R576" s="117" t="str">
        <f t="shared" si="25"/>
        <v/>
      </c>
      <c r="S576" s="118" t="str">
        <f t="shared" si="4"/>
        <v/>
      </c>
      <c r="T576" s="119"/>
      <c r="U576" s="116">
        <f t="shared" si="5"/>
        <v>0</v>
      </c>
      <c r="V576" s="114">
        <f t="shared" si="6"/>
        <v>0</v>
      </c>
      <c r="W576" s="115">
        <f t="shared" si="7"/>
        <v>0</v>
      </c>
      <c r="X576" s="116" t="str">
        <f t="shared" si="45"/>
        <v>Wawie</v>
      </c>
      <c r="Y576" s="120" t="str">
        <f t="shared" si="46"/>
        <v>https://www.munzee.com/m/Wawie/966/</v>
      </c>
    </row>
  </sheetData>
  <customSheetViews>
    <customSheetView guid="{4807E705-A39C-4EA5-87D8-AF20AACA2904}" filter="1" showAutoFilter="1">
      <autoFilter ref="$A$8:$Y$576">
        <filterColumn colId="21">
          <filters/>
        </filterColumn>
      </autoFilter>
    </customSheetView>
    <customSheetView guid="{56ACE294-A346-422F-8C9B-8B351CD34908}" filter="1" showAutoFilter="1">
      <autoFilter ref="$F$8:$Y$576">
        <filterColumn colId="7">
          <filters/>
        </filterColumn>
      </autoFilter>
    </customSheetView>
    <customSheetView guid="{C7216524-46C4-4DA0-B997-B4BB3B208DB9}" filter="1" showAutoFilter="1">
      <autoFilter ref="$A$8:$Y$576"/>
    </customSheetView>
    <customSheetView guid="{E8552CA3-3151-41B2-89E7-669327CC043D}" filter="1" showAutoFilter="1">
      <autoFilter ref="$A$8:$Y$576">
        <filterColumn colId="20">
          <filters/>
        </filterColumn>
      </autoFilter>
    </customSheetView>
    <customSheetView guid="{E806979B-E856-4779-9D36-F40272C5DCBC}" filter="1" showAutoFilter="1">
      <autoFilter ref="$A$8:$Y$576">
        <filterColumn colId="22">
          <filters/>
        </filterColumn>
      </autoFilter>
    </customSheetView>
  </customSheetViews>
  <mergeCells count="12">
    <mergeCell ref="D1:H2"/>
    <mergeCell ref="D3:H3"/>
    <mergeCell ref="R1:S3"/>
    <mergeCell ref="R4:S4"/>
    <mergeCell ref="A1:A6"/>
    <mergeCell ref="I1:I6"/>
    <mergeCell ref="L1:M7"/>
    <mergeCell ref="N1:Q1"/>
    <mergeCell ref="U1:W1"/>
    <mergeCell ref="N2:Q2"/>
    <mergeCell ref="F4:F5"/>
    <mergeCell ref="F6:F7"/>
  </mergeCells>
  <conditionalFormatting sqref="H9:H576">
    <cfRule type="containsBlanks" dxfId="0" priority="1">
      <formula>LEN(TRIM(H9))=0</formula>
    </cfRule>
  </conditionalFormatting>
  <conditionalFormatting sqref="A9:I576 K9:K576">
    <cfRule type="expression" dxfId="1" priority="2">
      <formula>IF($K9=TRUE,TRUE,FALSE)</formula>
    </cfRule>
  </conditionalFormatting>
  <conditionalFormatting sqref="H9:I576">
    <cfRule type="expression" dxfId="2" priority="3">
      <formula>IF($W9=1,TRUE,FALSE)</formula>
    </cfRule>
  </conditionalFormatting>
  <conditionalFormatting sqref="H9:H576">
    <cfRule type="expression" dxfId="3" priority="4">
      <formula>IF($V9=1,TRUE,FALSE)</formula>
    </cfRule>
  </conditionalFormatting>
  <conditionalFormatting sqref="H4">
    <cfRule type="cellIs" dxfId="4" priority="5" operator="greaterThan">
      <formula>0</formula>
    </cfRule>
  </conditionalFormatting>
  <conditionalFormatting sqref="K1">
    <cfRule type="expression" dxfId="1" priority="6">
      <formula>IF(K1=SUM(K2:K5),TRUE,FALSE)</formula>
    </cfRule>
  </conditionalFormatting>
  <conditionalFormatting sqref="K1">
    <cfRule type="expression" dxfId="5" priority="7">
      <formula>IF(K1&lt;&gt;SUM(K2:K5),TRUE,FALSE)</formula>
    </cfRule>
  </conditionalFormatting>
  <conditionalFormatting sqref="M9:M576">
    <cfRule type="cellIs" dxfId="6" priority="8" operator="equal">
      <formula>"Deployed "</formula>
    </cfRule>
  </conditionalFormatting>
  <conditionalFormatting sqref="M9:M576">
    <cfRule type="containsText" dxfId="7" priority="9" operator="containsText" text="Undeployed">
      <formula>NOT(ISERROR(SEARCH(("Undeployed"),(M9))))</formula>
    </cfRule>
  </conditionalFormatting>
  <conditionalFormatting sqref="M9:M576">
    <cfRule type="containsText" dxfId="4" priority="10" operator="containsText" text="Not deployed">
      <formula>NOT(ISERROR(SEARCH(("Not deployed"),(M9))))</formula>
    </cfRule>
  </conditionalFormatting>
  <conditionalFormatting sqref="H4:H5 G5">
    <cfRule type="cellIs" dxfId="8" priority="11" operator="greaterThan">
      <formula>0</formula>
    </cfRule>
  </conditionalFormatting>
  <conditionalFormatting sqref="F4:F5">
    <cfRule type="expression" dxfId="9" priority="12">
      <formula>IF(K7=100%,TRUE,FALSE)</formula>
    </cfRule>
  </conditionalFormatting>
  <hyperlinks>
    <hyperlink r:id="rId1" ref="D4"/>
    <hyperlink r:id="rId2" ref="D5"/>
    <hyperlink r:id="rId3" ref="D6"/>
    <hyperlink r:id="rId4" ref="I10"/>
    <hyperlink r:id="rId5" ref="I11"/>
    <hyperlink r:id="rId6" ref="I12"/>
    <hyperlink r:id="rId7" ref="I13"/>
    <hyperlink r:id="rId8" ref="I14"/>
    <hyperlink r:id="rId9" ref="I15"/>
    <hyperlink r:id="rId10" ref="I16"/>
    <hyperlink r:id="rId11" ref="I17"/>
    <hyperlink r:id="rId12" ref="I18"/>
    <hyperlink r:id="rId13" ref="I19"/>
    <hyperlink r:id="rId14" ref="I20"/>
    <hyperlink r:id="rId15" ref="I21"/>
    <hyperlink r:id="rId16" ref="I22"/>
    <hyperlink r:id="rId17" ref="I23"/>
    <hyperlink r:id="rId18" ref="I24"/>
    <hyperlink r:id="rId19" ref="I25"/>
    <hyperlink r:id="rId20" ref="I26"/>
    <hyperlink r:id="rId21" ref="I27"/>
    <hyperlink r:id="rId22" ref="I28"/>
    <hyperlink r:id="rId23" ref="I29"/>
    <hyperlink r:id="rId24" ref="I30"/>
    <hyperlink r:id="rId25" ref="I32"/>
    <hyperlink r:id="rId26" ref="I33"/>
    <hyperlink r:id="rId27" ref="I34"/>
    <hyperlink r:id="rId28" ref="I36"/>
    <hyperlink r:id="rId29" ref="I37"/>
    <hyperlink r:id="rId30" ref="I38"/>
    <hyperlink r:id="rId31" ref="I39"/>
    <hyperlink r:id="rId32" ref="I40"/>
    <hyperlink r:id="rId33" ref="I41"/>
    <hyperlink r:id="rId34" ref="I42"/>
    <hyperlink r:id="rId35" ref="I43"/>
    <hyperlink r:id="rId36" ref="I44"/>
    <hyperlink r:id="rId37" ref="I45"/>
    <hyperlink r:id="rId38" ref="I46"/>
    <hyperlink r:id="rId39" ref="I47"/>
    <hyperlink r:id="rId40" ref="I48"/>
    <hyperlink r:id="rId41" ref="I49"/>
    <hyperlink r:id="rId42" ref="I50"/>
    <hyperlink r:id="rId43" ref="I51"/>
    <hyperlink r:id="rId44" ref="I52"/>
    <hyperlink r:id="rId45" ref="I53"/>
    <hyperlink r:id="rId46" ref="I54"/>
    <hyperlink r:id="rId47" ref="I55"/>
    <hyperlink r:id="rId48" ref="I56"/>
    <hyperlink r:id="rId49" ref="I57"/>
    <hyperlink r:id="rId50" ref="I58"/>
    <hyperlink r:id="rId51" ref="I59"/>
    <hyperlink r:id="rId52" ref="I60"/>
    <hyperlink r:id="rId53" ref="I61"/>
    <hyperlink r:id="rId54" ref="I62"/>
    <hyperlink r:id="rId55" ref="I63"/>
    <hyperlink r:id="rId56" ref="I64"/>
    <hyperlink r:id="rId57" ref="I65"/>
    <hyperlink r:id="rId58" ref="I67"/>
    <hyperlink r:id="rId59" ref="I68"/>
    <hyperlink r:id="rId60" ref="I70"/>
    <hyperlink r:id="rId61" ref="I71"/>
    <hyperlink r:id="rId62" ref="I72"/>
    <hyperlink r:id="rId63" ref="I73"/>
    <hyperlink r:id="rId64" ref="I74"/>
    <hyperlink r:id="rId65" ref="I75"/>
    <hyperlink r:id="rId66" ref="I76"/>
    <hyperlink r:id="rId67" ref="I77"/>
    <hyperlink r:id="rId68" ref="I78"/>
    <hyperlink r:id="rId69" ref="I79"/>
    <hyperlink r:id="rId70" ref="I80"/>
    <hyperlink r:id="rId71" ref="I81"/>
    <hyperlink r:id="rId72" ref="I82"/>
    <hyperlink r:id="rId73" ref="I83"/>
    <hyperlink r:id="rId74" ref="I84"/>
    <hyperlink r:id="rId75" ref="I85"/>
    <hyperlink r:id="rId76" ref="I86"/>
    <hyperlink r:id="rId77" ref="I87"/>
    <hyperlink r:id="rId78" ref="I88"/>
    <hyperlink r:id="rId79" ref="I89"/>
    <hyperlink r:id="rId80" ref="I90"/>
    <hyperlink r:id="rId81" ref="I91"/>
    <hyperlink r:id="rId82" ref="I93"/>
    <hyperlink r:id="rId83" ref="I94"/>
    <hyperlink r:id="rId84" ref="I95"/>
    <hyperlink r:id="rId85" ref="I96"/>
    <hyperlink r:id="rId86" ref="I97"/>
    <hyperlink r:id="rId87" ref="I98"/>
    <hyperlink r:id="rId88" ref="I99"/>
    <hyperlink r:id="rId89" ref="I100"/>
    <hyperlink r:id="rId90" ref="I101"/>
    <hyperlink r:id="rId91" ref="I102"/>
    <hyperlink r:id="rId92" ref="I103"/>
    <hyperlink r:id="rId93" ref="I104"/>
    <hyperlink r:id="rId94" ref="I105"/>
    <hyperlink r:id="rId95" ref="I106"/>
    <hyperlink r:id="rId96" ref="I107"/>
    <hyperlink r:id="rId97" ref="I108"/>
    <hyperlink r:id="rId98" ref="I109"/>
    <hyperlink r:id="rId99" ref="I110"/>
    <hyperlink r:id="rId100" ref="I111"/>
    <hyperlink r:id="rId101" ref="I112"/>
    <hyperlink r:id="rId102" ref="I113"/>
    <hyperlink r:id="rId103" ref="I114"/>
    <hyperlink r:id="rId104" ref="I115"/>
    <hyperlink r:id="rId105" ref="I116"/>
    <hyperlink r:id="rId106" ref="I117"/>
    <hyperlink r:id="rId107" ref="I118"/>
    <hyperlink r:id="rId108" ref="I119"/>
    <hyperlink r:id="rId109" ref="I120"/>
    <hyperlink r:id="rId110" ref="I121"/>
    <hyperlink r:id="rId111" ref="I122"/>
    <hyperlink r:id="rId112" ref="I123"/>
    <hyperlink r:id="rId113" ref="I124"/>
    <hyperlink r:id="rId114" ref="I125"/>
    <hyperlink r:id="rId115" ref="I127"/>
    <hyperlink r:id="rId116" ref="I128"/>
    <hyperlink r:id="rId117" ref="I129"/>
    <hyperlink r:id="rId118" ref="I130"/>
    <hyperlink r:id="rId119" ref="I131"/>
    <hyperlink r:id="rId120" ref="I132"/>
    <hyperlink r:id="rId121" ref="I133"/>
    <hyperlink r:id="rId122" ref="I134"/>
    <hyperlink r:id="rId123" ref="I135"/>
    <hyperlink r:id="rId124" ref="I136"/>
    <hyperlink r:id="rId125" ref="I137"/>
    <hyperlink r:id="rId126" ref="I138"/>
    <hyperlink r:id="rId127" ref="I139"/>
    <hyperlink r:id="rId128" ref="I140"/>
    <hyperlink r:id="rId129" ref="I141"/>
    <hyperlink r:id="rId130" ref="I142"/>
    <hyperlink r:id="rId131" ref="I143"/>
    <hyperlink r:id="rId132" ref="I144"/>
    <hyperlink r:id="rId133" ref="I145"/>
    <hyperlink r:id="rId134" ref="I146"/>
    <hyperlink r:id="rId135" ref="I147"/>
    <hyperlink r:id="rId136" ref="I149"/>
    <hyperlink r:id="rId137" ref="I150"/>
    <hyperlink r:id="rId138" ref="I153"/>
    <hyperlink r:id="rId139" ref="I154"/>
    <hyperlink r:id="rId140" ref="I157"/>
    <hyperlink r:id="rId141" ref="I159"/>
    <hyperlink r:id="rId142" ref="I160"/>
    <hyperlink r:id="rId143" ref="I162"/>
    <hyperlink r:id="rId144" ref="I163"/>
    <hyperlink r:id="rId145" ref="I164"/>
    <hyperlink r:id="rId146" ref="I165"/>
    <hyperlink r:id="rId147" ref="I166"/>
    <hyperlink r:id="rId148" ref="I167"/>
    <hyperlink r:id="rId149" ref="I168"/>
    <hyperlink r:id="rId150" ref="I169"/>
    <hyperlink r:id="rId151" ref="I170"/>
    <hyperlink r:id="rId152" ref="I171"/>
    <hyperlink r:id="rId153" ref="I172"/>
    <hyperlink r:id="rId154" ref="I173"/>
    <hyperlink r:id="rId155" ref="I174"/>
    <hyperlink r:id="rId156" ref="I175"/>
    <hyperlink r:id="rId157" ref="I176"/>
    <hyperlink r:id="rId158" ref="I177"/>
    <hyperlink r:id="rId159" ref="I178"/>
    <hyperlink r:id="rId160" ref="I179"/>
    <hyperlink r:id="rId161" ref="I180"/>
    <hyperlink r:id="rId162" ref="I181"/>
    <hyperlink r:id="rId163" ref="I182"/>
    <hyperlink r:id="rId164" ref="I183"/>
    <hyperlink r:id="rId165" ref="I184"/>
    <hyperlink r:id="rId166" ref="I185"/>
    <hyperlink r:id="rId167" ref="I186"/>
    <hyperlink r:id="rId168" ref="I187"/>
    <hyperlink r:id="rId169" ref="I188"/>
    <hyperlink r:id="rId170" ref="I189"/>
    <hyperlink r:id="rId171" ref="I190"/>
    <hyperlink r:id="rId172" ref="I191"/>
    <hyperlink r:id="rId173" ref="I192"/>
    <hyperlink r:id="rId174" ref="I193"/>
    <hyperlink r:id="rId175" ref="I194"/>
    <hyperlink r:id="rId176" ref="I195"/>
    <hyperlink r:id="rId177" ref="I196"/>
    <hyperlink r:id="rId178" ref="I197"/>
    <hyperlink r:id="rId179" ref="I198"/>
    <hyperlink r:id="rId180" ref="I199"/>
    <hyperlink r:id="rId181" ref="I202"/>
    <hyperlink r:id="rId182" ref="I204"/>
    <hyperlink r:id="rId183" ref="I205"/>
    <hyperlink r:id="rId184" ref="I207"/>
    <hyperlink r:id="rId185" ref="I208"/>
    <hyperlink r:id="rId186" ref="I210"/>
    <hyperlink r:id="rId187" ref="I211"/>
    <hyperlink r:id="rId188" ref="I213"/>
    <hyperlink r:id="rId189" ref="I214"/>
    <hyperlink r:id="rId190" ref="I216"/>
    <hyperlink r:id="rId191" ref="I217"/>
    <hyperlink r:id="rId192" ref="I219"/>
    <hyperlink r:id="rId193" ref="I220"/>
    <hyperlink r:id="rId194" ref="I221"/>
    <hyperlink r:id="rId195" ref="I222"/>
    <hyperlink r:id="rId196" ref="I223"/>
    <hyperlink r:id="rId197" ref="I224"/>
    <hyperlink r:id="rId198" ref="I225"/>
    <hyperlink r:id="rId199" ref="I226"/>
    <hyperlink r:id="rId200" ref="I227"/>
    <hyperlink r:id="rId201" ref="I228"/>
    <hyperlink r:id="rId202" ref="I229"/>
    <hyperlink r:id="rId203" ref="I230"/>
    <hyperlink r:id="rId204" ref="I231"/>
    <hyperlink r:id="rId205" ref="I232"/>
    <hyperlink r:id="rId206" ref="I233"/>
    <hyperlink r:id="rId207" ref="I234"/>
    <hyperlink r:id="rId208" ref="I235"/>
    <hyperlink r:id="rId209" ref="I236"/>
    <hyperlink r:id="rId210" ref="I237"/>
    <hyperlink r:id="rId211" ref="I238"/>
    <hyperlink r:id="rId212" ref="I239"/>
    <hyperlink r:id="rId213" ref="I240"/>
    <hyperlink r:id="rId214" ref="I241"/>
    <hyperlink r:id="rId215" ref="I242"/>
    <hyperlink r:id="rId216" ref="I243"/>
    <hyperlink r:id="rId217" ref="I244"/>
    <hyperlink r:id="rId218" ref="I245"/>
    <hyperlink r:id="rId219" ref="I246"/>
    <hyperlink r:id="rId220" ref="I247"/>
    <hyperlink r:id="rId221" ref="I248"/>
    <hyperlink r:id="rId222" ref="I249"/>
    <hyperlink r:id="rId223" ref="I250"/>
    <hyperlink r:id="rId224" ref="I251"/>
    <hyperlink r:id="rId225" ref="I252"/>
    <hyperlink r:id="rId226" ref="I253"/>
    <hyperlink r:id="rId227" ref="I254"/>
    <hyperlink r:id="rId228" ref="I255"/>
    <hyperlink r:id="rId229" ref="I256"/>
    <hyperlink r:id="rId230" ref="I257"/>
    <hyperlink r:id="rId231" ref="I258"/>
    <hyperlink r:id="rId232" ref="I259"/>
    <hyperlink r:id="rId233" ref="I260"/>
    <hyperlink r:id="rId234" ref="I261"/>
    <hyperlink r:id="rId235" ref="I262"/>
    <hyperlink r:id="rId236" ref="I263"/>
    <hyperlink r:id="rId237" ref="I264"/>
    <hyperlink r:id="rId238" ref="I265"/>
    <hyperlink r:id="rId239" ref="I266"/>
    <hyperlink r:id="rId240" ref="I267"/>
    <hyperlink r:id="rId241" ref="I268"/>
    <hyperlink r:id="rId242" ref="I269"/>
    <hyperlink r:id="rId243" ref="I270"/>
    <hyperlink r:id="rId244" ref="I271"/>
    <hyperlink r:id="rId245" ref="I272"/>
    <hyperlink r:id="rId246" ref="I275"/>
    <hyperlink r:id="rId247" ref="I277"/>
    <hyperlink r:id="rId248" ref="I278"/>
    <hyperlink r:id="rId249" ref="I280"/>
    <hyperlink r:id="rId250" ref="I281"/>
    <hyperlink r:id="rId251" ref="I283"/>
    <hyperlink r:id="rId252" ref="I284"/>
    <hyperlink r:id="rId253" ref="I286"/>
    <hyperlink r:id="rId254" ref="I287"/>
    <hyperlink r:id="rId255" ref="I289"/>
    <hyperlink r:id="rId256" ref="I290"/>
    <hyperlink r:id="rId257" ref="I292"/>
    <hyperlink r:id="rId258" ref="I293"/>
    <hyperlink r:id="rId259" ref="I295"/>
    <hyperlink r:id="rId260" ref="I296"/>
    <hyperlink r:id="rId261" ref="I298"/>
    <hyperlink r:id="rId262" ref="I299"/>
    <hyperlink r:id="rId263" ref="I300"/>
    <hyperlink r:id="rId264" ref="I301"/>
    <hyperlink r:id="rId265" ref="I302"/>
    <hyperlink r:id="rId266" ref="I303"/>
    <hyperlink r:id="rId267" ref="I304"/>
    <hyperlink r:id="rId268" ref="I305"/>
    <hyperlink r:id="rId269" ref="I306"/>
    <hyperlink r:id="rId270" ref="I307"/>
    <hyperlink r:id="rId271" ref="I308"/>
    <hyperlink r:id="rId272" ref="I309"/>
    <hyperlink r:id="rId273" ref="I310"/>
    <hyperlink r:id="rId274" ref="I311"/>
    <hyperlink r:id="rId275" ref="I312"/>
    <hyperlink r:id="rId276" ref="I313"/>
    <hyperlink r:id="rId277" ref="I314"/>
    <hyperlink r:id="rId278" ref="I315"/>
    <hyperlink r:id="rId279" ref="I316"/>
    <hyperlink r:id="rId280" ref="I317"/>
    <hyperlink r:id="rId281" ref="I318"/>
    <hyperlink r:id="rId282" ref="I319"/>
    <hyperlink r:id="rId283" ref="I320"/>
    <hyperlink r:id="rId284" ref="I321"/>
    <hyperlink r:id="rId285" ref="I322"/>
    <hyperlink r:id="rId286" ref="I323"/>
    <hyperlink r:id="rId287" ref="I324"/>
    <hyperlink r:id="rId288" ref="I325"/>
    <hyperlink r:id="rId289" ref="I326"/>
    <hyperlink r:id="rId290" ref="I327"/>
    <hyperlink r:id="rId291" ref="I328"/>
    <hyperlink r:id="rId292" ref="I329"/>
    <hyperlink r:id="rId293" ref="I330"/>
    <hyperlink r:id="rId294" ref="I331"/>
    <hyperlink r:id="rId295" ref="I332"/>
    <hyperlink r:id="rId296" ref="I333"/>
    <hyperlink r:id="rId297" ref="I334"/>
    <hyperlink r:id="rId298" ref="I335"/>
    <hyperlink r:id="rId299" ref="I336"/>
    <hyperlink r:id="rId300" ref="I337"/>
    <hyperlink r:id="rId301" ref="I338"/>
    <hyperlink r:id="rId302" ref="I339"/>
    <hyperlink r:id="rId303" ref="I340"/>
    <hyperlink r:id="rId304" ref="I341"/>
    <hyperlink r:id="rId305" ref="I342"/>
    <hyperlink r:id="rId306" ref="I343"/>
    <hyperlink r:id="rId307" ref="I344"/>
    <hyperlink r:id="rId308" ref="I345"/>
    <hyperlink r:id="rId309" ref="I346"/>
    <hyperlink r:id="rId310" ref="I347"/>
    <hyperlink r:id="rId311" ref="I348"/>
    <hyperlink r:id="rId312" ref="I349"/>
    <hyperlink r:id="rId313" ref="I350"/>
    <hyperlink r:id="rId314" ref="I351"/>
    <hyperlink r:id="rId315" ref="I352"/>
    <hyperlink r:id="rId316" ref="I353"/>
    <hyperlink r:id="rId317" ref="I354"/>
    <hyperlink r:id="rId318" ref="I355"/>
    <hyperlink r:id="rId319" ref="I356"/>
    <hyperlink r:id="rId320" ref="I357"/>
    <hyperlink r:id="rId321" ref="I358"/>
    <hyperlink r:id="rId322" ref="I359"/>
    <hyperlink r:id="rId323" ref="I360"/>
    <hyperlink r:id="rId324" ref="I361"/>
    <hyperlink r:id="rId325" ref="I362"/>
    <hyperlink r:id="rId326" ref="I363"/>
    <hyperlink r:id="rId327" ref="I364"/>
    <hyperlink r:id="rId328" ref="I365"/>
    <hyperlink r:id="rId329" ref="I366"/>
    <hyperlink r:id="rId330" ref="I367"/>
    <hyperlink r:id="rId331" ref="I368"/>
    <hyperlink r:id="rId332" ref="I369"/>
    <hyperlink r:id="rId333" ref="I370"/>
    <hyperlink r:id="rId334" ref="I371"/>
    <hyperlink r:id="rId335" ref="I372"/>
    <hyperlink r:id="rId336" ref="I373"/>
    <hyperlink r:id="rId337" ref="I374"/>
    <hyperlink r:id="rId338" ref="I375"/>
    <hyperlink r:id="rId339" ref="I376"/>
    <hyperlink r:id="rId340" ref="I377"/>
    <hyperlink r:id="rId341" ref="I378"/>
    <hyperlink r:id="rId342" ref="I379"/>
    <hyperlink r:id="rId343" ref="I380"/>
    <hyperlink r:id="rId344" ref="I381"/>
    <hyperlink r:id="rId345" ref="I382"/>
    <hyperlink r:id="rId346" ref="I383"/>
    <hyperlink r:id="rId347" ref="I384"/>
    <hyperlink r:id="rId348" ref="I385"/>
    <hyperlink r:id="rId349" ref="I386"/>
    <hyperlink r:id="rId350" ref="I387"/>
    <hyperlink r:id="rId351" ref="I388"/>
    <hyperlink r:id="rId352" ref="I389"/>
    <hyperlink r:id="rId353" ref="I390"/>
    <hyperlink r:id="rId354" ref="I391"/>
    <hyperlink r:id="rId355" ref="I392"/>
    <hyperlink r:id="rId356" ref="I393"/>
    <hyperlink r:id="rId357" ref="I394"/>
    <hyperlink r:id="rId358" ref="I395"/>
    <hyperlink r:id="rId359" ref="I396"/>
    <hyperlink r:id="rId360" ref="I397"/>
    <hyperlink r:id="rId361" ref="I398"/>
    <hyperlink r:id="rId362" ref="I399"/>
    <hyperlink r:id="rId363" ref="I400"/>
    <hyperlink r:id="rId364" ref="I401"/>
    <hyperlink r:id="rId365" ref="I402"/>
    <hyperlink r:id="rId366" ref="I403"/>
    <hyperlink r:id="rId367" ref="I404"/>
    <hyperlink r:id="rId368" ref="I405"/>
    <hyperlink r:id="rId369" ref="I406"/>
    <hyperlink r:id="rId370" ref="I407"/>
    <hyperlink r:id="rId371" ref="I408"/>
    <hyperlink r:id="rId372" ref="I409"/>
    <hyperlink r:id="rId373" ref="I410"/>
    <hyperlink r:id="rId374" ref="I411"/>
    <hyperlink r:id="rId375" ref="I412"/>
    <hyperlink r:id="rId376" ref="I413"/>
    <hyperlink r:id="rId377" ref="I414"/>
    <hyperlink r:id="rId378" ref="I415"/>
    <hyperlink r:id="rId379" ref="I416"/>
    <hyperlink r:id="rId380" ref="I417"/>
    <hyperlink r:id="rId381" ref="I418"/>
    <hyperlink r:id="rId382" ref="I419"/>
    <hyperlink r:id="rId383" ref="I420"/>
    <hyperlink r:id="rId384" ref="I421"/>
    <hyperlink r:id="rId385" ref="I422"/>
    <hyperlink r:id="rId386" ref="I423"/>
    <hyperlink r:id="rId387" ref="I424"/>
    <hyperlink r:id="rId388" ref="I425"/>
    <hyperlink r:id="rId389" ref="I426"/>
    <hyperlink r:id="rId390" ref="I427"/>
    <hyperlink r:id="rId391" ref="I428"/>
    <hyperlink r:id="rId392" ref="I429"/>
    <hyperlink r:id="rId393" ref="I430"/>
    <hyperlink r:id="rId394" ref="I431"/>
    <hyperlink r:id="rId395" ref="I432"/>
    <hyperlink r:id="rId396" ref="I433"/>
    <hyperlink r:id="rId397" ref="I434"/>
    <hyperlink r:id="rId398" ref="I435"/>
    <hyperlink r:id="rId399" ref="I436"/>
    <hyperlink r:id="rId400" ref="I437"/>
    <hyperlink r:id="rId401" ref="I438"/>
    <hyperlink r:id="rId402" ref="I448"/>
    <hyperlink r:id="rId403" ref="I449"/>
    <hyperlink r:id="rId404" ref="I450"/>
    <hyperlink r:id="rId405" ref="I451"/>
    <hyperlink r:id="rId406" ref="I452"/>
    <hyperlink r:id="rId407" ref="I453"/>
    <hyperlink r:id="rId408" ref="I454"/>
    <hyperlink r:id="rId409" ref="I455"/>
    <hyperlink r:id="rId410" ref="I456"/>
    <hyperlink r:id="rId411" ref="I457"/>
    <hyperlink r:id="rId412" ref="I458"/>
    <hyperlink r:id="rId413" ref="I459"/>
    <hyperlink r:id="rId414" ref="I460"/>
    <hyperlink r:id="rId415" ref="I461"/>
    <hyperlink r:id="rId416" ref="I465"/>
    <hyperlink r:id="rId417" ref="I466"/>
    <hyperlink r:id="rId418" ref="I467"/>
    <hyperlink r:id="rId419" ref="I468"/>
    <hyperlink r:id="rId420" ref="I469"/>
    <hyperlink r:id="rId421" ref="I470"/>
    <hyperlink r:id="rId422" ref="I471"/>
    <hyperlink r:id="rId423" ref="I475"/>
    <hyperlink r:id="rId424" ref="I476"/>
    <hyperlink r:id="rId425" ref="I477"/>
    <hyperlink r:id="rId426" ref="I478"/>
    <hyperlink r:id="rId427" ref="I479"/>
    <hyperlink r:id="rId428" ref="I480"/>
    <hyperlink r:id="rId429" ref="I481"/>
    <hyperlink r:id="rId430" ref="I482"/>
    <hyperlink r:id="rId431" ref="I483"/>
    <hyperlink r:id="rId432" ref="I484"/>
    <hyperlink r:id="rId433" ref="I485"/>
    <hyperlink r:id="rId434" ref="I487"/>
    <hyperlink r:id="rId435" ref="I489"/>
    <hyperlink r:id="rId436" ref="I490"/>
    <hyperlink r:id="rId437" ref="I492"/>
    <hyperlink r:id="rId438" ref="I493"/>
    <hyperlink r:id="rId439" ref="I494"/>
    <hyperlink r:id="rId440" ref="I495"/>
    <hyperlink r:id="rId441" ref="I496"/>
    <hyperlink r:id="rId442" ref="I497"/>
    <hyperlink r:id="rId443" ref="I498"/>
    <hyperlink r:id="rId444" ref="I499"/>
    <hyperlink r:id="rId445" ref="I501"/>
    <hyperlink r:id="rId446" ref="I502"/>
    <hyperlink r:id="rId447" ref="I504"/>
    <hyperlink r:id="rId448" ref="I505"/>
    <hyperlink r:id="rId449" ref="I506"/>
    <hyperlink r:id="rId450" ref="I507"/>
    <hyperlink r:id="rId451" ref="I514"/>
    <hyperlink r:id="rId452" ref="I515"/>
    <hyperlink r:id="rId453" ref="I516"/>
    <hyperlink r:id="rId454" ref="I520"/>
    <hyperlink r:id="rId455" ref="I522"/>
    <hyperlink r:id="rId456" ref="I525"/>
    <hyperlink r:id="rId457" ref="I527"/>
    <hyperlink r:id="rId458" ref="I528"/>
    <hyperlink r:id="rId459" ref="I529"/>
    <hyperlink r:id="rId460" ref="I531"/>
    <hyperlink r:id="rId461" ref="I532"/>
    <hyperlink r:id="rId462" ref="I534"/>
    <hyperlink r:id="rId463" ref="I535"/>
    <hyperlink r:id="rId464" ref="I536"/>
    <hyperlink r:id="rId465" ref="I537"/>
    <hyperlink r:id="rId466" ref="I538"/>
    <hyperlink r:id="rId467" ref="I539"/>
    <hyperlink r:id="rId468" ref="I540"/>
    <hyperlink r:id="rId469" ref="I541"/>
    <hyperlink r:id="rId470" ref="I542"/>
    <hyperlink r:id="rId471" ref="I543"/>
    <hyperlink r:id="rId472" ref="I544"/>
    <hyperlink r:id="rId473" ref="I545"/>
    <hyperlink r:id="rId474" ref="I546"/>
    <hyperlink r:id="rId475" ref="I547"/>
    <hyperlink r:id="rId476" ref="I548"/>
    <hyperlink r:id="rId477" ref="I549"/>
    <hyperlink r:id="rId478" ref="I550"/>
    <hyperlink r:id="rId479" ref="I551"/>
    <hyperlink r:id="rId480" ref="I552"/>
    <hyperlink r:id="rId481" ref="I553"/>
    <hyperlink r:id="rId482" ref="I554"/>
    <hyperlink r:id="rId483" ref="I555"/>
    <hyperlink r:id="rId484" ref="I556"/>
    <hyperlink r:id="rId485" ref="I557"/>
    <hyperlink r:id="rId486" ref="I558"/>
    <hyperlink r:id="rId487" ref="I559"/>
    <hyperlink r:id="rId488" ref="I560"/>
    <hyperlink r:id="rId489" ref="I561"/>
    <hyperlink r:id="rId490" ref="I562"/>
    <hyperlink r:id="rId491" ref="I563"/>
    <hyperlink r:id="rId492" ref="I564"/>
    <hyperlink r:id="rId493" ref="I565"/>
    <hyperlink r:id="rId494" ref="I566"/>
    <hyperlink r:id="rId495" ref="I567"/>
    <hyperlink r:id="rId496" ref="I568"/>
    <hyperlink r:id="rId497" ref="I569"/>
    <hyperlink r:id="rId498" ref="I570"/>
    <hyperlink r:id="rId499" ref="I571"/>
    <hyperlink r:id="rId500" ref="I572"/>
    <hyperlink r:id="rId501" ref="I573"/>
    <hyperlink r:id="rId502" ref="I574"/>
    <hyperlink r:id="rId503" ref="I575"/>
    <hyperlink r:id="rId504" ref="I576"/>
  </hyperlinks>
  <drawing r:id="rId505"/>
  <tableParts count="1">
    <tablePart r:id="rId50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 outlineLevelCol="1"/>
  <cols>
    <col customWidth="1" min="1" max="1" width="25.38"/>
    <col customWidth="1" min="7" max="7" width="10.63"/>
    <col customWidth="1" min="8" max="8" width="8.88"/>
    <col customWidth="1" min="9" max="9" width="3.63"/>
    <col min="10" max="13" width="12.63" outlineLevel="1"/>
    <col customWidth="1" min="14" max="14" width="4.88" outlineLevel="1"/>
    <col customWidth="1" min="15" max="15" width="1.63" outlineLevel="1"/>
    <col customWidth="1" min="16" max="16" width="3.25" outlineLevel="1"/>
    <col customWidth="1" min="17" max="17" width="26.0"/>
    <col customWidth="1" min="18" max="18" width="5.63"/>
    <col customWidth="1" hidden="1" min="19" max="19" width="27.13"/>
    <col customWidth="1" hidden="1" min="20" max="21" width="24.5"/>
  </cols>
  <sheetData>
    <row r="1" ht="11.25" customHeight="1">
      <c r="A1" s="121"/>
      <c r="B1" s="121"/>
      <c r="C1" s="121"/>
      <c r="D1" s="121"/>
      <c r="E1" s="121"/>
      <c r="F1" s="121"/>
      <c r="G1" s="122"/>
      <c r="H1" s="121"/>
      <c r="I1" s="123"/>
      <c r="J1" s="124"/>
      <c r="K1" s="124"/>
      <c r="L1" s="125"/>
      <c r="M1" s="126"/>
      <c r="N1" s="126"/>
      <c r="O1" s="126"/>
      <c r="P1" s="44"/>
      <c r="Q1" s="44"/>
      <c r="R1" s="127"/>
      <c r="S1" s="128" t="s">
        <v>1312</v>
      </c>
      <c r="T1" s="44"/>
      <c r="U1" s="44"/>
    </row>
    <row r="2">
      <c r="A2" s="129" t="s">
        <v>1313</v>
      </c>
      <c r="B2" s="129" t="s">
        <v>1314</v>
      </c>
      <c r="C2" s="129" t="s">
        <v>20</v>
      </c>
      <c r="D2" s="129" t="s">
        <v>1315</v>
      </c>
      <c r="E2" s="129" t="s">
        <v>1316</v>
      </c>
      <c r="F2" s="129" t="s">
        <v>1317</v>
      </c>
      <c r="G2" s="130" t="s">
        <v>1318</v>
      </c>
      <c r="H2" s="129" t="s">
        <v>1319</v>
      </c>
      <c r="I2" s="123"/>
      <c r="J2" s="131"/>
      <c r="K2" s="132"/>
      <c r="L2" s="132"/>
      <c r="M2" s="132"/>
      <c r="N2" s="132"/>
      <c r="O2" s="133"/>
      <c r="P2" s="44"/>
      <c r="Q2" s="44"/>
      <c r="R2" s="127"/>
      <c r="S2" s="19"/>
      <c r="T2" s="44"/>
      <c r="U2" s="44"/>
    </row>
    <row r="3">
      <c r="A3" s="134" t="s">
        <v>1320</v>
      </c>
      <c r="B3" s="135">
        <f t="shared" ref="B3:G3" si="1">SUM(B5:B29)</f>
        <v>568</v>
      </c>
      <c r="C3" s="135">
        <f t="shared" si="1"/>
        <v>0</v>
      </c>
      <c r="D3" s="135">
        <f t="shared" si="1"/>
        <v>0</v>
      </c>
      <c r="E3" s="135">
        <f t="shared" si="1"/>
        <v>0</v>
      </c>
      <c r="F3" s="135">
        <f t="shared" si="1"/>
        <v>568</v>
      </c>
      <c r="G3" s="136">
        <f t="shared" si="1"/>
        <v>19350</v>
      </c>
      <c r="H3" s="137">
        <f>F3/B3</f>
        <v>1</v>
      </c>
      <c r="I3" s="123"/>
      <c r="J3" s="138"/>
      <c r="O3" s="139"/>
      <c r="P3" s="44"/>
      <c r="Q3" s="44"/>
      <c r="R3" s="127"/>
      <c r="S3" s="48"/>
      <c r="T3" s="44"/>
      <c r="U3" s="44"/>
    </row>
    <row r="4">
      <c r="A4" s="140" t="s">
        <v>1313</v>
      </c>
      <c r="B4" s="140" t="s">
        <v>1314</v>
      </c>
      <c r="C4" s="140" t="s">
        <v>20</v>
      </c>
      <c r="D4" s="141" t="s">
        <v>1315</v>
      </c>
      <c r="E4" s="141" t="s">
        <v>1316</v>
      </c>
      <c r="F4" s="141" t="s">
        <v>1317</v>
      </c>
      <c r="G4" s="142" t="s">
        <v>1318</v>
      </c>
      <c r="H4" s="123"/>
      <c r="I4" s="123"/>
      <c r="J4" s="138"/>
      <c r="O4" s="139"/>
      <c r="P4" s="44"/>
      <c r="Q4" s="143" t="s">
        <v>1321</v>
      </c>
      <c r="R4" s="144" t="s">
        <v>1322</v>
      </c>
      <c r="S4" s="143" t="s">
        <v>1323</v>
      </c>
      <c r="T4" s="143" t="s">
        <v>1324</v>
      </c>
      <c r="U4" s="145" t="s">
        <v>1325</v>
      </c>
    </row>
    <row r="5">
      <c r="A5" s="146" t="s">
        <v>1191</v>
      </c>
      <c r="B5" s="147">
        <f>COUNTIF(Spreadsheet!$F$9:$F29,A5)</f>
        <v>22</v>
      </c>
      <c r="C5" s="148">
        <f>COUNTIFS(Spreadsheet!$F$9:$F29,$A5,Spreadsheet!$H$9:$H29,"")</f>
        <v>0</v>
      </c>
      <c r="D5" s="149">
        <f>COUNTIFS(Spreadsheet!$F$9:$F29,$A5,Spreadsheet!$V$9:$V29,1)</f>
        <v>0</v>
      </c>
      <c r="E5" s="149">
        <f>COUNTIFS(Spreadsheet!$F$9:$F29,$A5,Spreadsheet!$W$9:$W29,1)</f>
        <v>0</v>
      </c>
      <c r="F5" s="150">
        <f>COUNTIFS(Spreadsheet!$F$9:$F29,$A5,Spreadsheet!$K$9:$K29,TRUE)</f>
        <v>22</v>
      </c>
      <c r="G5" s="151">
        <f t="shared" ref="G5:G29" si="2">IF(ISTEXT(A5),VLOOKUP(A5,$Q$5:$R29,2,FALSE)*F5,"")</f>
        <v>440</v>
      </c>
      <c r="H5" s="152"/>
      <c r="I5" s="152"/>
      <c r="J5" s="138"/>
      <c r="O5" s="139"/>
      <c r="P5" s="44"/>
      <c r="Q5" s="153" t="s">
        <v>214</v>
      </c>
      <c r="R5" s="154">
        <v>35.0</v>
      </c>
      <c r="S5" s="155" t="str">
        <f>IFERROR(__xludf.DUMMYFUNCTION("SORT(UNIQUE(T5:T29,1),1,FALSE)"),"")</f>
        <v/>
      </c>
      <c r="T5" s="123" t="str">
        <f>IF(ISNA(VLOOKUP($A5,$Q$5:$Q29,1,FALSE)),$A5,"")</f>
        <v/>
      </c>
      <c r="U5" s="123" t="str">
        <f>IFERROR(__xludf.DUMMYFUNCTION("SORT(UNIQUE(Spreadsheet!F9:F29),1,TRUE)"),"Crossbow")</f>
        <v>Crossbow</v>
      </c>
    </row>
    <row r="6">
      <c r="A6" s="156" t="s">
        <v>1087</v>
      </c>
      <c r="B6" s="157">
        <f>COUNTIF(Spreadsheet!$F$9:$F29,A6)</f>
        <v>40</v>
      </c>
      <c r="C6" s="157">
        <f>COUNTIFS(Spreadsheet!$F$9:$F29,$A6,Spreadsheet!$H$9:$H29,"")</f>
        <v>0</v>
      </c>
      <c r="D6" s="158">
        <f>COUNTIFS(Spreadsheet!$F$9:$F29,$A6,Spreadsheet!$V$9:$V29,1)</f>
        <v>0</v>
      </c>
      <c r="E6" s="158">
        <f>COUNTIFS(Spreadsheet!$F$9:$F29,$A6,Spreadsheet!$W$9:$W29,1)</f>
        <v>0</v>
      </c>
      <c r="F6" s="158">
        <f>COUNTIFS(Spreadsheet!$F$9:$F29,$A6,Spreadsheet!$K$9:$K29,TRUE)</f>
        <v>40</v>
      </c>
      <c r="G6" s="159">
        <f t="shared" si="2"/>
        <v>1200</v>
      </c>
      <c r="H6" s="152"/>
      <c r="I6" s="44"/>
      <c r="J6" s="138"/>
      <c r="O6" s="139"/>
      <c r="P6" s="44"/>
      <c r="Q6" s="156" t="s">
        <v>125</v>
      </c>
      <c r="R6" s="154">
        <v>35.0</v>
      </c>
      <c r="S6" s="123" t="str">
        <f>IFERROR(__xludf.DUMMYFUNCTION("""COMPUTED_VALUE"""),"")</f>
        <v/>
      </c>
      <c r="T6" s="123" t="str">
        <f t="shared" ref="T6:T28" si="3">IF(ISNA(VLOOKUP($A7,$Q$5:$Q29,1,FALSE)),$A7,"")</f>
        <v/>
      </c>
      <c r="U6" s="123" t="str">
        <f>IFERROR(__xludf.DUMMYFUNCTION("""COMPUTED_VALUE"""),"Electric Mystery")</f>
        <v>Electric Mystery</v>
      </c>
    </row>
    <row r="7">
      <c r="A7" s="156" t="s">
        <v>121</v>
      </c>
      <c r="B7" s="157">
        <f>COUNTIF(Spreadsheet!$F$9:$F29,A7)</f>
        <v>1</v>
      </c>
      <c r="C7" s="157">
        <f>COUNTIFS(Spreadsheet!$F$9:$F29,$A7,Spreadsheet!$H$9:$H29,"")</f>
        <v>0</v>
      </c>
      <c r="D7" s="157">
        <f>COUNTIFS(Spreadsheet!$F$9:$F29,$A7,Spreadsheet!$V$9:$V29,1)</f>
        <v>0</v>
      </c>
      <c r="E7" s="157">
        <f>COUNTIFS(Spreadsheet!$F$9:$F29,$A7,Spreadsheet!$W$9:$W29,1)</f>
        <v>0</v>
      </c>
      <c r="F7" s="157">
        <f>COUNTIFS(Spreadsheet!$F$9:$F29,$A7,Spreadsheet!$K$9:$K29,TRUE)</f>
        <v>1</v>
      </c>
      <c r="G7" s="159">
        <f t="shared" si="2"/>
        <v>35</v>
      </c>
      <c r="H7" s="152"/>
      <c r="I7" s="44"/>
      <c r="J7" s="138"/>
      <c r="O7" s="139"/>
      <c r="P7" s="44"/>
      <c r="Q7" s="156" t="s">
        <v>136</v>
      </c>
      <c r="R7" s="154">
        <v>35.0</v>
      </c>
      <c r="S7" s="123" t="str">
        <f>IFERROR(__xludf.DUMMYFUNCTION("""COMPUTED_VALUE"""),"")</f>
        <v/>
      </c>
      <c r="T7" s="123" t="str">
        <f t="shared" si="3"/>
        <v/>
      </c>
      <c r="U7" s="123" t="str">
        <f>IFERROR(__xludf.DUMMYFUNCTION("""COMPUTED_VALUE"""),"Virtual Bittersweet")</f>
        <v>Virtual Bittersweet</v>
      </c>
    </row>
    <row r="8">
      <c r="A8" s="156" t="s">
        <v>132</v>
      </c>
      <c r="B8" s="157">
        <f>COUNTIF(Spreadsheet!$F$9:$F29,A8)</f>
        <v>35</v>
      </c>
      <c r="C8" s="157">
        <f>COUNTIFS(Spreadsheet!$F$9:$F29,$A8,Spreadsheet!$H$9:$H29,"")</f>
        <v>0</v>
      </c>
      <c r="D8" s="157">
        <f>COUNTIFS(Spreadsheet!$F$9:$F29,$A8,Spreadsheet!$V$9:$V29,1)</f>
        <v>0</v>
      </c>
      <c r="E8" s="157">
        <f>COUNTIFS(Spreadsheet!$F$9:$F29,$A8,Spreadsheet!$W$9:$W29,1)</f>
        <v>0</v>
      </c>
      <c r="F8" s="157">
        <f>COUNTIFS(Spreadsheet!$F$9:$F29,$A8,Spreadsheet!$K$9:$K29,TRUE)</f>
        <v>35</v>
      </c>
      <c r="G8" s="159">
        <f t="shared" si="2"/>
        <v>1225</v>
      </c>
      <c r="H8" s="152"/>
      <c r="I8" s="44"/>
      <c r="J8" s="138"/>
      <c r="O8" s="139"/>
      <c r="P8" s="44"/>
      <c r="Q8" s="156" t="s">
        <v>78</v>
      </c>
      <c r="R8" s="154">
        <v>35.0</v>
      </c>
      <c r="S8" s="123" t="str">
        <f>IFERROR(__xludf.DUMMYFUNCTION("""COMPUTED_VALUE"""),"")</f>
        <v/>
      </c>
      <c r="T8" s="123" t="str">
        <f t="shared" si="3"/>
        <v/>
      </c>
      <c r="U8" s="123" t="str">
        <f>IFERROR(__xludf.DUMMYFUNCTION("""COMPUTED_VALUE"""),"Virtual Black")</f>
        <v>Virtual Black</v>
      </c>
    </row>
    <row r="9">
      <c r="A9" s="156" t="s">
        <v>100</v>
      </c>
      <c r="B9" s="157">
        <f>COUNTIF(Spreadsheet!$F$9:$F29,A9)</f>
        <v>65</v>
      </c>
      <c r="C9" s="157">
        <f>COUNTIFS(Spreadsheet!$F$9:$F29,$A9,Spreadsheet!$H$9:$H29,"")</f>
        <v>0</v>
      </c>
      <c r="D9" s="157">
        <f>COUNTIFS(Spreadsheet!$F$9:$F29,$A9,Spreadsheet!$V$9:$V29,1)</f>
        <v>0</v>
      </c>
      <c r="E9" s="157">
        <f>COUNTIFS(Spreadsheet!$F$9:$F29,$A9,Spreadsheet!$W$9:$W29,1)</f>
        <v>0</v>
      </c>
      <c r="F9" s="157">
        <f>COUNTIFS(Spreadsheet!$F$9:$F29,$A9,Spreadsheet!$K$9:$K29,TRUE)</f>
        <v>65</v>
      </c>
      <c r="G9" s="159">
        <f t="shared" si="2"/>
        <v>2275</v>
      </c>
      <c r="H9" s="152"/>
      <c r="I9" s="44"/>
      <c r="J9" s="138"/>
      <c r="O9" s="139"/>
      <c r="P9" s="44"/>
      <c r="Q9" s="156" t="s">
        <v>51</v>
      </c>
      <c r="R9" s="154">
        <v>35.0</v>
      </c>
      <c r="S9" s="123" t="str">
        <f>IFERROR(__xludf.DUMMYFUNCTION("""COMPUTED_VALUE"""),"")</f>
        <v/>
      </c>
      <c r="T9" s="123" t="str">
        <f t="shared" si="3"/>
        <v/>
      </c>
      <c r="U9" s="123" t="str">
        <f>IFERROR(__xludf.DUMMYFUNCTION("""COMPUTED_VALUE"""),"Virtual Brick Red")</f>
        <v>Virtual Brick Red</v>
      </c>
    </row>
    <row r="10">
      <c r="A10" s="156" t="s">
        <v>186</v>
      </c>
      <c r="B10" s="157">
        <f>COUNTIF(Spreadsheet!$F$9:$F29,A10)</f>
        <v>5</v>
      </c>
      <c r="C10" s="157">
        <f>COUNTIFS(Spreadsheet!$F$9:$F29,$A10,Spreadsheet!$H$9:$H29,"")</f>
        <v>0</v>
      </c>
      <c r="D10" s="157">
        <f>COUNTIFS(Spreadsheet!$F$9:$F29,$A10,Spreadsheet!$V$9:$V29,1)</f>
        <v>0</v>
      </c>
      <c r="E10" s="157">
        <f>COUNTIFS(Spreadsheet!$F$9:$F29,$A10,Spreadsheet!$W$9:$W29,1)</f>
        <v>0</v>
      </c>
      <c r="F10" s="157">
        <f>COUNTIFS(Spreadsheet!$F$9:$F29,$A10,Spreadsheet!$K$9:$K29,TRUE)</f>
        <v>5</v>
      </c>
      <c r="G10" s="159">
        <f t="shared" si="2"/>
        <v>175</v>
      </c>
      <c r="H10" s="152"/>
      <c r="I10" s="44"/>
      <c r="J10" s="138"/>
      <c r="O10" s="139"/>
      <c r="P10" s="44"/>
      <c r="Q10" s="156" t="s">
        <v>877</v>
      </c>
      <c r="R10" s="154">
        <v>35.0</v>
      </c>
      <c r="S10" s="123" t="str">
        <f>IFERROR(__xludf.DUMMYFUNCTION("""COMPUTED_VALUE"""),"")</f>
        <v/>
      </c>
      <c r="T10" s="123" t="str">
        <f t="shared" si="3"/>
        <v/>
      </c>
      <c r="U10" s="123" t="str">
        <f>IFERROR(__xludf.DUMMYFUNCTION("""COMPUTED_VALUE"""),"Virtual Brown")</f>
        <v>Virtual Brown</v>
      </c>
    </row>
    <row r="11">
      <c r="A11" s="156" t="s">
        <v>487</v>
      </c>
      <c r="B11" s="157">
        <f>COUNTIF(Spreadsheet!$F$9:$F29,A11)</f>
        <v>8</v>
      </c>
      <c r="C11" s="157">
        <f>COUNTIFS(Spreadsheet!$F$9:$F29,$A11,Spreadsheet!$H$9:$H29,"")</f>
        <v>0</v>
      </c>
      <c r="D11" s="157">
        <f>COUNTIFS(Spreadsheet!$F$9:$F29,$A11,Spreadsheet!$V$9:$V29,1)</f>
        <v>0</v>
      </c>
      <c r="E11" s="157">
        <f>COUNTIFS(Spreadsheet!$F$9:$F29,$A11,Spreadsheet!$W$9:$W29,1)</f>
        <v>0</v>
      </c>
      <c r="F11" s="157">
        <f>COUNTIFS(Spreadsheet!$F$9:$F29,$A11,Spreadsheet!$K$9:$K29,TRUE)</f>
        <v>8</v>
      </c>
      <c r="G11" s="159">
        <f t="shared" si="2"/>
        <v>280</v>
      </c>
      <c r="H11" s="152"/>
      <c r="I11" s="44"/>
      <c r="J11" s="138"/>
      <c r="O11" s="139"/>
      <c r="P11" s="44"/>
      <c r="Q11" s="156" t="s">
        <v>151</v>
      </c>
      <c r="R11" s="154">
        <v>35.0</v>
      </c>
      <c r="S11" s="123" t="str">
        <f>IFERROR(__xludf.DUMMYFUNCTION("""COMPUTED_VALUE"""),"")</f>
        <v/>
      </c>
      <c r="T11" s="123" t="str">
        <f t="shared" si="3"/>
        <v/>
      </c>
      <c r="U11" s="123" t="str">
        <f>IFERROR(__xludf.DUMMYFUNCTION("""COMPUTED_VALUE"""),"Virtual Carnation Pink")</f>
        <v>Virtual Carnation Pink</v>
      </c>
    </row>
    <row r="12">
      <c r="A12" s="156" t="s">
        <v>117</v>
      </c>
      <c r="B12" s="157">
        <f>COUNTIF(Spreadsheet!$F$9:$F29,A12)</f>
        <v>2</v>
      </c>
      <c r="C12" s="157">
        <f>COUNTIFS(Spreadsheet!$F$9:$F29,$A12,Spreadsheet!$H$9:$H29,"")</f>
        <v>0</v>
      </c>
      <c r="D12" s="157">
        <f>COUNTIFS(Spreadsheet!$F$9:$F29,$A12,Spreadsheet!$V$9:$V29,1)</f>
        <v>0</v>
      </c>
      <c r="E12" s="157">
        <f>COUNTIFS(Spreadsheet!$F$9:$F29,$A12,Spreadsheet!$W$9:$W29,1)</f>
        <v>0</v>
      </c>
      <c r="F12" s="157">
        <f>COUNTIFS(Spreadsheet!$F$9:$F29,$A12,Spreadsheet!$K$9:$K29,TRUE)</f>
        <v>2</v>
      </c>
      <c r="G12" s="159">
        <f t="shared" si="2"/>
        <v>70</v>
      </c>
      <c r="H12" s="152"/>
      <c r="I12" s="44"/>
      <c r="J12" s="138"/>
      <c r="O12" s="139"/>
      <c r="P12" s="44"/>
      <c r="Q12" s="156" t="s">
        <v>394</v>
      </c>
      <c r="R12" s="154">
        <v>35.0</v>
      </c>
      <c r="S12" s="123" t="str">
        <f>IFERROR(__xludf.DUMMYFUNCTION("""COMPUTED_VALUE"""),"")</f>
        <v/>
      </c>
      <c r="T12" s="123" t="str">
        <f t="shared" si="3"/>
        <v/>
      </c>
      <c r="U12" s="123" t="str">
        <f>IFERROR(__xludf.DUMMYFUNCTION("""COMPUTED_VALUE"""),"Virtual Chestnut")</f>
        <v>Virtual Chestnut</v>
      </c>
    </row>
    <row r="13">
      <c r="A13" s="156" t="s">
        <v>247</v>
      </c>
      <c r="B13" s="157">
        <f>COUNTIF(Spreadsheet!$F$9:$F29,A13)</f>
        <v>21</v>
      </c>
      <c r="C13" s="157">
        <f>COUNTIFS(Spreadsheet!$F$9:$F29,$A13,Spreadsheet!$H$9:$H29,"")</f>
        <v>0</v>
      </c>
      <c r="D13" s="157">
        <f>COUNTIFS(Spreadsheet!$F$9:$F29,$A13,Spreadsheet!$V$9:$V29,1)</f>
        <v>0</v>
      </c>
      <c r="E13" s="157">
        <f>COUNTIFS(Spreadsheet!$F$9:$F29,$A13,Spreadsheet!$W$9:$W29,1)</f>
        <v>0</v>
      </c>
      <c r="F13" s="157">
        <f>COUNTIFS(Spreadsheet!$F$9:$F29,$A13,Spreadsheet!$K$9:$K29,TRUE)</f>
        <v>21</v>
      </c>
      <c r="G13" s="159">
        <f t="shared" si="2"/>
        <v>735</v>
      </c>
      <c r="H13" s="152"/>
      <c r="I13" s="44"/>
      <c r="J13" s="138"/>
      <c r="O13" s="139"/>
      <c r="P13" s="44"/>
      <c r="Q13" s="156" t="s">
        <v>128</v>
      </c>
      <c r="R13" s="154">
        <v>35.0</v>
      </c>
      <c r="S13" s="123" t="str">
        <f>IFERROR(__xludf.DUMMYFUNCTION("""COMPUTED_VALUE"""),"")</f>
        <v/>
      </c>
      <c r="T13" s="123" t="str">
        <f t="shared" si="3"/>
        <v/>
      </c>
      <c r="U13" s="123" t="str">
        <f>IFERROR(__xludf.DUMMYFUNCTION("""COMPUTED_VALUE"""),"Virtual Forest Green")</f>
        <v>Virtual Forest Green</v>
      </c>
    </row>
    <row r="14">
      <c r="A14" s="156" t="s">
        <v>294</v>
      </c>
      <c r="B14" s="157">
        <f>COUNTIF(Spreadsheet!$F$9:$F29,A14)</f>
        <v>1</v>
      </c>
      <c r="C14" s="157">
        <f>COUNTIFS(Spreadsheet!$F$9:$F29,$A14,Spreadsheet!$H$9:$H29,"")</f>
        <v>0</v>
      </c>
      <c r="D14" s="157">
        <f>COUNTIFS(Spreadsheet!$F$9:$F29,$A14,Spreadsheet!$V$9:$V29,1)</f>
        <v>0</v>
      </c>
      <c r="E14" s="157">
        <f>COUNTIFS(Spreadsheet!$F$9:$F29,$A14,Spreadsheet!$W$9:$W29,1)</f>
        <v>0</v>
      </c>
      <c r="F14" s="157">
        <f>COUNTIFS(Spreadsheet!$F$9:$F29,$A14,Spreadsheet!$K$9:$K29,TRUE)</f>
        <v>1</v>
      </c>
      <c r="G14" s="159">
        <f t="shared" si="2"/>
        <v>35</v>
      </c>
      <c r="H14" s="152"/>
      <c r="I14" s="44"/>
      <c r="J14" s="138"/>
      <c r="O14" s="139"/>
      <c r="P14" s="44"/>
      <c r="Q14" s="160" t="s">
        <v>419</v>
      </c>
      <c r="R14" s="154">
        <v>35.0</v>
      </c>
      <c r="S14" s="123" t="str">
        <f>IFERROR(__xludf.DUMMYFUNCTION("""COMPUTED_VALUE"""),"")</f>
        <v/>
      </c>
      <c r="T14" s="123" t="str">
        <f t="shared" si="3"/>
        <v/>
      </c>
      <c r="U14" s="123" t="str">
        <f>IFERROR(__xludf.DUMMYFUNCTION("""COMPUTED_VALUE"""),"Virtual Gray")</f>
        <v>Virtual Gray</v>
      </c>
    </row>
    <row r="15">
      <c r="A15" s="161" t="s">
        <v>70</v>
      </c>
      <c r="B15" s="157">
        <f>COUNTIF(Spreadsheet!$F$9:$F29,A15)</f>
        <v>52</v>
      </c>
      <c r="C15" s="157">
        <f>COUNTIFS(Spreadsheet!$F$9:$F29,$A15,Spreadsheet!$H$9:$H29,"")</f>
        <v>0</v>
      </c>
      <c r="D15" s="157">
        <f>COUNTIFS(Spreadsheet!$F$9:$F29,$A15,Spreadsheet!$V$9:$V29,1)</f>
        <v>0</v>
      </c>
      <c r="E15" s="157">
        <f>COUNTIFS(Spreadsheet!$F$9:$F29,$A15,Spreadsheet!$W$9:$W29,1)</f>
        <v>0</v>
      </c>
      <c r="F15" s="157">
        <f>COUNTIFS(Spreadsheet!$F$9:$F29,$A15,Spreadsheet!$K$9:$K29,TRUE)</f>
        <v>52</v>
      </c>
      <c r="G15" s="159">
        <f t="shared" si="2"/>
        <v>1820</v>
      </c>
      <c r="H15" s="152"/>
      <c r="I15" s="44"/>
      <c r="J15" s="138"/>
      <c r="O15" s="139"/>
      <c r="P15" s="44"/>
      <c r="Q15" s="156" t="s">
        <v>415</v>
      </c>
      <c r="R15" s="154">
        <v>35.0</v>
      </c>
      <c r="S15" s="123" t="str">
        <f>IFERROR(__xludf.DUMMYFUNCTION("""COMPUTED_VALUE"""),"")</f>
        <v/>
      </c>
      <c r="T15" s="123" t="str">
        <f t="shared" si="3"/>
        <v/>
      </c>
      <c r="U15" s="123" t="str">
        <f>IFERROR(__xludf.DUMMYFUNCTION("""COMPUTED_VALUE"""),"Virtual Magenta")</f>
        <v>Virtual Magenta</v>
      </c>
    </row>
    <row r="16">
      <c r="A16" s="156" t="s">
        <v>57</v>
      </c>
      <c r="B16" s="157">
        <f>COUNTIF(Spreadsheet!$F$9:$F29,A16)</f>
        <v>64</v>
      </c>
      <c r="C16" s="157">
        <f>COUNTIFS(Spreadsheet!$F$9:$F29,$A16,Spreadsheet!$H$9:$H29,"")</f>
        <v>0</v>
      </c>
      <c r="D16" s="157">
        <f>COUNTIFS(Spreadsheet!$F$9:$F29,$A16,Spreadsheet!$V$9:$V29,1)</f>
        <v>0</v>
      </c>
      <c r="E16" s="157">
        <f>COUNTIFS(Spreadsheet!$F$9:$F29,$A16,Spreadsheet!$W$9:$W29,1)</f>
        <v>0</v>
      </c>
      <c r="F16" s="157">
        <f>COUNTIFS(Spreadsheet!$F$9:$F29,$A16,Spreadsheet!$K$9:$K29,TRUE)</f>
        <v>64</v>
      </c>
      <c r="G16" s="159">
        <f t="shared" si="2"/>
        <v>2240</v>
      </c>
      <c r="H16" s="152"/>
      <c r="I16" s="44"/>
      <c r="J16" s="138"/>
      <c r="O16" s="139"/>
      <c r="P16" s="44"/>
      <c r="Q16" s="162" t="s">
        <v>177</v>
      </c>
      <c r="R16" s="154">
        <v>35.0</v>
      </c>
      <c r="S16" s="123" t="str">
        <f>IFERROR(__xludf.DUMMYFUNCTION("""COMPUTED_VALUE"""),"")</f>
        <v/>
      </c>
      <c r="T16" s="123" t="str">
        <f t="shared" si="3"/>
        <v/>
      </c>
      <c r="U16" s="123" t="str">
        <f>IFERROR(__xludf.DUMMYFUNCTION("""COMPUTED_VALUE"""),"Virtual Mauvelous")</f>
        <v>Virtual Mauvelous</v>
      </c>
    </row>
    <row r="17">
      <c r="A17" s="163" t="s">
        <v>147</v>
      </c>
      <c r="B17" s="157">
        <f>COUNTIF(Spreadsheet!$F$9:$F29,A17)</f>
        <v>3</v>
      </c>
      <c r="C17" s="157">
        <f>COUNTIFS(Spreadsheet!$F$9:$F29,$A17,Spreadsheet!$H$9:$H29,"")</f>
        <v>0</v>
      </c>
      <c r="D17" s="157">
        <f>COUNTIFS(Spreadsheet!$F$9:$F29,$A17,Spreadsheet!$V$9:$V29,1)</f>
        <v>0</v>
      </c>
      <c r="E17" s="157">
        <f>COUNTIFS(Spreadsheet!$F$9:$F29,$A17,Spreadsheet!$W$9:$W29,1)</f>
        <v>0</v>
      </c>
      <c r="F17" s="157">
        <f>COUNTIFS(Spreadsheet!$F$9:$F29,$A17,Spreadsheet!$K$9:$K29,TRUE)</f>
        <v>3</v>
      </c>
      <c r="G17" s="159">
        <f t="shared" si="2"/>
        <v>105</v>
      </c>
      <c r="H17" s="44"/>
      <c r="I17" s="44"/>
      <c r="J17" s="138"/>
      <c r="O17" s="139"/>
      <c r="P17" s="44"/>
      <c r="Q17" s="164" t="s">
        <v>147</v>
      </c>
      <c r="R17" s="154">
        <v>35.0</v>
      </c>
      <c r="S17" s="123" t="str">
        <f>IFERROR(__xludf.DUMMYFUNCTION("""COMPUTED_VALUE"""),"")</f>
        <v/>
      </c>
      <c r="T17" s="123" t="str">
        <f t="shared" si="3"/>
        <v/>
      </c>
      <c r="U17" s="123" t="str">
        <f>IFERROR(__xludf.DUMMYFUNCTION("""COMPUTED_VALUE"""),"Virtual Olive Green")</f>
        <v>Virtual Olive Green</v>
      </c>
    </row>
    <row r="18">
      <c r="A18" s="165" t="s">
        <v>177</v>
      </c>
      <c r="B18" s="157">
        <f>COUNTIF(Spreadsheet!$F$9:$F29,A18)</f>
        <v>5</v>
      </c>
      <c r="C18" s="157">
        <f>COUNTIFS(Spreadsheet!$F$9:$F29,$A18,Spreadsheet!$H$9:$H29,"")</f>
        <v>0</v>
      </c>
      <c r="D18" s="157">
        <f>COUNTIFS(Spreadsheet!$F$9:$F29,$A18,Spreadsheet!$V$9:$V29,1)</f>
        <v>0</v>
      </c>
      <c r="E18" s="157">
        <f>COUNTIFS(Spreadsheet!$F$9:$F29,$A18,Spreadsheet!$W$9:$W29,1)</f>
        <v>0</v>
      </c>
      <c r="F18" s="157">
        <f>COUNTIFS(Spreadsheet!$F$9:$F29,$A18,Spreadsheet!$K$9:$K29,TRUE)</f>
        <v>5</v>
      </c>
      <c r="G18" s="159">
        <f t="shared" si="2"/>
        <v>175</v>
      </c>
      <c r="H18" s="44"/>
      <c r="I18" s="44"/>
      <c r="J18" s="138"/>
      <c r="O18" s="139"/>
      <c r="P18" s="44"/>
      <c r="Q18" s="164" t="s">
        <v>57</v>
      </c>
      <c r="R18" s="154">
        <v>35.0</v>
      </c>
      <c r="S18" s="123" t="str">
        <f>IFERROR(__xludf.DUMMYFUNCTION("""COMPUTED_VALUE"""),"")</f>
        <v/>
      </c>
      <c r="T18" s="123" t="str">
        <f t="shared" si="3"/>
        <v/>
      </c>
      <c r="U18" s="123" t="str">
        <f>IFERROR(__xludf.DUMMYFUNCTION("""COMPUTED_VALUE"""),"Virtual Orange")</f>
        <v>Virtual Orange</v>
      </c>
    </row>
    <row r="19">
      <c r="A19" s="165" t="s">
        <v>415</v>
      </c>
      <c r="B19" s="157">
        <f>COUNTIF(Spreadsheet!$F$9:$F29,A19)</f>
        <v>4</v>
      </c>
      <c r="C19" s="157">
        <f>COUNTIFS(Spreadsheet!$F$9:$F29,$A19,Spreadsheet!$H$9:$H29,"")</f>
        <v>0</v>
      </c>
      <c r="D19" s="157">
        <f>COUNTIFS(Spreadsheet!$F$9:$F29,$A19,Spreadsheet!$V$9:$V29,1)</f>
        <v>0</v>
      </c>
      <c r="E19" s="157">
        <f>COUNTIFS(Spreadsheet!$F$9:$F29,$A19,Spreadsheet!$W$9:$W29,1)</f>
        <v>0</v>
      </c>
      <c r="F19" s="157">
        <f>COUNTIFS(Spreadsheet!$F$9:$F29,$A19,Spreadsheet!$K$9:$K29,TRUE)</f>
        <v>4</v>
      </c>
      <c r="G19" s="159">
        <f t="shared" si="2"/>
        <v>140</v>
      </c>
      <c r="H19" s="44"/>
      <c r="I19" s="44"/>
      <c r="J19" s="138"/>
      <c r="O19" s="139"/>
      <c r="P19" s="44"/>
      <c r="Q19" s="164" t="s">
        <v>70</v>
      </c>
      <c r="R19" s="154">
        <v>35.0</v>
      </c>
      <c r="S19" s="123" t="str">
        <f>IFERROR(__xludf.DUMMYFUNCTION("""COMPUTED_VALUE"""),"")</f>
        <v/>
      </c>
      <c r="T19" s="123" t="str">
        <f t="shared" si="3"/>
        <v/>
      </c>
      <c r="U19" s="123" t="str">
        <f>IFERROR(__xludf.DUMMYFUNCTION("""COMPUTED_VALUE"""),"Virtual Orchid")</f>
        <v>Virtual Orchid</v>
      </c>
    </row>
    <row r="20">
      <c r="A20" s="165" t="s">
        <v>419</v>
      </c>
      <c r="B20" s="157">
        <f>COUNTIF(Spreadsheet!$F$9:$F29,A20)</f>
        <v>16</v>
      </c>
      <c r="C20" s="157">
        <f>COUNTIFS(Spreadsheet!$F$9:$F29,$A20,Spreadsheet!$H$9:$H29,"")</f>
        <v>0</v>
      </c>
      <c r="D20" s="157">
        <f>COUNTIFS(Spreadsheet!$F$9:$F29,$A20,Spreadsheet!$V$9:$V29,1)</f>
        <v>0</v>
      </c>
      <c r="E20" s="157">
        <f>COUNTIFS(Spreadsheet!$F$9:$F29,$A20,Spreadsheet!$W$9:$W29,1)</f>
        <v>0</v>
      </c>
      <c r="F20" s="157">
        <f>COUNTIFS(Spreadsheet!$F$9:$F29,$A20,Spreadsheet!$K$9:$K29,TRUE)</f>
        <v>16</v>
      </c>
      <c r="G20" s="159">
        <f t="shared" si="2"/>
        <v>560</v>
      </c>
      <c r="H20" s="44"/>
      <c r="I20" s="44"/>
      <c r="J20" s="138"/>
      <c r="O20" s="139"/>
      <c r="P20" s="44"/>
      <c r="Q20" s="164" t="s">
        <v>294</v>
      </c>
      <c r="R20" s="154">
        <v>35.0</v>
      </c>
      <c r="S20" s="123" t="str">
        <f>IFERROR(__xludf.DUMMYFUNCTION("""COMPUTED_VALUE"""),"")</f>
        <v/>
      </c>
      <c r="T20" s="123" t="str">
        <f t="shared" si="3"/>
        <v/>
      </c>
      <c r="U20" s="123" t="str">
        <f>IFERROR(__xludf.DUMMYFUNCTION("""COMPUTED_VALUE"""),"Virtual Pink")</f>
        <v>Virtual Pink</v>
      </c>
    </row>
    <row r="21">
      <c r="A21" s="165" t="s">
        <v>128</v>
      </c>
      <c r="B21" s="157">
        <f>COUNTIF(Spreadsheet!$F$9:$F29,A21)</f>
        <v>6</v>
      </c>
      <c r="C21" s="157">
        <f>COUNTIFS(Spreadsheet!$F$9:$F29,$A21,Spreadsheet!$H$9:$H29,"")</f>
        <v>0</v>
      </c>
      <c r="D21" s="157">
        <f>COUNTIFS(Spreadsheet!$F$9:$F29,$A21,Spreadsheet!$V$9:$V29,1)</f>
        <v>0</v>
      </c>
      <c r="E21" s="157">
        <f>COUNTIFS(Spreadsheet!$F$9:$F29,$A21,Spreadsheet!$W$9:$W29,1)</f>
        <v>0</v>
      </c>
      <c r="F21" s="157">
        <f>COUNTIFS(Spreadsheet!$F$9:$F29,$A21,Spreadsheet!$K$9:$K29,TRUE)</f>
        <v>6</v>
      </c>
      <c r="G21" s="159">
        <f t="shared" si="2"/>
        <v>210</v>
      </c>
      <c r="H21" s="44"/>
      <c r="I21" s="44"/>
      <c r="J21" s="138"/>
      <c r="O21" s="139"/>
      <c r="P21" s="44"/>
      <c r="Q21" s="164" t="s">
        <v>247</v>
      </c>
      <c r="R21" s="154">
        <v>35.0</v>
      </c>
      <c r="S21" s="123" t="str">
        <f>IFERROR(__xludf.DUMMYFUNCTION("""COMPUTED_VALUE"""),"")</f>
        <v/>
      </c>
      <c r="T21" s="123" t="str">
        <f t="shared" si="3"/>
        <v/>
      </c>
      <c r="U21" s="123" t="str">
        <f>IFERROR(__xludf.DUMMYFUNCTION("""COMPUTED_VALUE"""),"Virtual Plum")</f>
        <v>Virtual Plum</v>
      </c>
    </row>
    <row r="22">
      <c r="A22" s="165" t="s">
        <v>394</v>
      </c>
      <c r="B22" s="157">
        <f>COUNTIF(Spreadsheet!$F$9:$F29,A22)</f>
        <v>3</v>
      </c>
      <c r="C22" s="157">
        <f>COUNTIFS(Spreadsheet!$F$9:$F29,$A22,Spreadsheet!$H$9:$H29,"")</f>
        <v>0</v>
      </c>
      <c r="D22" s="157">
        <f>COUNTIFS(Spreadsheet!$F$9:$F29,$A22,Spreadsheet!$V$9:$V29,1)</f>
        <v>0</v>
      </c>
      <c r="E22" s="157">
        <f>COUNTIFS(Spreadsheet!$F$9:$F29,$A22,Spreadsheet!$W$9:$W29,1)</f>
        <v>0</v>
      </c>
      <c r="F22" s="157">
        <f>COUNTIFS(Spreadsheet!$F$9:$F29,$A22,Spreadsheet!$K$9:$K29,TRUE)</f>
        <v>3</v>
      </c>
      <c r="G22" s="159">
        <f t="shared" si="2"/>
        <v>105</v>
      </c>
      <c r="H22" s="44"/>
      <c r="I22" s="44"/>
      <c r="J22" s="138"/>
      <c r="O22" s="139"/>
      <c r="P22" s="44"/>
      <c r="Q22" s="164" t="s">
        <v>117</v>
      </c>
      <c r="R22" s="154">
        <v>35.0</v>
      </c>
      <c r="S22" s="123" t="str">
        <f>IFERROR(__xludf.DUMMYFUNCTION("""COMPUTED_VALUE"""),"")</f>
        <v/>
      </c>
      <c r="T22" s="123" t="str">
        <f t="shared" si="3"/>
        <v/>
      </c>
      <c r="U22" s="123" t="str">
        <f>IFERROR(__xludf.DUMMYFUNCTION("""COMPUTED_VALUE"""),"Virtual Purple Mountains Majesty")</f>
        <v>Virtual Purple Mountains Majesty</v>
      </c>
    </row>
    <row r="23">
      <c r="A23" s="165" t="s">
        <v>151</v>
      </c>
      <c r="B23" s="157">
        <f>COUNTIF(Spreadsheet!$F$9:$F29,A23)</f>
        <v>4</v>
      </c>
      <c r="C23" s="157">
        <f>COUNTIFS(Spreadsheet!$F$9:$F29,$A23,Spreadsheet!$H$9:$H29,"")</f>
        <v>0</v>
      </c>
      <c r="D23" s="157">
        <f>COUNTIFS(Spreadsheet!$F$9:$F29,$A23,Spreadsheet!$V$9:$V29,1)</f>
        <v>0</v>
      </c>
      <c r="E23" s="157">
        <f>COUNTIFS(Spreadsheet!$F$9:$F29,$A23,Spreadsheet!$W$9:$W29,1)</f>
        <v>0</v>
      </c>
      <c r="F23" s="157">
        <f>COUNTIFS(Spreadsheet!$F$9:$F29,$A23,Spreadsheet!$K$9:$K29,TRUE)</f>
        <v>4</v>
      </c>
      <c r="G23" s="159">
        <f t="shared" si="2"/>
        <v>140</v>
      </c>
      <c r="H23" s="44"/>
      <c r="I23" s="44"/>
      <c r="J23" s="138"/>
      <c r="O23" s="139"/>
      <c r="P23" s="44"/>
      <c r="Q23" s="164" t="s">
        <v>487</v>
      </c>
      <c r="R23" s="154">
        <v>35.0</v>
      </c>
      <c r="S23" s="123" t="str">
        <f>IFERROR(__xludf.DUMMYFUNCTION("""COMPUTED_VALUE"""),"")</f>
        <v/>
      </c>
      <c r="T23" s="123" t="str">
        <f t="shared" si="3"/>
        <v/>
      </c>
      <c r="U23" s="123" t="str">
        <f>IFERROR(__xludf.DUMMYFUNCTION("""COMPUTED_VALUE"""),"Virtual Raw Sienna")</f>
        <v>Virtual Raw Sienna</v>
      </c>
    </row>
    <row r="24">
      <c r="A24" s="165" t="s">
        <v>877</v>
      </c>
      <c r="B24" s="157">
        <f>COUNTIF(Spreadsheet!$F$9:$F29,A24)</f>
        <v>4</v>
      </c>
      <c r="C24" s="157">
        <f>COUNTIFS(Spreadsheet!$F$9:$F29,$A24,Spreadsheet!$H$9:$H29,"")</f>
        <v>0</v>
      </c>
      <c r="D24" s="157">
        <f>COUNTIFS(Spreadsheet!$F$9:$F29,$A24,Spreadsheet!$V$9:$V29,1)</f>
        <v>0</v>
      </c>
      <c r="E24" s="157">
        <f>COUNTIFS(Spreadsheet!$F$9:$F29,$A24,Spreadsheet!$W$9:$W29,1)</f>
        <v>0</v>
      </c>
      <c r="F24" s="157">
        <f>COUNTIFS(Spreadsheet!$F$9:$F29,$A24,Spreadsheet!$K$9:$K29,TRUE)</f>
        <v>4</v>
      </c>
      <c r="G24" s="159">
        <f t="shared" si="2"/>
        <v>140</v>
      </c>
      <c r="H24" s="44"/>
      <c r="I24" s="44"/>
      <c r="J24" s="138"/>
      <c r="O24" s="139"/>
      <c r="P24" s="44"/>
      <c r="Q24" s="164" t="s">
        <v>186</v>
      </c>
      <c r="R24" s="154">
        <v>35.0</v>
      </c>
      <c r="S24" s="123" t="str">
        <f>IFERROR(__xludf.DUMMYFUNCTION("""COMPUTED_VALUE"""),"")</f>
        <v/>
      </c>
      <c r="T24" s="123" t="str">
        <f t="shared" si="3"/>
        <v/>
      </c>
      <c r="U24" s="123" t="str">
        <f>IFERROR(__xludf.DUMMYFUNCTION("""COMPUTED_VALUE"""),"Virtual Red")</f>
        <v>Virtual Red</v>
      </c>
    </row>
    <row r="25">
      <c r="A25" s="165" t="s">
        <v>51</v>
      </c>
      <c r="B25" s="157">
        <f>COUNTIF(Spreadsheet!$F$9:$F29,A25)</f>
        <v>48</v>
      </c>
      <c r="C25" s="157">
        <f>COUNTIFS(Spreadsheet!$F$9:$F29,$A25,Spreadsheet!$H$9:$H29,"")</f>
        <v>0</v>
      </c>
      <c r="D25" s="157">
        <f>COUNTIFS(Spreadsheet!$F$9:$F29,$A25,Spreadsheet!$V$9:$V29,1)</f>
        <v>0</v>
      </c>
      <c r="E25" s="157">
        <f>COUNTIFS(Spreadsheet!$F$9:$F29,$A25,Spreadsheet!$W$9:$W29,1)</f>
        <v>0</v>
      </c>
      <c r="F25" s="157">
        <f>COUNTIFS(Spreadsheet!$F$9:$F29,$A25,Spreadsheet!$K$9:$K29,TRUE)</f>
        <v>48</v>
      </c>
      <c r="G25" s="159">
        <f t="shared" si="2"/>
        <v>1680</v>
      </c>
      <c r="H25" s="44"/>
      <c r="I25" s="44"/>
      <c r="J25" s="138"/>
      <c r="O25" s="139"/>
      <c r="P25" s="44"/>
      <c r="Q25" s="164" t="s">
        <v>100</v>
      </c>
      <c r="R25" s="154">
        <v>35.0</v>
      </c>
      <c r="S25" s="123" t="str">
        <f>IFERROR(__xludf.DUMMYFUNCTION("""COMPUTED_VALUE"""),"")</f>
        <v/>
      </c>
      <c r="T25" s="123" t="str">
        <f t="shared" si="3"/>
        <v/>
      </c>
      <c r="U25" s="123" t="str">
        <f>IFERROR(__xludf.DUMMYFUNCTION("""COMPUTED_VALUE"""),"Virtual Red Violet")</f>
        <v>Virtual Red Violet</v>
      </c>
    </row>
    <row r="26">
      <c r="A26" s="165" t="s">
        <v>78</v>
      </c>
      <c r="B26" s="157">
        <f>COUNTIF(Spreadsheet!$F$9:$F29,A26)</f>
        <v>75</v>
      </c>
      <c r="C26" s="157">
        <f>COUNTIFS(Spreadsheet!$F$9:$F29,$A26,Spreadsheet!$H$9:$H29,"")</f>
        <v>0</v>
      </c>
      <c r="D26" s="157">
        <f>COUNTIFS(Spreadsheet!$F$9:$F29,$A26,Spreadsheet!$V$9:$V29,1)</f>
        <v>0</v>
      </c>
      <c r="E26" s="157">
        <f>COUNTIFS(Spreadsheet!$F$9:$F29,$A26,Spreadsheet!$W$9:$W29,1)</f>
        <v>0</v>
      </c>
      <c r="F26" s="157">
        <f>COUNTIFS(Spreadsheet!$F$9:$F29,$A26,Spreadsheet!$K$9:$K29,TRUE)</f>
        <v>75</v>
      </c>
      <c r="G26" s="159">
        <f t="shared" si="2"/>
        <v>2625</v>
      </c>
      <c r="H26" s="44"/>
      <c r="I26" s="44"/>
      <c r="J26" s="138"/>
      <c r="O26" s="139"/>
      <c r="P26" s="44"/>
      <c r="Q26" s="164" t="s">
        <v>132</v>
      </c>
      <c r="R26" s="154">
        <v>35.0</v>
      </c>
      <c r="S26" s="123" t="str">
        <f>IFERROR(__xludf.DUMMYFUNCTION("""COMPUTED_VALUE"""),"")</f>
        <v/>
      </c>
      <c r="T26" s="123" t="str">
        <f t="shared" si="3"/>
        <v/>
      </c>
      <c r="U26" s="123" t="str">
        <f>IFERROR(__xludf.DUMMYFUNCTION("""COMPUTED_VALUE"""),"Virtual Tickle Me Pink")</f>
        <v>Virtual Tickle Me Pink</v>
      </c>
    </row>
    <row r="27">
      <c r="A27" s="165" t="s">
        <v>136</v>
      </c>
      <c r="B27" s="157">
        <f>COUNTIF(Spreadsheet!$F$9:$F29,A27)</f>
        <v>3</v>
      </c>
      <c r="C27" s="157">
        <f>COUNTIFS(Spreadsheet!$F$9:$F29,$A27,Spreadsheet!$H$9:$H29,"")</f>
        <v>0</v>
      </c>
      <c r="D27" s="157">
        <f>COUNTIFS(Spreadsheet!$F$9:$F29,$A27,Spreadsheet!$V$9:$V29,1)</f>
        <v>0</v>
      </c>
      <c r="E27" s="157">
        <f>COUNTIFS(Spreadsheet!$F$9:$F29,$A27,Spreadsheet!$W$9:$W29,1)</f>
        <v>0</v>
      </c>
      <c r="F27" s="157">
        <f>COUNTIFS(Spreadsheet!$F$9:$F29,$A27,Spreadsheet!$K$9:$K29,TRUE)</f>
        <v>3</v>
      </c>
      <c r="G27" s="159">
        <f t="shared" si="2"/>
        <v>105</v>
      </c>
      <c r="H27" s="44"/>
      <c r="I27" s="44"/>
      <c r="J27" s="138"/>
      <c r="O27" s="139"/>
      <c r="P27" s="44"/>
      <c r="Q27" s="164" t="s">
        <v>121</v>
      </c>
      <c r="R27" s="154">
        <v>35.0</v>
      </c>
      <c r="S27" s="123" t="str">
        <f>IFERROR(__xludf.DUMMYFUNCTION("""COMPUTED_VALUE"""),"")</f>
        <v/>
      </c>
      <c r="T27" s="123" t="str">
        <f t="shared" si="3"/>
        <v/>
      </c>
      <c r="U27" s="123" t="str">
        <f>IFERROR(__xludf.DUMMYFUNCTION("""COMPUTED_VALUE"""),"Virtual Violet")</f>
        <v>Virtual Violet</v>
      </c>
    </row>
    <row r="28" ht="17.25" customHeight="1">
      <c r="A28" s="165" t="s">
        <v>125</v>
      </c>
      <c r="B28" s="157">
        <f>COUNTIF(Spreadsheet!$F$9:$F29,A28)</f>
        <v>80</v>
      </c>
      <c r="C28" s="157">
        <f>COUNTIFS(Spreadsheet!$F$9:$F29,$A28,Spreadsheet!$H$9:$H29,"")</f>
        <v>0</v>
      </c>
      <c r="D28" s="157">
        <f>COUNTIFS(Spreadsheet!$F$9:$F29,$A28,Spreadsheet!$V$9:$V29,1)</f>
        <v>0</v>
      </c>
      <c r="E28" s="157">
        <f>COUNTIFS(Spreadsheet!$F$9:$F29,$A28,Spreadsheet!$W$9:$W29,1)</f>
        <v>0</v>
      </c>
      <c r="F28" s="157">
        <f>COUNTIFS(Spreadsheet!$F$9:$F29,$A28,Spreadsheet!$K$9:$K29,TRUE)</f>
        <v>80</v>
      </c>
      <c r="G28" s="159">
        <f t="shared" si="2"/>
        <v>2800</v>
      </c>
      <c r="H28" s="44"/>
      <c r="I28" s="44"/>
      <c r="J28" s="138"/>
      <c r="O28" s="139"/>
      <c r="P28" s="44"/>
      <c r="Q28" s="164" t="s">
        <v>1087</v>
      </c>
      <c r="R28" s="166">
        <v>30.0</v>
      </c>
      <c r="S28" s="123" t="str">
        <f>IFERROR(__xludf.DUMMYFUNCTION("""COMPUTED_VALUE"""),"")</f>
        <v/>
      </c>
      <c r="T28" s="123" t="str">
        <f t="shared" si="3"/>
        <v/>
      </c>
      <c r="U28" s="123" t="str">
        <f>IFERROR(__xludf.DUMMYFUNCTION("""COMPUTED_VALUE"""),"Virtual Violet Red")</f>
        <v>Virtual Violet Red</v>
      </c>
    </row>
    <row r="29">
      <c r="A29" s="165" t="s">
        <v>214</v>
      </c>
      <c r="B29" s="157">
        <f>COUNTIF(Spreadsheet!$F$9:$F29,A29)</f>
        <v>1</v>
      </c>
      <c r="C29" s="157">
        <f>COUNTIFS(Spreadsheet!$F$9:$F29,$A29,Spreadsheet!$H$9:$H29,"")</f>
        <v>0</v>
      </c>
      <c r="D29" s="157">
        <f>COUNTIFS(Spreadsheet!$F$9:$F29,$A29,Spreadsheet!$V$9:$V29,1)</f>
        <v>0</v>
      </c>
      <c r="E29" s="157">
        <f>COUNTIFS(Spreadsheet!$F$9:$F29,$A29,Spreadsheet!$W$9:$W29,1)</f>
        <v>0</v>
      </c>
      <c r="F29" s="157">
        <f>COUNTIFS(Spreadsheet!$F$9:$F29,$A29,Spreadsheet!$K$9:$K29,TRUE)</f>
        <v>1</v>
      </c>
      <c r="G29" s="159">
        <f t="shared" si="2"/>
        <v>35</v>
      </c>
      <c r="H29" s="44"/>
      <c r="I29" s="44"/>
      <c r="J29" s="167"/>
      <c r="K29" s="168"/>
      <c r="L29" s="168"/>
      <c r="M29" s="168"/>
      <c r="N29" s="168"/>
      <c r="O29" s="169"/>
      <c r="P29" s="44"/>
      <c r="Q29" s="170" t="s">
        <v>1191</v>
      </c>
      <c r="R29" s="171">
        <v>20.0</v>
      </c>
      <c r="S29" s="123" t="str">
        <f>IFERROR(__xludf.DUMMYFUNCTION("""COMPUTED_VALUE"""),"")</f>
        <v/>
      </c>
      <c r="T29" s="123" t="str">
        <f>IF(ISNA(VLOOKUP(#REF!,$Q$5:$Q29,1,FALSE)),#REF!,"")</f>
        <v/>
      </c>
      <c r="U29" s="123" t="str">
        <f>IFERROR(__xludf.DUMMYFUNCTION("""COMPUTED_VALUE"""),"Virtual Yellow")</f>
        <v>Virtual Yellow</v>
      </c>
    </row>
  </sheetData>
  <mergeCells count="2">
    <mergeCell ref="S1:S3"/>
    <mergeCell ref="J2:O29"/>
  </mergeCells>
  <conditionalFormatting sqref="B3">
    <cfRule type="expression" dxfId="1" priority="1">
      <formula>IF(B3=SUM(C3:F3),TRUE,FALSE)</formula>
    </cfRule>
  </conditionalFormatting>
  <conditionalFormatting sqref="B3">
    <cfRule type="expression" dxfId="13" priority="2">
      <formula>IF(B3&lt;&gt;SUM(C3:F3),TRUE,FALSE)</formula>
    </cfRule>
  </conditionalFormatting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75"/>
  <cols>
    <col customWidth="1" min="1" max="1" width="3.75"/>
    <col customWidth="1" min="2" max="2" width="15.13"/>
    <col customWidth="1" min="3" max="3" width="5.38"/>
    <col customWidth="1" min="4" max="5" width="8.38"/>
    <col customWidth="1" min="6" max="6" width="4.13"/>
    <col customWidth="1" min="7" max="7" width="15.13"/>
    <col customWidth="1" min="8" max="8" width="7.38"/>
    <col customWidth="1" min="9" max="9" width="4.13"/>
    <col customWidth="1" min="10" max="10" width="15.5"/>
    <col customWidth="1" min="11" max="11" width="7.63"/>
    <col customWidth="1" min="12" max="12" width="16.75"/>
    <col hidden="1" min="13" max="14" width="12.63"/>
  </cols>
  <sheetData>
    <row r="1">
      <c r="A1" s="172"/>
      <c r="B1" s="173" t="s">
        <v>1326</v>
      </c>
      <c r="C1" s="174">
        <f>COUNTIFS(B8:B653,"*",E8:E653,"&gt;0")</f>
        <v>181</v>
      </c>
      <c r="D1" s="175"/>
      <c r="E1" s="175"/>
      <c r="F1" s="175"/>
      <c r="G1" s="175"/>
      <c r="H1" s="175"/>
      <c r="I1" s="175"/>
      <c r="J1" s="175"/>
      <c r="K1" s="176" t="s">
        <v>1327</v>
      </c>
      <c r="L1" s="177"/>
    </row>
    <row r="2">
      <c r="A2" s="172"/>
      <c r="B2" s="178" t="s">
        <v>9</v>
      </c>
      <c r="C2" s="178">
        <f>SUM(C7:C653)</f>
        <v>0</v>
      </c>
      <c r="D2" s="174" t="str">
        <f>IF(C2=Spreadsheet!K3,"Correct","Difficult")</f>
        <v>Correct</v>
      </c>
      <c r="E2" s="175"/>
      <c r="F2" s="175"/>
      <c r="G2" s="175"/>
      <c r="H2" s="175"/>
      <c r="I2" s="175"/>
      <c r="J2" s="175"/>
      <c r="K2" s="179" t="s">
        <v>1328</v>
      </c>
      <c r="L2" s="180"/>
    </row>
    <row r="3">
      <c r="A3" s="172"/>
      <c r="B3" s="178" t="s">
        <v>13</v>
      </c>
      <c r="C3" s="178">
        <f>SUM(D8:D653)</f>
        <v>0</v>
      </c>
      <c r="D3" s="174" t="str">
        <f>IF(C3=Spreadsheet!K4,"Correct","Difficult")</f>
        <v>Correct</v>
      </c>
      <c r="E3" s="175"/>
      <c r="F3" s="175"/>
      <c r="G3" s="175"/>
      <c r="H3" s="175"/>
      <c r="I3" s="175"/>
      <c r="J3" s="175"/>
      <c r="K3" s="175"/>
      <c r="L3" s="172"/>
      <c r="M3" s="175"/>
      <c r="N3" s="175"/>
    </row>
    <row r="4">
      <c r="A4" s="172"/>
      <c r="B4" s="178" t="s">
        <v>16</v>
      </c>
      <c r="C4" s="178">
        <f>SUM(E8:E653)</f>
        <v>568</v>
      </c>
      <c r="D4" s="174" t="str">
        <f>IF(C4=Spreadsheet!K5,"Correct","Difficult")</f>
        <v>Correct</v>
      </c>
      <c r="E4" s="175"/>
      <c r="F4" s="175"/>
      <c r="G4" s="181"/>
      <c r="H4" s="181"/>
      <c r="I4" s="175"/>
      <c r="J4" s="181"/>
      <c r="K4" s="181"/>
      <c r="L4" s="172"/>
      <c r="M4" s="181"/>
      <c r="N4" s="182"/>
    </row>
    <row r="5">
      <c r="A5" s="175"/>
      <c r="B5" s="44"/>
      <c r="C5" s="44"/>
      <c r="D5" s="44"/>
      <c r="E5" s="175"/>
      <c r="F5" s="172"/>
      <c r="G5" s="183" t="s">
        <v>1329</v>
      </c>
      <c r="H5" s="18"/>
      <c r="I5" s="172"/>
      <c r="J5" s="183" t="s">
        <v>1330</v>
      </c>
      <c r="K5" s="18"/>
      <c r="L5" s="172"/>
      <c r="M5" s="183" t="s">
        <v>1331</v>
      </c>
      <c r="N5" s="18"/>
    </row>
    <row r="6">
      <c r="A6" s="181"/>
      <c r="B6" s="181"/>
      <c r="C6" s="181"/>
      <c r="D6" s="181"/>
      <c r="E6" s="181"/>
      <c r="F6" s="172"/>
      <c r="G6" s="29"/>
      <c r="H6" s="30"/>
      <c r="I6" s="172"/>
      <c r="J6" s="29"/>
      <c r="K6" s="30"/>
      <c r="L6" s="184" t="s">
        <v>1332</v>
      </c>
      <c r="M6" s="29"/>
      <c r="N6" s="30"/>
    </row>
    <row r="7">
      <c r="A7" s="185" t="s">
        <v>1333</v>
      </c>
      <c r="B7" s="186" t="s">
        <v>48</v>
      </c>
      <c r="C7" s="186" t="s">
        <v>21</v>
      </c>
      <c r="D7" s="186" t="s">
        <v>1316</v>
      </c>
      <c r="E7" s="186" t="s">
        <v>1317</v>
      </c>
      <c r="F7" s="172"/>
      <c r="G7" s="186" t="s">
        <v>48</v>
      </c>
      <c r="H7" s="187" t="s">
        <v>1334</v>
      </c>
      <c r="I7" s="172"/>
      <c r="J7" s="186" t="s">
        <v>48</v>
      </c>
      <c r="K7" s="187" t="s">
        <v>1335</v>
      </c>
      <c r="L7" s="187" t="s">
        <v>1336</v>
      </c>
      <c r="M7" s="186" t="s">
        <v>48</v>
      </c>
      <c r="N7" s="187" t="s">
        <v>1335</v>
      </c>
    </row>
    <row r="8">
      <c r="A8" s="188">
        <v>1.0</v>
      </c>
      <c r="B8" s="189" t="str">
        <f>IFERROR(__xludf.DUMMYFUNCTION("SORT(UNIQUE(FILTER(Spreadsheet!$H$9:$H653,Spreadsheet!$H$9:$H653 &lt;&gt; """")),1,TRUE)")," rgforsythe")</f>
        <v> rgforsythe</v>
      </c>
      <c r="C8" s="190">
        <f>IF(ISNUMBER($A8)=TRUE,COUNTIFS(Spreadsheet!$H$9:$H653,B8,Spreadsheet!$V$9:$V653,"&gt;0"),"")</f>
        <v>0</v>
      </c>
      <c r="D8" s="190">
        <f>IF(ISNUMBER($A8)=TRUE,COUNTIFS(Spreadsheet!$H$9:$H653,B8,Spreadsheet!$W$9:$W653,"&gt;0"),"")</f>
        <v>0</v>
      </c>
      <c r="E8" s="191">
        <f>IF(ISNUMBER($A8)=TRUE,COUNTIFS(Spreadsheet!$H$9:$H653,B8,Spreadsheet!$K$9:$K653,"TRUE"),"")</f>
        <v>1</v>
      </c>
      <c r="F8" s="172"/>
      <c r="G8" s="189" t="str">
        <f>IFERROR(__xludf.DUMMYFUNCTION("SORT(QUERY($B8:$E653,""select B,E where (E&gt;0)""),2,FALSE)"),"Wawie")</f>
        <v>Wawie</v>
      </c>
      <c r="H8" s="192">
        <f>IFERROR(__xludf.DUMMYFUNCTION("""COMPUTED_VALUE"""),34.0)</f>
        <v>34</v>
      </c>
      <c r="I8" s="172"/>
      <c r="J8" s="193" t="str">
        <f>IFERROR(__xludf.DUMMYFUNCTION("SORT(QUERY($B$8:$E653,""select B,D where (D&gt;0)""),2,FALSE)"),"#N/A")</f>
        <v>#N/A</v>
      </c>
      <c r="K8" s="194"/>
      <c r="L8" s="194" t="str">
        <f t="shared" ref="L8:L200" si="1">IF(ISTEXT(J8),Hyperlink($L$6&amp;J8&amp;"/deploys/","Deploys"),"")</f>
        <v/>
      </c>
      <c r="M8" s="195" t="str">
        <f>IFERROR(__xludf.DUMMYFUNCTION("SORT(QUERY($B$8:$E$152,""select B,C where (C&gt;0)""),2,FALSE)"),"#N/A")</f>
        <v>#N/A</v>
      </c>
      <c r="N8" s="192"/>
    </row>
    <row r="9">
      <c r="A9" s="188">
        <f t="shared" ref="A9:A200" si="2">IF(ISTEXT(B9)=TRUE,MAX($A$7:$A8)+1,"")</f>
        <v>2</v>
      </c>
      <c r="B9" s="189" t="str">
        <f>IFERROR(__xludf.DUMMYFUNCTION("""COMPUTED_VALUE"""),"123xilef")</f>
        <v>123xilef</v>
      </c>
      <c r="C9" s="190">
        <f>IF(ISNUMBER($A9)=TRUE,COUNTIFS(Spreadsheet!$H$9:$H653,B9,Spreadsheet!$V$9:$V653,"&gt;0"),"")</f>
        <v>0</v>
      </c>
      <c r="D9" s="190">
        <f>IF(ISNUMBER($A9)=TRUE,COUNTIFS(Spreadsheet!$H$9:$H653,B9,Spreadsheet!$W$9:$W653,"&gt;0"),"")</f>
        <v>0</v>
      </c>
      <c r="E9" s="191">
        <f>IF(ISNUMBER($A9)=TRUE,COUNTIFS(Spreadsheet!$H$9:$H653,B9,Spreadsheet!$K$9:$K653,"TRUE"),"")</f>
        <v>2</v>
      </c>
      <c r="F9" s="172"/>
      <c r="G9" s="189" t="str">
        <f>IFERROR(__xludf.DUMMYFUNCTION("""COMPUTED_VALUE"""),"Trappertje")</f>
        <v>Trappertje</v>
      </c>
      <c r="H9" s="192">
        <f>IFERROR(__xludf.DUMMYFUNCTION("""COMPUTED_VALUE"""),25.0)</f>
        <v>25</v>
      </c>
      <c r="I9" s="172"/>
      <c r="J9" s="189"/>
      <c r="K9" s="192"/>
      <c r="L9" s="194" t="str">
        <f t="shared" si="1"/>
        <v/>
      </c>
      <c r="M9" s="195"/>
      <c r="N9" s="192"/>
    </row>
    <row r="10">
      <c r="A10" s="188">
        <f t="shared" si="2"/>
        <v>3</v>
      </c>
      <c r="B10" s="189" t="str">
        <f>IFERROR(__xludf.DUMMYFUNCTION("""COMPUTED_VALUE"""),"230Volt")</f>
        <v>230Volt</v>
      </c>
      <c r="C10" s="190">
        <f>IF(ISNUMBER($A10)=TRUE,COUNTIFS(Spreadsheet!$H$9:$H653,B10,Spreadsheet!$V$9:$V653,"&gt;0"),"")</f>
        <v>0</v>
      </c>
      <c r="D10" s="190">
        <f>IF(ISNUMBER($A10)=TRUE,COUNTIFS(Spreadsheet!$H$9:$H653,B10,Spreadsheet!$W$9:$W653,"&gt;0"),"")</f>
        <v>0</v>
      </c>
      <c r="E10" s="191">
        <f>IF(ISNUMBER($A10)=TRUE,COUNTIFS(Spreadsheet!$H$9:$H653,B10,Spreadsheet!$K$9:$K653,"TRUE"),"")</f>
        <v>13</v>
      </c>
      <c r="F10" s="172"/>
      <c r="G10" s="189" t="str">
        <f>IFERROR(__xludf.DUMMYFUNCTION("""COMPUTED_VALUE"""),"Paulus2012")</f>
        <v>Paulus2012</v>
      </c>
      <c r="H10" s="192">
        <f>IFERROR(__xludf.DUMMYFUNCTION("""COMPUTED_VALUE"""),17.0)</f>
        <v>17</v>
      </c>
      <c r="I10" s="172"/>
      <c r="J10" s="189"/>
      <c r="K10" s="192"/>
      <c r="L10" s="194" t="str">
        <f t="shared" si="1"/>
        <v/>
      </c>
      <c r="M10" s="189"/>
      <c r="N10" s="192"/>
    </row>
    <row r="11">
      <c r="A11" s="188">
        <f t="shared" si="2"/>
        <v>4</v>
      </c>
      <c r="B11" s="189" t="str">
        <f>IFERROR(__xludf.DUMMYFUNCTION("""COMPUTED_VALUE"""),"5Star")</f>
        <v>5Star</v>
      </c>
      <c r="C11" s="190">
        <f>IF(ISNUMBER($A11)=TRUE,COUNTIFS(Spreadsheet!$H$9:$H653,B11,Spreadsheet!$V$9:$V653,"&gt;0"),"")</f>
        <v>0</v>
      </c>
      <c r="D11" s="190">
        <f>IF(ISNUMBER($A11)=TRUE,COUNTIFS(Spreadsheet!$H$9:$H653,B11,Spreadsheet!$W$9:$W653,"&gt;0"),"")</f>
        <v>0</v>
      </c>
      <c r="E11" s="191">
        <f>IF(ISNUMBER($A11)=TRUE,COUNTIFS(Spreadsheet!$H$9:$H653,B11,Spreadsheet!$K$9:$K653,"TRUE"),"")</f>
        <v>1</v>
      </c>
      <c r="F11" s="172"/>
      <c r="G11" s="189" t="str">
        <f>IFERROR(__xludf.DUMMYFUNCTION("""COMPUTED_VALUE"""),"AmezorC")</f>
        <v>AmezorC</v>
      </c>
      <c r="H11" s="192">
        <f>IFERROR(__xludf.DUMMYFUNCTION("""COMPUTED_VALUE"""),16.0)</f>
        <v>16</v>
      </c>
      <c r="I11" s="172"/>
      <c r="J11" s="189"/>
      <c r="K11" s="192"/>
      <c r="L11" s="194" t="str">
        <f t="shared" si="1"/>
        <v/>
      </c>
      <c r="M11" s="189"/>
      <c r="N11" s="192"/>
    </row>
    <row r="12">
      <c r="A12" s="188">
        <f t="shared" si="2"/>
        <v>5</v>
      </c>
      <c r="B12" s="189" t="str">
        <f>IFERROR(__xludf.DUMMYFUNCTION("""COMPUTED_VALUE"""),"90mile")</f>
        <v>90mile</v>
      </c>
      <c r="C12" s="190">
        <f>IF(ISNUMBER($A12)=TRUE,COUNTIFS(Spreadsheet!$H$9:$H653,B12,Spreadsheet!$V$9:$V653,"&gt;0"),"")</f>
        <v>0</v>
      </c>
      <c r="D12" s="190">
        <f>IF(ISNUMBER($A12)=TRUE,COUNTIFS(Spreadsheet!$H$9:$H653,B12,Spreadsheet!$W$9:$W653,"&gt;0"),"")</f>
        <v>0</v>
      </c>
      <c r="E12" s="191">
        <f>IF(ISNUMBER($A12)=TRUE,COUNTIFS(Spreadsheet!$H$9:$H653,B12,Spreadsheet!$K$9:$K653,"TRUE"),"")</f>
        <v>1</v>
      </c>
      <c r="F12" s="172"/>
      <c r="G12" s="189" t="str">
        <f>IFERROR(__xludf.DUMMYFUNCTION("""COMPUTED_VALUE"""),"Alroso")</f>
        <v>Alroso</v>
      </c>
      <c r="H12" s="192">
        <f>IFERROR(__xludf.DUMMYFUNCTION("""COMPUTED_VALUE"""),14.0)</f>
        <v>14</v>
      </c>
      <c r="I12" s="172"/>
      <c r="J12" s="189"/>
      <c r="K12" s="192"/>
      <c r="L12" s="194" t="str">
        <f t="shared" si="1"/>
        <v/>
      </c>
      <c r="M12" s="189"/>
      <c r="N12" s="192"/>
    </row>
    <row r="13">
      <c r="A13" s="188">
        <f t="shared" si="2"/>
        <v>6</v>
      </c>
      <c r="B13" s="189" t="str">
        <f>IFERROR(__xludf.DUMMYFUNCTION("""COMPUTED_VALUE"""),"ahagmann")</f>
        <v>ahagmann</v>
      </c>
      <c r="C13" s="190">
        <f>IF(ISNUMBER($A13)=TRUE,COUNTIFS(Spreadsheet!$H$9:$H653,B13,Spreadsheet!$V$9:$V653,"&gt;0"),"")</f>
        <v>0</v>
      </c>
      <c r="D13" s="190">
        <f>IF(ISNUMBER($A13)=TRUE,COUNTIFS(Spreadsheet!$H$9:$H653,B13,Spreadsheet!$W$9:$W653,"&gt;0"),"")</f>
        <v>0</v>
      </c>
      <c r="E13" s="191">
        <f>IF(ISNUMBER($A13)=TRUE,COUNTIFS(Spreadsheet!$H$9:$H653,B13,Spreadsheet!$K$9:$K653,"TRUE"),"")</f>
        <v>5</v>
      </c>
      <c r="F13" s="172"/>
      <c r="G13" s="189" t="str">
        <f>IFERROR(__xludf.DUMMYFUNCTION("""COMPUTED_VALUE"""),"Ingetje")</f>
        <v>Ingetje</v>
      </c>
      <c r="H13" s="192">
        <f>IFERROR(__xludf.DUMMYFUNCTION("""COMPUTED_VALUE"""),14.0)</f>
        <v>14</v>
      </c>
      <c r="I13" s="172"/>
      <c r="J13" s="189"/>
      <c r="K13" s="192"/>
      <c r="L13" s="194" t="str">
        <f t="shared" si="1"/>
        <v/>
      </c>
      <c r="M13" s="189"/>
      <c r="N13" s="192"/>
    </row>
    <row r="14">
      <c r="A14" s="188">
        <f t="shared" si="2"/>
        <v>7</v>
      </c>
      <c r="B14" s="189" t="str">
        <f>IFERROR(__xludf.DUMMYFUNCTION("""COMPUTED_VALUE"""),"albman")</f>
        <v>albman</v>
      </c>
      <c r="C14" s="190">
        <f>IF(ISNUMBER($A14)=TRUE,COUNTIFS(Spreadsheet!$H$9:$H653,B14,Spreadsheet!$V$9:$V653,"&gt;0"),"")</f>
        <v>0</v>
      </c>
      <c r="D14" s="190">
        <f>IF(ISNUMBER($A14)=TRUE,COUNTIFS(Spreadsheet!$H$9:$H653,B14,Spreadsheet!$W$9:$W653,"&gt;0"),"")</f>
        <v>0</v>
      </c>
      <c r="E14" s="191">
        <f>IF(ISNUMBER($A14)=TRUE,COUNTIFS(Spreadsheet!$H$9:$H653,B14,Spreadsheet!$K$9:$K653,"TRUE"),"")</f>
        <v>2</v>
      </c>
      <c r="F14" s="172"/>
      <c r="G14" s="189" t="str">
        <f>IFERROR(__xludf.DUMMYFUNCTION("""COMPUTED_VALUE"""),"230Volt")</f>
        <v>230Volt</v>
      </c>
      <c r="H14" s="192">
        <f>IFERROR(__xludf.DUMMYFUNCTION("""COMPUTED_VALUE"""),13.0)</f>
        <v>13</v>
      </c>
      <c r="I14" s="172"/>
      <c r="J14" s="189"/>
      <c r="K14" s="192"/>
      <c r="L14" s="194" t="str">
        <f t="shared" si="1"/>
        <v/>
      </c>
      <c r="M14" s="189"/>
      <c r="N14" s="192"/>
    </row>
    <row r="15">
      <c r="A15" s="188">
        <f t="shared" si="2"/>
        <v>8</v>
      </c>
      <c r="B15" s="189" t="str">
        <f>IFERROR(__xludf.DUMMYFUNCTION("""COMPUTED_VALUE"""),"Alroso")</f>
        <v>Alroso</v>
      </c>
      <c r="C15" s="190">
        <f>IF(ISNUMBER($A15)=TRUE,COUNTIFS(Spreadsheet!$H$9:$H653,B15,Spreadsheet!$V$9:$V653,"&gt;0"),"")</f>
        <v>0</v>
      </c>
      <c r="D15" s="190">
        <f>IF(ISNUMBER($A15)=TRUE,COUNTIFS(Spreadsheet!$H$9:$H653,B15,Spreadsheet!$W$9:$W653,"&gt;0"),"")</f>
        <v>0</v>
      </c>
      <c r="E15" s="191">
        <f>IF(ISNUMBER($A15)=TRUE,COUNTIFS(Spreadsheet!$H$9:$H653,B15,Spreadsheet!$K$9:$K653,"TRUE"),"")</f>
        <v>14</v>
      </c>
      <c r="F15" s="172"/>
      <c r="G15" s="189" t="str">
        <f>IFERROR(__xludf.DUMMYFUNCTION("""COMPUTED_VALUE"""),"theLuckyFinders")</f>
        <v>theLuckyFinders</v>
      </c>
      <c r="H15" s="192">
        <f>IFERROR(__xludf.DUMMYFUNCTION("""COMPUTED_VALUE"""),13.0)</f>
        <v>13</v>
      </c>
      <c r="I15" s="172"/>
      <c r="J15" s="189"/>
      <c r="K15" s="192"/>
      <c r="L15" s="194" t="str">
        <f t="shared" si="1"/>
        <v/>
      </c>
      <c r="M15" s="189"/>
      <c r="N15" s="192"/>
    </row>
    <row r="16">
      <c r="A16" s="188">
        <f t="shared" si="2"/>
        <v>9</v>
      </c>
      <c r="B16" s="189" t="str">
        <f>IFERROR(__xludf.DUMMYFUNCTION("""COMPUTED_VALUE"""),"Amerod")</f>
        <v>Amerod</v>
      </c>
      <c r="C16" s="190">
        <f>IF(ISNUMBER($A16)=TRUE,COUNTIFS(Spreadsheet!$H$9:$H653,B16,Spreadsheet!$V$9:$V653,"&gt;0"),"")</f>
        <v>0</v>
      </c>
      <c r="D16" s="190">
        <f>IF(ISNUMBER($A16)=TRUE,COUNTIFS(Spreadsheet!$H$9:$H653,B16,Spreadsheet!$W$9:$W653,"&gt;0"),"")</f>
        <v>0</v>
      </c>
      <c r="E16" s="191">
        <f>IF(ISNUMBER($A16)=TRUE,COUNTIFS(Spreadsheet!$H$9:$H653,B16,Spreadsheet!$K$9:$K653,"TRUE"),"")</f>
        <v>2</v>
      </c>
      <c r="F16" s="172"/>
      <c r="G16" s="189" t="str">
        <f>IFERROR(__xludf.DUMMYFUNCTION("""COMPUTED_VALUE"""),"Marnic")</f>
        <v>Marnic</v>
      </c>
      <c r="H16" s="192">
        <f>IFERROR(__xludf.DUMMYFUNCTION("""COMPUTED_VALUE"""),11.0)</f>
        <v>11</v>
      </c>
      <c r="I16" s="172"/>
      <c r="J16" s="189"/>
      <c r="K16" s="192"/>
      <c r="L16" s="194" t="str">
        <f t="shared" si="1"/>
        <v/>
      </c>
      <c r="M16" s="189"/>
      <c r="N16" s="192"/>
    </row>
    <row r="17">
      <c r="A17" s="188">
        <f t="shared" si="2"/>
        <v>10</v>
      </c>
      <c r="B17" s="189" t="str">
        <f>IFERROR(__xludf.DUMMYFUNCTION("""COMPUTED_VALUE"""),"AmezorC")</f>
        <v>AmezorC</v>
      </c>
      <c r="C17" s="190">
        <f>IF(ISNUMBER($A17)=TRUE,COUNTIFS(Spreadsheet!$H$9:$H653,B17,Spreadsheet!$V$9:$V653,"&gt;0"),"")</f>
        <v>0</v>
      </c>
      <c r="D17" s="190">
        <f>IF(ISNUMBER($A17)=TRUE,COUNTIFS(Spreadsheet!$H$9:$H653,B17,Spreadsheet!$W$9:$W653,"&gt;0"),"")</f>
        <v>0</v>
      </c>
      <c r="E17" s="191">
        <f>IF(ISNUMBER($A17)=TRUE,COUNTIFS(Spreadsheet!$H$9:$H653,B17,Spreadsheet!$K$9:$K653,"TRUE"),"")</f>
        <v>16</v>
      </c>
      <c r="F17" s="172"/>
      <c r="G17" s="189" t="str">
        <f>IFERROR(__xludf.DUMMYFUNCTION("""COMPUTED_VALUE"""),"nicmar")</f>
        <v>nicmar</v>
      </c>
      <c r="H17" s="192">
        <f>IFERROR(__xludf.DUMMYFUNCTION("""COMPUTED_VALUE"""),11.0)</f>
        <v>11</v>
      </c>
      <c r="I17" s="172"/>
      <c r="J17" s="189"/>
      <c r="K17" s="192"/>
      <c r="L17" s="194" t="str">
        <f t="shared" si="1"/>
        <v/>
      </c>
      <c r="M17" s="189"/>
      <c r="N17" s="192"/>
    </row>
    <row r="18">
      <c r="A18" s="188">
        <f t="shared" si="2"/>
        <v>11</v>
      </c>
      <c r="B18" s="189" t="str">
        <f>IFERROR(__xludf.DUMMYFUNCTION("""COMPUTED_VALUE"""),"amundadus")</f>
        <v>amundadus</v>
      </c>
      <c r="C18" s="190">
        <f>IF(ISNUMBER($A18)=TRUE,COUNTIFS(Spreadsheet!$H$9:$H653,B18,Spreadsheet!$V$9:$V653,"&gt;0"),"")</f>
        <v>0</v>
      </c>
      <c r="D18" s="190">
        <f>IF(ISNUMBER($A18)=TRUE,COUNTIFS(Spreadsheet!$H$9:$H653,B18,Spreadsheet!$W$9:$W653,"&gt;0"),"")</f>
        <v>0</v>
      </c>
      <c r="E18" s="191">
        <f>IF(ISNUMBER($A18)=TRUE,COUNTIFS(Spreadsheet!$H$9:$H653,B18,Spreadsheet!$K$9:$K653,"TRUE"),"")</f>
        <v>3</v>
      </c>
      <c r="F18" s="172"/>
      <c r="G18" s="189" t="str">
        <f>IFERROR(__xludf.DUMMYFUNCTION("""COMPUTED_VALUE"""),"RobS")</f>
        <v>RobS</v>
      </c>
      <c r="H18" s="192">
        <f>IFERROR(__xludf.DUMMYFUNCTION("""COMPUTED_VALUE"""),11.0)</f>
        <v>11</v>
      </c>
      <c r="I18" s="172"/>
      <c r="J18" s="189"/>
      <c r="K18" s="192"/>
      <c r="L18" s="194" t="str">
        <f t="shared" si="1"/>
        <v/>
      </c>
      <c r="M18" s="189"/>
      <c r="N18" s="192"/>
    </row>
    <row r="19">
      <c r="A19" s="188">
        <f t="shared" si="2"/>
        <v>12</v>
      </c>
      <c r="B19" s="189" t="str">
        <f>IFERROR(__xludf.DUMMYFUNCTION("""COMPUTED_VALUE"""),"Andrew81")</f>
        <v>Andrew81</v>
      </c>
      <c r="C19" s="190">
        <f>IF(ISNUMBER($A19)=TRUE,COUNTIFS(Spreadsheet!$H$9:$H653,B19,Spreadsheet!$V$9:$V653,"&gt;0"),"")</f>
        <v>0</v>
      </c>
      <c r="D19" s="190">
        <f>IF(ISNUMBER($A19)=TRUE,COUNTIFS(Spreadsheet!$H$9:$H653,B19,Spreadsheet!$W$9:$W653,"&gt;0"),"")</f>
        <v>0</v>
      </c>
      <c r="E19" s="191">
        <f>IF(ISNUMBER($A19)=TRUE,COUNTIFS(Spreadsheet!$H$9:$H653,B19,Spreadsheet!$K$9:$K653,"TRUE"),"")</f>
        <v>3</v>
      </c>
      <c r="F19" s="172"/>
      <c r="G19" s="189" t="str">
        <f>IFERROR(__xludf.DUMMYFUNCTION("""COMPUTED_VALUE"""),"EmileP68")</f>
        <v>EmileP68</v>
      </c>
      <c r="H19" s="192">
        <f>IFERROR(__xludf.DUMMYFUNCTION("""COMPUTED_VALUE"""),10.0)</f>
        <v>10</v>
      </c>
      <c r="I19" s="172"/>
      <c r="J19" s="189"/>
      <c r="K19" s="192"/>
      <c r="L19" s="194" t="str">
        <f t="shared" si="1"/>
        <v/>
      </c>
      <c r="M19" s="189"/>
      <c r="N19" s="192"/>
    </row>
    <row r="20">
      <c r="A20" s="188">
        <f t="shared" si="2"/>
        <v>13</v>
      </c>
      <c r="B20" s="189" t="str">
        <f>IFERROR(__xludf.DUMMYFUNCTION("""COMPUTED_VALUE"""),"Anetzet")</f>
        <v>Anetzet</v>
      </c>
      <c r="C20" s="190">
        <f>IF(ISNUMBER($A20)=TRUE,COUNTIFS(Spreadsheet!$H$9:$H653,B20,Spreadsheet!$V$9:$V653,"&gt;0"),"")</f>
        <v>0</v>
      </c>
      <c r="D20" s="190">
        <f>IF(ISNUMBER($A20)=TRUE,COUNTIFS(Spreadsheet!$H$9:$H653,B20,Spreadsheet!$W$9:$W653,"&gt;0"),"")</f>
        <v>0</v>
      </c>
      <c r="E20" s="191">
        <f>IF(ISNUMBER($A20)=TRUE,COUNTIFS(Spreadsheet!$H$9:$H653,B20,Spreadsheet!$K$9:$K653,"TRUE"),"")</f>
        <v>3</v>
      </c>
      <c r="F20" s="172"/>
      <c r="G20" s="189" t="str">
        <f>IFERROR(__xludf.DUMMYFUNCTION("""COMPUTED_VALUE"""),"PawPatrolThomas")</f>
        <v>PawPatrolThomas</v>
      </c>
      <c r="H20" s="192">
        <f>IFERROR(__xludf.DUMMYFUNCTION("""COMPUTED_VALUE"""),10.0)</f>
        <v>10</v>
      </c>
      <c r="I20" s="172"/>
      <c r="J20" s="189"/>
      <c r="K20" s="192"/>
      <c r="L20" s="194" t="str">
        <f t="shared" si="1"/>
        <v/>
      </c>
      <c r="M20" s="189"/>
      <c r="N20" s="192"/>
    </row>
    <row r="21">
      <c r="A21" s="188">
        <f t="shared" si="2"/>
        <v>14</v>
      </c>
      <c r="B21" s="189" t="str">
        <f>IFERROR(__xludf.DUMMYFUNCTION("""COMPUTED_VALUE"""),"Aniara")</f>
        <v>Aniara</v>
      </c>
      <c r="C21" s="190">
        <f>IF(ISNUMBER($A21)=TRUE,COUNTIFS(Spreadsheet!$H$9:$H653,B21,Spreadsheet!$V$9:$V653,"&gt;0"),"")</f>
        <v>0</v>
      </c>
      <c r="D21" s="190">
        <f>IF(ISNUMBER($A21)=TRUE,COUNTIFS(Spreadsheet!$H$9:$H653,B21,Spreadsheet!$W$9:$W653,"&gt;0"),"")</f>
        <v>0</v>
      </c>
      <c r="E21" s="191">
        <f>IF(ISNUMBER($A21)=TRUE,COUNTIFS(Spreadsheet!$H$9:$H653,B21,Spreadsheet!$K$9:$K653,"TRUE"),"")</f>
        <v>2</v>
      </c>
      <c r="F21" s="172"/>
      <c r="G21" s="189" t="str">
        <f>IFERROR(__xludf.DUMMYFUNCTION("""COMPUTED_VALUE"""),"raftjen")</f>
        <v>raftjen</v>
      </c>
      <c r="H21" s="192">
        <f>IFERROR(__xludf.DUMMYFUNCTION("""COMPUTED_VALUE"""),10.0)</f>
        <v>10</v>
      </c>
      <c r="I21" s="172"/>
      <c r="J21" s="189"/>
      <c r="K21" s="192"/>
      <c r="L21" s="194" t="str">
        <f t="shared" si="1"/>
        <v/>
      </c>
      <c r="M21" s="189"/>
      <c r="N21" s="192"/>
    </row>
    <row r="22">
      <c r="A22" s="188">
        <f t="shared" si="2"/>
        <v>15</v>
      </c>
      <c r="B22" s="189" t="str">
        <f>IFERROR(__xludf.DUMMYFUNCTION("""COMPUTED_VALUE"""),"annabanana")</f>
        <v>annabanana</v>
      </c>
      <c r="C22" s="190">
        <f>IF(ISNUMBER($A22)=TRUE,COUNTIFS(Spreadsheet!$H$9:$H653,B22,Spreadsheet!$V$9:$V653,"&gt;0"),"")</f>
        <v>0</v>
      </c>
      <c r="D22" s="190">
        <f>IF(ISNUMBER($A22)=TRUE,COUNTIFS(Spreadsheet!$H$9:$H653,B22,Spreadsheet!$W$9:$W653,"&gt;0"),"")</f>
        <v>0</v>
      </c>
      <c r="E22" s="191">
        <f>IF(ISNUMBER($A22)=TRUE,COUNTIFS(Spreadsheet!$H$9:$H653,B22,Spreadsheet!$K$9:$K653,"TRUE"),"")</f>
        <v>1</v>
      </c>
      <c r="F22" s="172"/>
      <c r="G22" s="189" t="str">
        <f>IFERROR(__xludf.DUMMYFUNCTION("""COMPUTED_VALUE"""),"sverlaan")</f>
        <v>sverlaan</v>
      </c>
      <c r="H22" s="192">
        <f>IFERROR(__xludf.DUMMYFUNCTION("""COMPUTED_VALUE"""),10.0)</f>
        <v>10</v>
      </c>
      <c r="I22" s="172"/>
      <c r="J22" s="189"/>
      <c r="K22" s="192"/>
      <c r="L22" s="194" t="str">
        <f t="shared" si="1"/>
        <v/>
      </c>
      <c r="M22" s="189"/>
      <c r="N22" s="192"/>
    </row>
    <row r="23">
      <c r="A23" s="188">
        <f t="shared" si="2"/>
        <v>16</v>
      </c>
      <c r="B23" s="189" t="str">
        <f>IFERROR(__xludf.DUMMYFUNCTION("""COMPUTED_VALUE"""),"anni56")</f>
        <v>anni56</v>
      </c>
      <c r="C23" s="190">
        <f>IF(ISNUMBER($A23)=TRUE,COUNTIFS(Spreadsheet!$H$9:$H653,B23,Spreadsheet!$V$9:$V653,"&gt;0"),"")</f>
        <v>0</v>
      </c>
      <c r="D23" s="190">
        <f>IF(ISNUMBER($A23)=TRUE,COUNTIFS(Spreadsheet!$H$9:$H653,B23,Spreadsheet!$W$9:$W653,"&gt;0"),"")</f>
        <v>0</v>
      </c>
      <c r="E23" s="191">
        <f>IF(ISNUMBER($A23)=TRUE,COUNTIFS(Spreadsheet!$H$9:$H653,B23,Spreadsheet!$K$9:$K653,"TRUE"),"")</f>
        <v>7</v>
      </c>
      <c r="F23" s="172"/>
      <c r="G23" s="196" t="str">
        <f>IFERROR(__xludf.DUMMYFUNCTION("""COMPUTED_VALUE"""),"bordentaxi")</f>
        <v>bordentaxi</v>
      </c>
      <c r="H23" s="192">
        <f>IFERROR(__xludf.DUMMYFUNCTION("""COMPUTED_VALUE"""),9.0)</f>
        <v>9</v>
      </c>
      <c r="I23" s="172"/>
      <c r="J23" s="189"/>
      <c r="K23" s="192"/>
      <c r="L23" s="194" t="str">
        <f t="shared" si="1"/>
        <v/>
      </c>
      <c r="M23" s="189"/>
      <c r="N23" s="192"/>
    </row>
    <row r="24">
      <c r="A24" s="188">
        <f t="shared" si="2"/>
        <v>17</v>
      </c>
      <c r="B24" s="189" t="str">
        <f>IFERROR(__xludf.DUMMYFUNCTION("""COMPUTED_VALUE"""),"Appeltje32")</f>
        <v>Appeltje32</v>
      </c>
      <c r="C24" s="190">
        <f>IF(ISNUMBER($A24)=TRUE,COUNTIFS(Spreadsheet!$H$9:$H653,B24,Spreadsheet!$V$9:$V653,"&gt;0"),"")</f>
        <v>0</v>
      </c>
      <c r="D24" s="190">
        <f>IF(ISNUMBER($A24)=TRUE,COUNTIFS(Spreadsheet!$H$9:$H653,B24,Spreadsheet!$W$9:$W653,"&gt;0"),"")</f>
        <v>0</v>
      </c>
      <c r="E24" s="191">
        <f>IF(ISNUMBER($A24)=TRUE,COUNTIFS(Spreadsheet!$H$9:$H653,B24,Spreadsheet!$K$9:$K653,"TRUE"),"")</f>
        <v>4</v>
      </c>
      <c r="F24" s="172"/>
      <c r="G24" s="196" t="str">
        <f>IFERROR(__xludf.DUMMYFUNCTION("""COMPUTED_VALUE"""),"keromar")</f>
        <v>keromar</v>
      </c>
      <c r="H24" s="192">
        <f>IFERROR(__xludf.DUMMYFUNCTION("""COMPUTED_VALUE"""),9.0)</f>
        <v>9</v>
      </c>
      <c r="I24" s="172"/>
      <c r="J24" s="189"/>
      <c r="K24" s="192"/>
      <c r="L24" s="194" t="str">
        <f t="shared" si="1"/>
        <v/>
      </c>
      <c r="M24" s="189"/>
      <c r="N24" s="192"/>
    </row>
    <row r="25">
      <c r="A25" s="188">
        <f t="shared" si="2"/>
        <v>18</v>
      </c>
      <c r="B25" s="189" t="str">
        <f>IFERROR(__xludf.DUMMYFUNCTION("""COMPUTED_VALUE"""),"ArtofEco")</f>
        <v>ArtofEco</v>
      </c>
      <c r="C25" s="190">
        <f>IF(ISNUMBER($A25)=TRUE,COUNTIFS(Spreadsheet!$H$9:$H653,B25,Spreadsheet!$V$9:$V653,"&gt;0"),"")</f>
        <v>0</v>
      </c>
      <c r="D25" s="190">
        <f>IF(ISNUMBER($A25)=TRUE,COUNTIFS(Spreadsheet!$H$9:$H653,B25,Spreadsheet!$W$9:$W653,"&gt;0"),"")</f>
        <v>0</v>
      </c>
      <c r="E25" s="191">
        <f>IF(ISNUMBER($A25)=TRUE,COUNTIFS(Spreadsheet!$H$9:$H653,B25,Spreadsheet!$K$9:$K653,"TRUE"),"")</f>
        <v>3</v>
      </c>
      <c r="F25" s="172"/>
      <c r="G25" s="189" t="str">
        <f>IFERROR(__xludf.DUMMYFUNCTION("""COMPUTED_VALUE"""),"feikjen")</f>
        <v>feikjen</v>
      </c>
      <c r="H25" s="192">
        <f>IFERROR(__xludf.DUMMYFUNCTION("""COMPUTED_VALUE"""),8.0)</f>
        <v>8</v>
      </c>
      <c r="I25" s="172"/>
      <c r="J25" s="189"/>
      <c r="K25" s="192"/>
      <c r="L25" s="194" t="str">
        <f t="shared" si="1"/>
        <v/>
      </c>
      <c r="M25" s="189"/>
      <c r="N25" s="192"/>
    </row>
    <row r="26">
      <c r="A26" s="188">
        <f t="shared" si="2"/>
        <v>19</v>
      </c>
      <c r="B26" s="189" t="str">
        <f>IFERROR(__xludf.DUMMYFUNCTION("""COMPUTED_VALUE"""),"Attis")</f>
        <v>Attis</v>
      </c>
      <c r="C26" s="190">
        <f>IF(ISNUMBER($A26)=TRUE,COUNTIFS(Spreadsheet!$H$9:$H653,B26,Spreadsheet!$V$9:$V653,"&gt;0"),"")</f>
        <v>0</v>
      </c>
      <c r="D26" s="190">
        <f>IF(ISNUMBER($A26)=TRUE,COUNTIFS(Spreadsheet!$H$9:$H653,B26,Spreadsheet!$W$9:$W653,"&gt;0"),"")</f>
        <v>0</v>
      </c>
      <c r="E26" s="191">
        <f>IF(ISNUMBER($A26)=TRUE,COUNTIFS(Spreadsheet!$H$9:$H653,B26,Spreadsheet!$K$9:$K653,"TRUE"),"")</f>
        <v>1</v>
      </c>
      <c r="F26" s="172"/>
      <c r="G26" s="189" t="str">
        <f>IFERROR(__xludf.DUMMYFUNCTION("""COMPUTED_VALUE"""),"felixbongers")</f>
        <v>felixbongers</v>
      </c>
      <c r="H26" s="192">
        <f>IFERROR(__xludf.DUMMYFUNCTION("""COMPUTED_VALUE"""),8.0)</f>
        <v>8</v>
      </c>
      <c r="I26" s="172"/>
      <c r="J26" s="189"/>
      <c r="K26" s="192"/>
      <c r="L26" s="194" t="str">
        <f t="shared" si="1"/>
        <v/>
      </c>
      <c r="M26" s="189"/>
      <c r="N26" s="192"/>
    </row>
    <row r="27">
      <c r="A27" s="188">
        <f t="shared" si="2"/>
        <v>20</v>
      </c>
      <c r="B27" s="189" t="str">
        <f>IFERROR(__xludf.DUMMYFUNCTION("""COMPUTED_VALUE"""),"aufbau")</f>
        <v>aufbau</v>
      </c>
      <c r="C27" s="190">
        <f>IF(ISNUMBER($A27)=TRUE,COUNTIFS(Spreadsheet!$H$9:$H653,B27,Spreadsheet!$V$9:$V653,"&gt;0"),"")</f>
        <v>0</v>
      </c>
      <c r="D27" s="190">
        <f>IF(ISNUMBER($A27)=TRUE,COUNTIFS(Spreadsheet!$H$9:$H653,B27,Spreadsheet!$W$9:$W653,"&gt;0"),"")</f>
        <v>0</v>
      </c>
      <c r="E27" s="191">
        <f>IF(ISNUMBER($A27)=TRUE,COUNTIFS(Spreadsheet!$H$9:$H653,B27,Spreadsheet!$K$9:$K653,"TRUE"),"")</f>
        <v>1</v>
      </c>
      <c r="F27" s="172"/>
      <c r="G27" s="189" t="str">
        <f>IFERROR(__xludf.DUMMYFUNCTION("""COMPUTED_VALUE"""),"anni56")</f>
        <v>anni56</v>
      </c>
      <c r="H27" s="192">
        <f>IFERROR(__xludf.DUMMYFUNCTION("""COMPUTED_VALUE"""),7.0)</f>
        <v>7</v>
      </c>
      <c r="I27" s="172"/>
      <c r="J27" s="189"/>
      <c r="K27" s="192"/>
      <c r="L27" s="194" t="str">
        <f t="shared" si="1"/>
        <v/>
      </c>
      <c r="M27" s="189"/>
      <c r="N27" s="192"/>
    </row>
    <row r="28">
      <c r="A28" s="188">
        <f t="shared" si="2"/>
        <v>21</v>
      </c>
      <c r="B28" s="189" t="str">
        <f>IFERROR(__xludf.DUMMYFUNCTION("""COMPUTED_VALUE"""),"babyw")</f>
        <v>babyw</v>
      </c>
      <c r="C28" s="190">
        <f>IF(ISNUMBER($A28)=TRUE,COUNTIFS(Spreadsheet!$H$9:$H653,B28,Spreadsheet!$V$9:$V653,"&gt;0"),"")</f>
        <v>0</v>
      </c>
      <c r="D28" s="190">
        <f>IF(ISNUMBER($A28)=TRUE,COUNTIFS(Spreadsheet!$H$9:$H653,B28,Spreadsheet!$W$9:$W653,"&gt;0"),"")</f>
        <v>0</v>
      </c>
      <c r="E28" s="191">
        <f>IF(ISNUMBER($A28)=TRUE,COUNTIFS(Spreadsheet!$H$9:$H653,B28,Spreadsheet!$K$9:$K653,"TRUE"),"")</f>
        <v>1</v>
      </c>
      <c r="F28" s="172"/>
      <c r="G28" s="189" t="str">
        <f>IFERROR(__xludf.DUMMYFUNCTION("""COMPUTED_VALUE"""),"gerardz")</f>
        <v>gerardz</v>
      </c>
      <c r="H28" s="192">
        <f>IFERROR(__xludf.DUMMYFUNCTION("""COMPUTED_VALUE"""),7.0)</f>
        <v>7</v>
      </c>
      <c r="I28" s="172"/>
      <c r="J28" s="189"/>
      <c r="K28" s="192"/>
      <c r="L28" s="194" t="str">
        <f t="shared" si="1"/>
        <v/>
      </c>
      <c r="M28" s="189"/>
      <c r="N28" s="192"/>
    </row>
    <row r="29">
      <c r="A29" s="188">
        <f t="shared" si="2"/>
        <v>22</v>
      </c>
      <c r="B29" s="189" t="str">
        <f>IFERROR(__xludf.DUMMYFUNCTION("""COMPUTED_VALUE"""),"barefootguru")</f>
        <v>barefootguru</v>
      </c>
      <c r="C29" s="190">
        <f>IF(ISNUMBER($A29)=TRUE,COUNTIFS(Spreadsheet!$H$9:$H653,B29,Spreadsheet!$V$9:$V653,"&gt;0"),"")</f>
        <v>0</v>
      </c>
      <c r="D29" s="190">
        <f>IF(ISNUMBER($A29)=TRUE,COUNTIFS(Spreadsheet!$H$9:$H653,B29,Spreadsheet!$W$9:$W653,"&gt;0"),"")</f>
        <v>0</v>
      </c>
      <c r="E29" s="191">
        <f>IF(ISNUMBER($A29)=TRUE,COUNTIFS(Spreadsheet!$H$9:$H653,B29,Spreadsheet!$K$9:$K653,"TRUE"),"")</f>
        <v>1</v>
      </c>
      <c r="F29" s="172"/>
      <c r="G29" s="189" t="str">
        <f>IFERROR(__xludf.DUMMYFUNCTION("""COMPUTED_VALUE"""),"KillerSnail")</f>
        <v>KillerSnail</v>
      </c>
      <c r="H29" s="192">
        <f>IFERROR(__xludf.DUMMYFUNCTION("""COMPUTED_VALUE"""),7.0)</f>
        <v>7</v>
      </c>
      <c r="I29" s="172"/>
      <c r="J29" s="189"/>
      <c r="K29" s="192"/>
      <c r="L29" s="194" t="str">
        <f t="shared" si="1"/>
        <v/>
      </c>
      <c r="M29" s="189"/>
      <c r="N29" s="192"/>
    </row>
    <row r="30">
      <c r="A30" s="188">
        <f t="shared" si="2"/>
        <v>23</v>
      </c>
      <c r="B30" s="189" t="str">
        <f>IFERROR(__xludf.DUMMYFUNCTION("""COMPUTED_VALUE"""),"Bayermunzeer")</f>
        <v>Bayermunzeer</v>
      </c>
      <c r="C30" s="190">
        <f>IF(ISNUMBER($A30)=TRUE,COUNTIFS(Spreadsheet!$H$9:$H653,B30,Spreadsheet!$V$9:$V653,"&gt;0"),"")</f>
        <v>0</v>
      </c>
      <c r="D30" s="190">
        <f>IF(ISNUMBER($A30)=TRUE,COUNTIFS(Spreadsheet!$H$9:$H653,B30,Spreadsheet!$W$9:$W653,"&gt;0"),"")</f>
        <v>0</v>
      </c>
      <c r="E30" s="191">
        <f>IF(ISNUMBER($A30)=TRUE,COUNTIFS(Spreadsheet!$H$9:$H653,B30,Spreadsheet!$K$9:$K653,"TRUE"),"")</f>
        <v>1</v>
      </c>
      <c r="F30" s="172"/>
      <c r="G30" s="189" t="str">
        <f>IFERROR(__xludf.DUMMYFUNCTION("""COMPUTED_VALUE"""),"Helefant")</f>
        <v>Helefant</v>
      </c>
      <c r="H30" s="192">
        <f>IFERROR(__xludf.DUMMYFUNCTION("""COMPUTED_VALUE"""),6.0)</f>
        <v>6</v>
      </c>
      <c r="I30" s="172"/>
      <c r="J30" s="189"/>
      <c r="K30" s="192"/>
      <c r="L30" s="194" t="str">
        <f t="shared" si="1"/>
        <v/>
      </c>
      <c r="M30" s="189"/>
      <c r="N30" s="192"/>
    </row>
    <row r="31">
      <c r="A31" s="188">
        <f t="shared" si="2"/>
        <v>24</v>
      </c>
      <c r="B31" s="189" t="str">
        <f>IFERROR(__xludf.DUMMYFUNCTION("""COMPUTED_VALUE"""),"bazfum")</f>
        <v>bazfum</v>
      </c>
      <c r="C31" s="190">
        <f>IF(ISNUMBER($A31)=TRUE,COUNTIFS(Spreadsheet!$H$9:$H653,B31,Spreadsheet!$V$9:$V653,"&gt;0"),"")</f>
        <v>0</v>
      </c>
      <c r="D31" s="190">
        <f>IF(ISNUMBER($A31)=TRUE,COUNTIFS(Spreadsheet!$H$9:$H653,B31,Spreadsheet!$W$9:$W653,"&gt;0"),"")</f>
        <v>0</v>
      </c>
      <c r="E31" s="191">
        <f>IF(ISNUMBER($A31)=TRUE,COUNTIFS(Spreadsheet!$H$9:$H653,B31,Spreadsheet!$K$9:$K653,"TRUE"),"")</f>
        <v>1</v>
      </c>
      <c r="F31" s="172"/>
      <c r="G31" s="189" t="str">
        <f>IFERROR(__xludf.DUMMYFUNCTION("""COMPUTED_VALUE"""),"kpcrystal07")</f>
        <v>kpcrystal07</v>
      </c>
      <c r="H31" s="192">
        <f>IFERROR(__xludf.DUMMYFUNCTION("""COMPUTED_VALUE"""),6.0)</f>
        <v>6</v>
      </c>
      <c r="I31" s="172"/>
      <c r="J31" s="189"/>
      <c r="K31" s="192"/>
      <c r="L31" s="194" t="str">
        <f t="shared" si="1"/>
        <v/>
      </c>
      <c r="M31" s="189"/>
      <c r="N31" s="192"/>
    </row>
    <row r="32">
      <c r="A32" s="188">
        <f t="shared" si="2"/>
        <v>25</v>
      </c>
      <c r="B32" s="189" t="str">
        <f>IFERROR(__xludf.DUMMYFUNCTION("""COMPUTED_VALUE"""),"Bisquick2")</f>
        <v>Bisquick2</v>
      </c>
      <c r="C32" s="190">
        <f>IF(ISNUMBER($A32)=TRUE,COUNTIFS(Spreadsheet!$H$9:$H653,B32,Spreadsheet!$V$9:$V653,"&gt;0"),"")</f>
        <v>0</v>
      </c>
      <c r="D32" s="190">
        <f>IF(ISNUMBER($A32)=TRUE,COUNTIFS(Spreadsheet!$H$9:$H653,B32,Spreadsheet!$W$9:$W653,"&gt;0"),"")</f>
        <v>0</v>
      </c>
      <c r="E32" s="191">
        <f>IF(ISNUMBER($A32)=TRUE,COUNTIFS(Spreadsheet!$H$9:$H653,B32,Spreadsheet!$K$9:$K653,"TRUE"),"")</f>
        <v>1</v>
      </c>
      <c r="F32" s="172"/>
      <c r="G32" s="189" t="str">
        <f>IFERROR(__xludf.DUMMYFUNCTION("""COMPUTED_VALUE"""),"ahagmann")</f>
        <v>ahagmann</v>
      </c>
      <c r="H32" s="192">
        <f>IFERROR(__xludf.DUMMYFUNCTION("""COMPUTED_VALUE"""),5.0)</f>
        <v>5</v>
      </c>
      <c r="I32" s="172"/>
      <c r="J32" s="189"/>
      <c r="K32" s="192"/>
      <c r="L32" s="194" t="str">
        <f t="shared" si="1"/>
        <v/>
      </c>
      <c r="M32" s="189"/>
      <c r="N32" s="192"/>
    </row>
    <row r="33">
      <c r="A33" s="188">
        <f t="shared" si="2"/>
        <v>26</v>
      </c>
      <c r="B33" s="189" t="str">
        <f>IFERROR(__xludf.DUMMYFUNCTION("""COMPUTED_VALUE"""),"Bitux")</f>
        <v>Bitux</v>
      </c>
      <c r="C33" s="190">
        <f>IF(ISNUMBER($A33)=TRUE,COUNTIFS(Spreadsheet!$H$9:$H653,B33,Spreadsheet!$V$9:$V653,"&gt;0"),"")</f>
        <v>0</v>
      </c>
      <c r="D33" s="190">
        <f>IF(ISNUMBER($A33)=TRUE,COUNTIFS(Spreadsheet!$H$9:$H653,B33,Spreadsheet!$W$9:$W653,"&gt;0"),"")</f>
        <v>0</v>
      </c>
      <c r="E33" s="191">
        <f>IF(ISNUMBER($A33)=TRUE,COUNTIFS(Spreadsheet!$H$9:$H653,B33,Spreadsheet!$K$9:$K653,"TRUE"),"")</f>
        <v>1</v>
      </c>
      <c r="F33" s="172"/>
      <c r="G33" s="189" t="str">
        <f>IFERROR(__xludf.DUMMYFUNCTION("""COMPUTED_VALUE"""),"destrandman")</f>
        <v>destrandman</v>
      </c>
      <c r="H33" s="192">
        <f>IFERROR(__xludf.DUMMYFUNCTION("""COMPUTED_VALUE"""),5.0)</f>
        <v>5</v>
      </c>
      <c r="I33" s="172"/>
      <c r="J33" s="189"/>
      <c r="K33" s="192"/>
      <c r="L33" s="194" t="str">
        <f t="shared" si="1"/>
        <v/>
      </c>
      <c r="M33" s="189"/>
      <c r="N33" s="192"/>
    </row>
    <row r="34">
      <c r="A34" s="188">
        <f t="shared" si="2"/>
        <v>27</v>
      </c>
      <c r="B34" s="189" t="str">
        <f>IFERROR(__xludf.DUMMYFUNCTION("""COMPUTED_VALUE"""),"Boersentrader")</f>
        <v>Boersentrader</v>
      </c>
      <c r="C34" s="190">
        <f>IF(ISNUMBER($A34)=TRUE,COUNTIFS(Spreadsheet!$H$9:$H653,B34,Spreadsheet!$V$9:$V653,"&gt;0"),"")</f>
        <v>0</v>
      </c>
      <c r="D34" s="190">
        <f>IF(ISNUMBER($A34)=TRUE,COUNTIFS(Spreadsheet!$H$9:$H653,B34,Spreadsheet!$W$9:$W653,"&gt;0"),"")</f>
        <v>0</v>
      </c>
      <c r="E34" s="191">
        <f>IF(ISNUMBER($A34)=TRUE,COUNTIFS(Spreadsheet!$H$9:$H653,B34,Spreadsheet!$K$9:$K653,"TRUE"),"")</f>
        <v>3</v>
      </c>
      <c r="F34" s="172"/>
      <c r="G34" s="189" t="str">
        <f>IFERROR(__xludf.DUMMYFUNCTION("""COMPUTED_VALUE"""),"does")</f>
        <v>does</v>
      </c>
      <c r="H34" s="192">
        <f>IFERROR(__xludf.DUMMYFUNCTION("""COMPUTED_VALUE"""),5.0)</f>
        <v>5</v>
      </c>
      <c r="I34" s="172"/>
      <c r="J34" s="189"/>
      <c r="K34" s="192"/>
      <c r="L34" s="194" t="str">
        <f t="shared" si="1"/>
        <v/>
      </c>
      <c r="M34" s="189"/>
      <c r="N34" s="192"/>
    </row>
    <row r="35">
      <c r="A35" s="188">
        <f t="shared" si="2"/>
        <v>28</v>
      </c>
      <c r="B35" s="189" t="str">
        <f>IFERROR(__xludf.DUMMYFUNCTION("""COMPUTED_VALUE"""),"BonnieB1")</f>
        <v>BonnieB1</v>
      </c>
      <c r="C35" s="190">
        <f>IF(ISNUMBER($A35)=TRUE,COUNTIFS(Spreadsheet!$H$9:$H653,B35,Spreadsheet!$V$9:$V653,"&gt;0"),"")</f>
        <v>0</v>
      </c>
      <c r="D35" s="190">
        <f>IF(ISNUMBER($A35)=TRUE,COUNTIFS(Spreadsheet!$H$9:$H653,B35,Spreadsheet!$W$9:$W653,"&gt;0"),"")</f>
        <v>0</v>
      </c>
      <c r="E35" s="191">
        <f>IF(ISNUMBER($A35)=TRUE,COUNTIFS(Spreadsheet!$H$9:$H653,B35,Spreadsheet!$K$9:$K653,"TRUE"),"")</f>
        <v>1</v>
      </c>
      <c r="F35" s="172"/>
      <c r="G35" s="189" t="str">
        <f>IFERROR(__xludf.DUMMYFUNCTION("""COMPUTED_VALUE"""),"Eskiss")</f>
        <v>Eskiss</v>
      </c>
      <c r="H35" s="192">
        <f>IFERROR(__xludf.DUMMYFUNCTION("""COMPUTED_VALUE"""),5.0)</f>
        <v>5</v>
      </c>
      <c r="I35" s="172"/>
      <c r="J35" s="189"/>
      <c r="K35" s="192"/>
      <c r="L35" s="194" t="str">
        <f t="shared" si="1"/>
        <v/>
      </c>
      <c r="M35" s="189"/>
      <c r="N35" s="192"/>
    </row>
    <row r="36">
      <c r="A36" s="188">
        <f t="shared" si="2"/>
        <v>29</v>
      </c>
      <c r="B36" s="189" t="str">
        <f>IFERROR(__xludf.DUMMYFUNCTION("""COMPUTED_VALUE"""),"bordentaxi")</f>
        <v>bordentaxi</v>
      </c>
      <c r="C36" s="190">
        <f>IF(ISNUMBER($A36)=TRUE,COUNTIFS(Spreadsheet!$H$9:$H653,B36,Spreadsheet!$V$9:$V653,"&gt;0"),"")</f>
        <v>0</v>
      </c>
      <c r="D36" s="190">
        <f>IF(ISNUMBER($A36)=TRUE,COUNTIFS(Spreadsheet!$H$9:$H653,B36,Spreadsheet!$W$9:$W653,"&gt;0"),"")</f>
        <v>0</v>
      </c>
      <c r="E36" s="191">
        <f>IF(ISNUMBER($A36)=TRUE,COUNTIFS(Spreadsheet!$H$9:$H653,B36,Spreadsheet!$K$9:$K653,"TRUE"),"")</f>
        <v>9</v>
      </c>
      <c r="F36" s="172"/>
      <c r="G36" s="189" t="str">
        <f>IFERROR(__xludf.DUMMYFUNCTION("""COMPUTED_VALUE"""),"granitente")</f>
        <v>granitente</v>
      </c>
      <c r="H36" s="192">
        <f>IFERROR(__xludf.DUMMYFUNCTION("""COMPUTED_VALUE"""),5.0)</f>
        <v>5</v>
      </c>
      <c r="I36" s="172"/>
      <c r="J36" s="189"/>
      <c r="K36" s="192"/>
      <c r="L36" s="194" t="str">
        <f t="shared" si="1"/>
        <v/>
      </c>
      <c r="M36" s="189"/>
      <c r="N36" s="192"/>
    </row>
    <row r="37">
      <c r="A37" s="188">
        <f t="shared" si="2"/>
        <v>30</v>
      </c>
      <c r="B37" s="189" t="str">
        <f>IFERROR(__xludf.DUMMYFUNCTION("""COMPUTED_VALUE"""),"breinie")</f>
        <v>breinie</v>
      </c>
      <c r="C37" s="190">
        <f>IF(ISNUMBER($A37)=TRUE,COUNTIFS(Spreadsheet!$H$9:$H653,B37,Spreadsheet!$V$9:$V653,"&gt;0"),"")</f>
        <v>0</v>
      </c>
      <c r="D37" s="190">
        <f>IF(ISNUMBER($A37)=TRUE,COUNTIFS(Spreadsheet!$H$9:$H653,B37,Spreadsheet!$W$9:$W653,"&gt;0"),"")</f>
        <v>0</v>
      </c>
      <c r="E37" s="191">
        <f>IF(ISNUMBER($A37)=TRUE,COUNTIFS(Spreadsheet!$H$9:$H653,B37,Spreadsheet!$K$9:$K653,"TRUE"),"")</f>
        <v>3</v>
      </c>
      <c r="F37" s="172"/>
      <c r="G37" s="189" t="str">
        <f>IFERROR(__xludf.DUMMYFUNCTION("""COMPUTED_VALUE"""),"Jafo43")</f>
        <v>Jafo43</v>
      </c>
      <c r="H37" s="192">
        <f>IFERROR(__xludf.DUMMYFUNCTION("""COMPUTED_VALUE"""),5.0)</f>
        <v>5</v>
      </c>
      <c r="I37" s="172"/>
      <c r="J37" s="189"/>
      <c r="K37" s="192"/>
      <c r="L37" s="194" t="str">
        <f t="shared" si="1"/>
        <v/>
      </c>
      <c r="M37" s="189"/>
      <c r="N37" s="192"/>
    </row>
    <row r="38">
      <c r="A38" s="188">
        <f t="shared" si="2"/>
        <v>31</v>
      </c>
      <c r="B38" s="189" t="str">
        <f>IFERROR(__xludf.DUMMYFUNCTION("""COMPUTED_VALUE"""),"BrotherWilliam")</f>
        <v>BrotherWilliam</v>
      </c>
      <c r="C38" s="190">
        <f>IF(ISNUMBER($A38)=TRUE,COUNTIFS(Spreadsheet!$H$9:$H653,B38,Spreadsheet!$V$9:$V653,"&gt;0"),"")</f>
        <v>0</v>
      </c>
      <c r="D38" s="190">
        <f>IF(ISNUMBER($A38)=TRUE,COUNTIFS(Spreadsheet!$H$9:$H653,B38,Spreadsheet!$W$9:$W653,"&gt;0"),"")</f>
        <v>0</v>
      </c>
      <c r="E38" s="191">
        <f>IF(ISNUMBER($A38)=TRUE,COUNTIFS(Spreadsheet!$H$9:$H653,B38,Spreadsheet!$K$9:$K653,"TRUE"),"")</f>
        <v>4</v>
      </c>
      <c r="F38" s="172"/>
      <c r="G38" s="189" t="str">
        <f>IFERROR(__xludf.DUMMYFUNCTION("""COMPUTED_VALUE"""),"LonelyWalker")</f>
        <v>LonelyWalker</v>
      </c>
      <c r="H38" s="192">
        <f>IFERROR(__xludf.DUMMYFUNCTION("""COMPUTED_VALUE"""),5.0)</f>
        <v>5</v>
      </c>
      <c r="I38" s="172"/>
      <c r="J38" s="189"/>
      <c r="K38" s="192"/>
      <c r="L38" s="194" t="str">
        <f t="shared" si="1"/>
        <v/>
      </c>
      <c r="M38" s="189"/>
      <c r="N38" s="192"/>
    </row>
    <row r="39">
      <c r="A39" s="188">
        <f t="shared" si="2"/>
        <v>32</v>
      </c>
      <c r="B39" s="189" t="str">
        <f>IFERROR(__xludf.DUMMYFUNCTION("""COMPUTED_VALUE"""),"Cadonkey")</f>
        <v>Cadonkey</v>
      </c>
      <c r="C39" s="190">
        <f>IF(ISNUMBER($A39)=TRUE,COUNTIFS(Spreadsheet!$H$9:$H653,B39,Spreadsheet!$V$9:$V653,"&gt;0"),"")</f>
        <v>0</v>
      </c>
      <c r="D39" s="190">
        <f>IF(ISNUMBER($A39)=TRUE,COUNTIFS(Spreadsheet!$H$9:$H653,B39,Spreadsheet!$W$9:$W653,"&gt;0"),"")</f>
        <v>0</v>
      </c>
      <c r="E39" s="191">
        <f>IF(ISNUMBER($A39)=TRUE,COUNTIFS(Spreadsheet!$H$9:$H653,B39,Spreadsheet!$K$9:$K653,"TRUE"),"")</f>
        <v>2</v>
      </c>
      <c r="F39" s="172"/>
      <c r="G39" s="189" t="str">
        <f>IFERROR(__xludf.DUMMYFUNCTION("""COMPUTED_VALUE"""),"Marcelkooyman")</f>
        <v>Marcelkooyman</v>
      </c>
      <c r="H39" s="192">
        <f>IFERROR(__xludf.DUMMYFUNCTION("""COMPUTED_VALUE"""),5.0)</f>
        <v>5</v>
      </c>
      <c r="I39" s="172"/>
      <c r="J39" s="189"/>
      <c r="K39" s="192"/>
      <c r="L39" s="194" t="str">
        <f t="shared" si="1"/>
        <v/>
      </c>
      <c r="M39" s="189"/>
      <c r="N39" s="192"/>
    </row>
    <row r="40">
      <c r="A40" s="188">
        <f t="shared" si="2"/>
        <v>33</v>
      </c>
      <c r="B40" s="189" t="str">
        <f>IFERROR(__xludf.DUMMYFUNCTION("""COMPUTED_VALUE"""),"chickenrun")</f>
        <v>chickenrun</v>
      </c>
      <c r="C40" s="190">
        <f>IF(ISNUMBER($A40)=TRUE,COUNTIFS(Spreadsheet!$H$9:$H653,B40,Spreadsheet!$V$9:$V653,"&gt;0"),"")</f>
        <v>0</v>
      </c>
      <c r="D40" s="190">
        <f>IF(ISNUMBER($A40)=TRUE,COUNTIFS(Spreadsheet!$H$9:$H653,B40,Spreadsheet!$W$9:$W653,"&gt;0"),"")</f>
        <v>0</v>
      </c>
      <c r="E40" s="191">
        <f>IF(ISNUMBER($A40)=TRUE,COUNTIFS(Spreadsheet!$H$9:$H653,B40,Spreadsheet!$K$9:$K653,"TRUE"),"")</f>
        <v>2</v>
      </c>
      <c r="F40" s="172"/>
      <c r="G40" s="189" t="str">
        <f>IFERROR(__xludf.DUMMYFUNCTION("""COMPUTED_VALUE"""),"RoversEnd")</f>
        <v>RoversEnd</v>
      </c>
      <c r="H40" s="192">
        <f>IFERROR(__xludf.DUMMYFUNCTION("""COMPUTED_VALUE"""),5.0)</f>
        <v>5</v>
      </c>
      <c r="I40" s="172"/>
      <c r="J40" s="189"/>
      <c r="K40" s="192"/>
      <c r="L40" s="194" t="str">
        <f t="shared" si="1"/>
        <v/>
      </c>
      <c r="M40" s="189"/>
      <c r="N40" s="192"/>
    </row>
    <row r="41">
      <c r="A41" s="188">
        <f t="shared" si="2"/>
        <v>34</v>
      </c>
      <c r="B41" s="189" t="str">
        <f>IFERROR(__xludf.DUMMYFUNCTION("""COMPUTED_VALUE"""),"Chivasloyal")</f>
        <v>Chivasloyal</v>
      </c>
      <c r="C41" s="190">
        <f>IF(ISNUMBER($A41)=TRUE,COUNTIFS(Spreadsheet!$H$9:$H653,B41,Spreadsheet!$V$9:$V653,"&gt;0"),"")</f>
        <v>0</v>
      </c>
      <c r="D41" s="190">
        <f>IF(ISNUMBER($A41)=TRUE,COUNTIFS(Spreadsheet!$H$9:$H653,B41,Spreadsheet!$W$9:$W653,"&gt;0"),"")</f>
        <v>0</v>
      </c>
      <c r="E41" s="191">
        <f>IF(ISNUMBER($A41)=TRUE,COUNTIFS(Spreadsheet!$H$9:$H653,B41,Spreadsheet!$K$9:$K653,"TRUE"),"")</f>
        <v>1</v>
      </c>
      <c r="F41" s="172"/>
      <c r="G41" s="189" t="str">
        <f>IFERROR(__xludf.DUMMYFUNCTION("""COMPUTED_VALUE"""),"TeamBlackie ")</f>
        <v>TeamBlackie </v>
      </c>
      <c r="H41" s="192">
        <f>IFERROR(__xludf.DUMMYFUNCTION("""COMPUTED_VALUE"""),5.0)</f>
        <v>5</v>
      </c>
      <c r="I41" s="172"/>
      <c r="J41" s="189"/>
      <c r="K41" s="192"/>
      <c r="L41" s="194" t="str">
        <f t="shared" si="1"/>
        <v/>
      </c>
      <c r="M41" s="189"/>
      <c r="N41" s="192"/>
    </row>
    <row r="42">
      <c r="A42" s="188">
        <f t="shared" si="2"/>
        <v>35</v>
      </c>
      <c r="B42" s="189" t="str">
        <f>IFERROR(__xludf.DUMMYFUNCTION("""COMPUTED_VALUE"""),"Cinnamons")</f>
        <v>Cinnamons</v>
      </c>
      <c r="C42" s="190">
        <f>IF(ISNUMBER($A42)=TRUE,COUNTIFS(Spreadsheet!$H$9:$H653,B42,Spreadsheet!$V$9:$V653,"&gt;0"),"")</f>
        <v>0</v>
      </c>
      <c r="D42" s="190">
        <f>IF(ISNUMBER($A42)=TRUE,COUNTIFS(Spreadsheet!$H$9:$H653,B42,Spreadsheet!$W$9:$W653,"&gt;0"),"")</f>
        <v>0</v>
      </c>
      <c r="E42" s="191">
        <f>IF(ISNUMBER($A42)=TRUE,COUNTIFS(Spreadsheet!$H$9:$H653,B42,Spreadsheet!$K$9:$K653,"TRUE"),"")</f>
        <v>1</v>
      </c>
      <c r="F42" s="172"/>
      <c r="G42" s="189" t="str">
        <f>IFERROR(__xludf.DUMMYFUNCTION("""COMPUTED_VALUE"""),"Appeltje32")</f>
        <v>Appeltje32</v>
      </c>
      <c r="H42" s="192">
        <f>IFERROR(__xludf.DUMMYFUNCTION("""COMPUTED_VALUE"""),4.0)</f>
        <v>4</v>
      </c>
      <c r="I42" s="172"/>
      <c r="J42" s="189"/>
      <c r="K42" s="192"/>
      <c r="L42" s="194" t="str">
        <f t="shared" si="1"/>
        <v/>
      </c>
      <c r="M42" s="189"/>
      <c r="N42" s="192"/>
    </row>
    <row r="43">
      <c r="A43" s="188">
        <f t="shared" si="2"/>
        <v>36</v>
      </c>
      <c r="B43" s="189" t="str">
        <f>IFERROR(__xludf.DUMMYFUNCTION("""COMPUTED_VALUE"""),"claireth")</f>
        <v>claireth</v>
      </c>
      <c r="C43" s="190">
        <f>IF(ISNUMBER($A43)=TRUE,COUNTIFS(Spreadsheet!$H$9:$H653,B43,Spreadsheet!$V$9:$V653,"&gt;0"),"")</f>
        <v>0</v>
      </c>
      <c r="D43" s="190">
        <f>IF(ISNUMBER($A43)=TRUE,COUNTIFS(Spreadsheet!$H$9:$H653,B43,Spreadsheet!$W$9:$W653,"&gt;0"),"")</f>
        <v>0</v>
      </c>
      <c r="E43" s="191">
        <f>IF(ISNUMBER($A43)=TRUE,COUNTIFS(Spreadsheet!$H$9:$H653,B43,Spreadsheet!$K$9:$K653,"TRUE"),"")</f>
        <v>1</v>
      </c>
      <c r="F43" s="172"/>
      <c r="G43" s="189" t="str">
        <f>IFERROR(__xludf.DUMMYFUNCTION("""COMPUTED_VALUE"""),"BrotherWilliam")</f>
        <v>BrotherWilliam</v>
      </c>
      <c r="H43" s="192">
        <f>IFERROR(__xludf.DUMMYFUNCTION("""COMPUTED_VALUE"""),4.0)</f>
        <v>4</v>
      </c>
      <c r="I43" s="172"/>
      <c r="J43" s="189"/>
      <c r="K43" s="192"/>
      <c r="L43" s="194" t="str">
        <f t="shared" si="1"/>
        <v/>
      </c>
      <c r="M43" s="189"/>
      <c r="N43" s="192"/>
    </row>
    <row r="44">
      <c r="A44" s="188">
        <f t="shared" si="2"/>
        <v>37</v>
      </c>
      <c r="B44" s="189" t="str">
        <f>IFERROR(__xludf.DUMMYFUNCTION("""COMPUTED_VALUE"""),"Cleland")</f>
        <v>Cleland</v>
      </c>
      <c r="C44" s="190">
        <f>IF(ISNUMBER($A44)=TRUE,COUNTIFS(Spreadsheet!$H$9:$H653,B44,Spreadsheet!$V$9:$V653,"&gt;0"),"")</f>
        <v>0</v>
      </c>
      <c r="D44" s="190">
        <f>IF(ISNUMBER($A44)=TRUE,COUNTIFS(Spreadsheet!$H$9:$H653,B44,Spreadsheet!$W$9:$W653,"&gt;0"),"")</f>
        <v>0</v>
      </c>
      <c r="E44" s="191">
        <f>IF(ISNUMBER($A44)=TRUE,COUNTIFS(Spreadsheet!$H$9:$H653,B44,Spreadsheet!$K$9:$K653,"TRUE"),"")</f>
        <v>2</v>
      </c>
      <c r="F44" s="172"/>
      <c r="G44" s="189" t="str">
        <f>IFERROR(__xludf.DUMMYFUNCTION("""COMPUTED_VALUE"""),"DarbyJoan")</f>
        <v>DarbyJoan</v>
      </c>
      <c r="H44" s="192">
        <f>IFERROR(__xludf.DUMMYFUNCTION("""COMPUTED_VALUE"""),4.0)</f>
        <v>4</v>
      </c>
      <c r="I44" s="172"/>
      <c r="J44" s="189"/>
      <c r="K44" s="192"/>
      <c r="L44" s="194" t="str">
        <f t="shared" si="1"/>
        <v/>
      </c>
      <c r="M44" s="189"/>
      <c r="N44" s="192"/>
    </row>
    <row r="45">
      <c r="A45" s="188">
        <f t="shared" si="2"/>
        <v>38</v>
      </c>
      <c r="B45" s="189" t="str">
        <f>IFERROR(__xludf.DUMMYFUNCTION("""COMPUTED_VALUE"""),"CoalCracker7")</f>
        <v>CoalCracker7</v>
      </c>
      <c r="C45" s="190">
        <f>IF(ISNUMBER($A45)=TRUE,COUNTIFS(Spreadsheet!$H$9:$H653,B45,Spreadsheet!$V$9:$V653,"&gt;0"),"")</f>
        <v>0</v>
      </c>
      <c r="D45" s="190">
        <f>IF(ISNUMBER($A45)=TRUE,COUNTIFS(Spreadsheet!$H$9:$H653,B45,Spreadsheet!$W$9:$W653,"&gt;0"),"")</f>
        <v>0</v>
      </c>
      <c r="E45" s="191">
        <f>IF(ISNUMBER($A45)=TRUE,COUNTIFS(Spreadsheet!$H$9:$H653,B45,Spreadsheet!$K$9:$K653,"TRUE"),"")</f>
        <v>1</v>
      </c>
      <c r="F45" s="172"/>
      <c r="G45" s="189" t="str">
        <f>IFERROR(__xludf.DUMMYFUNCTION("""COMPUTED_VALUE"""),"hz")</f>
        <v>hz</v>
      </c>
      <c r="H45" s="192">
        <f>IFERROR(__xludf.DUMMYFUNCTION("""COMPUTED_VALUE"""),4.0)</f>
        <v>4</v>
      </c>
      <c r="I45" s="172"/>
      <c r="J45" s="189"/>
      <c r="K45" s="192"/>
      <c r="L45" s="194" t="str">
        <f t="shared" si="1"/>
        <v/>
      </c>
      <c r="M45" s="189"/>
      <c r="N45" s="192"/>
    </row>
    <row r="46">
      <c r="A46" s="188">
        <f t="shared" si="2"/>
        <v>39</v>
      </c>
      <c r="B46" s="189" t="str">
        <f>IFERROR(__xludf.DUMMYFUNCTION("""COMPUTED_VALUE"""),"CopperWings")</f>
        <v>CopperWings</v>
      </c>
      <c r="C46" s="190">
        <f>IF(ISNUMBER($A46)=TRUE,COUNTIFS(Spreadsheet!$H$9:$H653,B46,Spreadsheet!$V$9:$V653,"&gt;0"),"")</f>
        <v>0</v>
      </c>
      <c r="D46" s="190">
        <f>IF(ISNUMBER($A46)=TRUE,COUNTIFS(Spreadsheet!$H$9:$H653,B46,Spreadsheet!$W$9:$W653,"&gt;0"),"")</f>
        <v>0</v>
      </c>
      <c r="E46" s="191">
        <f>IF(ISNUMBER($A46)=TRUE,COUNTIFS(Spreadsheet!$H$9:$H653,B46,Spreadsheet!$K$9:$K653,"TRUE"),"")</f>
        <v>2</v>
      </c>
      <c r="F46" s="172"/>
      <c r="G46" s="189" t="str">
        <f>IFERROR(__xludf.DUMMYFUNCTION("""COMPUTED_VALUE"""),"johnsjen")</f>
        <v>johnsjen</v>
      </c>
      <c r="H46" s="192">
        <f>IFERROR(__xludf.DUMMYFUNCTION("""COMPUTED_VALUE"""),4.0)</f>
        <v>4</v>
      </c>
      <c r="I46" s="172"/>
      <c r="J46" s="189"/>
      <c r="K46" s="192"/>
      <c r="L46" s="194" t="str">
        <f t="shared" si="1"/>
        <v/>
      </c>
      <c r="M46" s="189"/>
      <c r="N46" s="192"/>
    </row>
    <row r="47">
      <c r="A47" s="188">
        <f t="shared" si="2"/>
        <v>40</v>
      </c>
      <c r="B47" s="189" t="str">
        <f>IFERROR(__xludf.DUMMYFUNCTION("""COMPUTED_VALUE"""),"CrissOldouvelleRoute")</f>
        <v>CrissOldouvelleRoute</v>
      </c>
      <c r="C47" s="190">
        <f>IF(ISNUMBER($A47)=TRUE,COUNTIFS(Spreadsheet!$H$9:$H653,B47,Spreadsheet!$V$9:$V653,"&gt;0"),"")</f>
        <v>0</v>
      </c>
      <c r="D47" s="190">
        <f>IF(ISNUMBER($A47)=TRUE,COUNTIFS(Spreadsheet!$H$9:$H653,B47,Spreadsheet!$W$9:$W653,"&gt;0"),"")</f>
        <v>0</v>
      </c>
      <c r="E47" s="191">
        <f>IF(ISNUMBER($A47)=TRUE,COUNTIFS(Spreadsheet!$H$9:$H653,B47,Spreadsheet!$K$9:$K653,"TRUE"),"")</f>
        <v>1</v>
      </c>
      <c r="F47" s="172"/>
      <c r="G47" s="189" t="str">
        <f>IFERROR(__xludf.DUMMYFUNCTION("""COMPUTED_VALUE"""),"amundadus")</f>
        <v>amundadus</v>
      </c>
      <c r="H47" s="192">
        <f>IFERROR(__xludf.DUMMYFUNCTION("""COMPUTED_VALUE"""),3.0)</f>
        <v>3</v>
      </c>
      <c r="I47" s="172"/>
      <c r="J47" s="189"/>
      <c r="K47" s="192"/>
      <c r="L47" s="194" t="str">
        <f t="shared" si="1"/>
        <v/>
      </c>
      <c r="M47" s="189"/>
      <c r="N47" s="192"/>
    </row>
    <row r="48">
      <c r="A48" s="188">
        <f t="shared" si="2"/>
        <v>41</v>
      </c>
      <c r="B48" s="189" t="str">
        <f>IFERROR(__xludf.DUMMYFUNCTION("""COMPUTED_VALUE"""),"CzPeet")</f>
        <v>CzPeet</v>
      </c>
      <c r="C48" s="190">
        <f>IF(ISNUMBER($A48)=TRUE,COUNTIFS(Spreadsheet!$H$9:$H653,B48,Spreadsheet!$V$9:$V653,"&gt;0"),"")</f>
        <v>0</v>
      </c>
      <c r="D48" s="190">
        <f>IF(ISNUMBER($A48)=TRUE,COUNTIFS(Spreadsheet!$H$9:$H653,B48,Spreadsheet!$W$9:$W653,"&gt;0"),"")</f>
        <v>0</v>
      </c>
      <c r="E48" s="191">
        <f>IF(ISNUMBER($A48)=TRUE,COUNTIFS(Spreadsheet!$H$9:$H653,B48,Spreadsheet!$K$9:$K653,"TRUE"),"")</f>
        <v>1</v>
      </c>
      <c r="F48" s="172"/>
      <c r="G48" s="189" t="str">
        <f>IFERROR(__xludf.DUMMYFUNCTION("""COMPUTED_VALUE"""),"Andrew81")</f>
        <v>Andrew81</v>
      </c>
      <c r="H48" s="192">
        <f>IFERROR(__xludf.DUMMYFUNCTION("""COMPUTED_VALUE"""),3.0)</f>
        <v>3</v>
      </c>
      <c r="I48" s="172"/>
      <c r="J48" s="189"/>
      <c r="K48" s="192"/>
      <c r="L48" s="194" t="str">
        <f t="shared" si="1"/>
        <v/>
      </c>
      <c r="M48" s="189"/>
      <c r="N48" s="192"/>
    </row>
    <row r="49">
      <c r="A49" s="188">
        <f t="shared" si="2"/>
        <v>42</v>
      </c>
      <c r="B49" s="189" t="str">
        <f>IFERROR(__xludf.DUMMYFUNCTION("""COMPUTED_VALUE"""),"DarbyJoan")</f>
        <v>DarbyJoan</v>
      </c>
      <c r="C49" s="190">
        <f>IF(ISNUMBER($A49)=TRUE,COUNTIFS(Spreadsheet!$H$9:$H653,B49,Spreadsheet!$V$9:$V653,"&gt;0"),"")</f>
        <v>0</v>
      </c>
      <c r="D49" s="190">
        <f>IF(ISNUMBER($A49)=TRUE,COUNTIFS(Spreadsheet!$H$9:$H653,B49,Spreadsheet!$W$9:$W653,"&gt;0"),"")</f>
        <v>0</v>
      </c>
      <c r="E49" s="191">
        <f>IF(ISNUMBER($A49)=TRUE,COUNTIFS(Spreadsheet!$H$9:$H653,B49,Spreadsheet!$K$9:$K653,"TRUE"),"")</f>
        <v>4</v>
      </c>
      <c r="F49" s="172"/>
      <c r="G49" s="189" t="str">
        <f>IFERROR(__xludf.DUMMYFUNCTION("""COMPUTED_VALUE"""),"Anetzet")</f>
        <v>Anetzet</v>
      </c>
      <c r="H49" s="192">
        <f>IFERROR(__xludf.DUMMYFUNCTION("""COMPUTED_VALUE"""),3.0)</f>
        <v>3</v>
      </c>
      <c r="I49" s="172"/>
      <c r="J49" s="189"/>
      <c r="K49" s="192"/>
      <c r="L49" s="194" t="str">
        <f t="shared" si="1"/>
        <v/>
      </c>
      <c r="M49" s="189"/>
      <c r="N49" s="192"/>
    </row>
    <row r="50">
      <c r="A50" s="188">
        <f t="shared" si="2"/>
        <v>43</v>
      </c>
      <c r="B50" s="189" t="str">
        <f>IFERROR(__xludf.DUMMYFUNCTION("""COMPUTED_VALUE"""),"Dariuneee")</f>
        <v>Dariuneee</v>
      </c>
      <c r="C50" s="190">
        <f>IF(ISNUMBER($A50)=TRUE,COUNTIFS(Spreadsheet!$H$9:$H653,B50,Spreadsheet!$V$9:$V653,"&gt;0"),"")</f>
        <v>0</v>
      </c>
      <c r="D50" s="190">
        <f>IF(ISNUMBER($A50)=TRUE,COUNTIFS(Spreadsheet!$H$9:$H653,B50,Spreadsheet!$W$9:$W653,"&gt;0"),"")</f>
        <v>0</v>
      </c>
      <c r="E50" s="191">
        <f>IF(ISNUMBER($A50)=TRUE,COUNTIFS(Spreadsheet!$H$9:$H653,B50,Spreadsheet!$K$9:$K653,"TRUE"),"")</f>
        <v>1</v>
      </c>
      <c r="F50" s="172"/>
      <c r="G50" s="189" t="str">
        <f>IFERROR(__xludf.DUMMYFUNCTION("""COMPUTED_VALUE"""),"ArtofEco")</f>
        <v>ArtofEco</v>
      </c>
      <c r="H50" s="192">
        <f>IFERROR(__xludf.DUMMYFUNCTION("""COMPUTED_VALUE"""),3.0)</f>
        <v>3</v>
      </c>
      <c r="I50" s="172"/>
      <c r="J50" s="189"/>
      <c r="K50" s="192"/>
      <c r="L50" s="194" t="str">
        <f t="shared" si="1"/>
        <v/>
      </c>
      <c r="M50" s="189"/>
      <c r="N50" s="192"/>
    </row>
    <row r="51">
      <c r="A51" s="188">
        <f t="shared" si="2"/>
        <v>44</v>
      </c>
      <c r="B51" s="189" t="str">
        <f>IFERROR(__xludf.DUMMYFUNCTION("""COMPUTED_VALUE"""),"darrenjones")</f>
        <v>darrenjones</v>
      </c>
      <c r="C51" s="190">
        <f>IF(ISNUMBER($A51)=TRUE,COUNTIFS(Spreadsheet!$H$9:$H653,B51,Spreadsheet!$V$9:$V653,"&gt;0"),"")</f>
        <v>0</v>
      </c>
      <c r="D51" s="190">
        <f>IF(ISNUMBER($A51)=TRUE,COUNTIFS(Spreadsheet!$H$9:$H653,B51,Spreadsheet!$W$9:$W653,"&gt;0"),"")</f>
        <v>0</v>
      </c>
      <c r="E51" s="191">
        <f>IF(ISNUMBER($A51)=TRUE,COUNTIFS(Spreadsheet!$H$9:$H653,B51,Spreadsheet!$K$9:$K653,"TRUE"),"")</f>
        <v>2</v>
      </c>
      <c r="F51" s="172"/>
      <c r="G51" s="189" t="str">
        <f>IFERROR(__xludf.DUMMYFUNCTION("""COMPUTED_VALUE"""),"Boersentrader")</f>
        <v>Boersentrader</v>
      </c>
      <c r="H51" s="192">
        <f>IFERROR(__xludf.DUMMYFUNCTION("""COMPUTED_VALUE"""),3.0)</f>
        <v>3</v>
      </c>
      <c r="I51" s="172"/>
      <c r="J51" s="189"/>
      <c r="K51" s="192"/>
      <c r="L51" s="194" t="str">
        <f t="shared" si="1"/>
        <v/>
      </c>
      <c r="M51" s="189"/>
      <c r="N51" s="192"/>
    </row>
    <row r="52">
      <c r="A52" s="188">
        <f t="shared" si="2"/>
        <v>45</v>
      </c>
      <c r="B52" s="189" t="str">
        <f>IFERROR(__xludf.DUMMYFUNCTION("""COMPUTED_VALUE"""),"DeLeeuwen")</f>
        <v>DeLeeuwen</v>
      </c>
      <c r="C52" s="190">
        <f>IF(ISNUMBER($A52)=TRUE,COUNTIFS(Spreadsheet!$H$9:$H653,B52,Spreadsheet!$V$9:$V653,"&gt;0"),"")</f>
        <v>0</v>
      </c>
      <c r="D52" s="190">
        <f>IF(ISNUMBER($A52)=TRUE,COUNTIFS(Spreadsheet!$H$9:$H653,B52,Spreadsheet!$W$9:$W653,"&gt;0"),"")</f>
        <v>0</v>
      </c>
      <c r="E52" s="191">
        <f>IF(ISNUMBER($A52)=TRUE,COUNTIFS(Spreadsheet!$H$9:$H653,B52,Spreadsheet!$K$9:$K653,"TRUE"),"")</f>
        <v>3</v>
      </c>
      <c r="F52" s="172"/>
      <c r="G52" s="189" t="str">
        <f>IFERROR(__xludf.DUMMYFUNCTION("""COMPUTED_VALUE"""),"breinie")</f>
        <v>breinie</v>
      </c>
      <c r="H52" s="192">
        <f>IFERROR(__xludf.DUMMYFUNCTION("""COMPUTED_VALUE"""),3.0)</f>
        <v>3</v>
      </c>
      <c r="I52" s="172"/>
      <c r="J52" s="189"/>
      <c r="K52" s="192"/>
      <c r="L52" s="194" t="str">
        <f t="shared" si="1"/>
        <v/>
      </c>
      <c r="M52" s="189"/>
      <c r="N52" s="192"/>
    </row>
    <row r="53">
      <c r="A53" s="188">
        <f t="shared" si="2"/>
        <v>46</v>
      </c>
      <c r="B53" s="189" t="str">
        <f>IFERROR(__xludf.DUMMYFUNCTION("""COMPUTED_VALUE"""),"Derlame")</f>
        <v>Derlame</v>
      </c>
      <c r="C53" s="190">
        <f>IF(ISNUMBER($A53)=TRUE,COUNTIFS(Spreadsheet!$H$9:$H653,B53,Spreadsheet!$V$9:$V653,"&gt;0"),"")</f>
        <v>0</v>
      </c>
      <c r="D53" s="190">
        <f>IF(ISNUMBER($A53)=TRUE,COUNTIFS(Spreadsheet!$H$9:$H653,B53,Spreadsheet!$W$9:$W653,"&gt;0"),"")</f>
        <v>0</v>
      </c>
      <c r="E53" s="191">
        <f>IF(ISNUMBER($A53)=TRUE,COUNTIFS(Spreadsheet!$H$9:$H653,B53,Spreadsheet!$K$9:$K653,"TRUE"),"")</f>
        <v>1</v>
      </c>
      <c r="F53" s="172"/>
      <c r="G53" s="189" t="str">
        <f>IFERROR(__xludf.DUMMYFUNCTION("""COMPUTED_VALUE"""),"DeLeeuwen")</f>
        <v>DeLeeuwen</v>
      </c>
      <c r="H53" s="192">
        <f>IFERROR(__xludf.DUMMYFUNCTION("""COMPUTED_VALUE"""),3.0)</f>
        <v>3</v>
      </c>
      <c r="I53" s="172"/>
      <c r="J53" s="189"/>
      <c r="K53" s="192"/>
      <c r="L53" s="194" t="str">
        <f t="shared" si="1"/>
        <v/>
      </c>
      <c r="M53" s="189"/>
      <c r="N53" s="192"/>
    </row>
    <row r="54">
      <c r="A54" s="188">
        <f t="shared" si="2"/>
        <v>47</v>
      </c>
      <c r="B54" s="189" t="str">
        <f>IFERROR(__xludf.DUMMYFUNCTION("""COMPUTED_VALUE"""),"destolkjes4ever")</f>
        <v>destolkjes4ever</v>
      </c>
      <c r="C54" s="190">
        <f>IF(ISNUMBER($A54)=TRUE,COUNTIFS(Spreadsheet!$H$9:$H653,B54,Spreadsheet!$V$9:$V653,"&gt;0"),"")</f>
        <v>0</v>
      </c>
      <c r="D54" s="190">
        <f>IF(ISNUMBER($A54)=TRUE,COUNTIFS(Spreadsheet!$H$9:$H653,B54,Spreadsheet!$W$9:$W653,"&gt;0"),"")</f>
        <v>0</v>
      </c>
      <c r="E54" s="191">
        <f>IF(ISNUMBER($A54)=TRUE,COUNTIFS(Spreadsheet!$H$9:$H653,B54,Spreadsheet!$K$9:$K653,"TRUE"),"")</f>
        <v>1</v>
      </c>
      <c r="F54" s="172"/>
      <c r="G54" s="189" t="str">
        <f>IFERROR(__xludf.DUMMYFUNCTION("""COMPUTED_VALUE"""),"edwin21")</f>
        <v>edwin21</v>
      </c>
      <c r="H54" s="192">
        <f>IFERROR(__xludf.DUMMYFUNCTION("""COMPUTED_VALUE"""),3.0)</f>
        <v>3</v>
      </c>
      <c r="I54" s="172"/>
      <c r="J54" s="189"/>
      <c r="K54" s="192"/>
      <c r="L54" s="194" t="str">
        <f t="shared" si="1"/>
        <v/>
      </c>
      <c r="M54" s="189"/>
      <c r="N54" s="192"/>
    </row>
    <row r="55">
      <c r="A55" s="188">
        <f t="shared" si="2"/>
        <v>48</v>
      </c>
      <c r="B55" s="189" t="str">
        <f>IFERROR(__xludf.DUMMYFUNCTION("""COMPUTED_VALUE"""),"destrandman")</f>
        <v>destrandman</v>
      </c>
      <c r="C55" s="190">
        <f>IF(ISNUMBER($A55)=TRUE,COUNTIFS(Spreadsheet!$H$9:$H653,B55,Spreadsheet!$V$9:$V653,"&gt;0"),"")</f>
        <v>0</v>
      </c>
      <c r="D55" s="190">
        <f>IF(ISNUMBER($A55)=TRUE,COUNTIFS(Spreadsheet!$H$9:$H653,B55,Spreadsheet!$W$9:$W653,"&gt;0"),"")</f>
        <v>0</v>
      </c>
      <c r="E55" s="191">
        <f>IF(ISNUMBER($A55)=TRUE,COUNTIFS(Spreadsheet!$H$9:$H653,B55,Spreadsheet!$K$9:$K653,"TRUE"),"")</f>
        <v>5</v>
      </c>
      <c r="F55" s="172"/>
      <c r="G55" s="189" t="str">
        <f>IFERROR(__xludf.DUMMYFUNCTION("""COMPUTED_VALUE"""),"GroteSufferd")</f>
        <v>GroteSufferd</v>
      </c>
      <c r="H55" s="192">
        <f>IFERROR(__xludf.DUMMYFUNCTION("""COMPUTED_VALUE"""),3.0)</f>
        <v>3</v>
      </c>
      <c r="I55" s="172"/>
      <c r="J55" s="189"/>
      <c r="K55" s="192"/>
      <c r="L55" s="194" t="str">
        <f t="shared" si="1"/>
        <v/>
      </c>
      <c r="M55" s="189"/>
      <c r="N55" s="192"/>
    </row>
    <row r="56">
      <c r="A56" s="188">
        <f t="shared" si="2"/>
        <v>49</v>
      </c>
      <c r="B56" s="189" t="str">
        <f>IFERROR(__xludf.DUMMYFUNCTION("""COMPUTED_VALUE"""),"Dikkedoos")</f>
        <v>Dikkedoos</v>
      </c>
      <c r="C56" s="190">
        <f>IF(ISNUMBER($A56)=TRUE,COUNTIFS(Spreadsheet!$H$9:$H653,B56,Spreadsheet!$V$9:$V653,"&gt;0"),"")</f>
        <v>0</v>
      </c>
      <c r="D56" s="190">
        <f>IF(ISNUMBER($A56)=TRUE,COUNTIFS(Spreadsheet!$H$9:$H653,B56,Spreadsheet!$W$9:$W653,"&gt;0"),"")</f>
        <v>0</v>
      </c>
      <c r="E56" s="191">
        <f>IF(ISNUMBER($A56)=TRUE,COUNTIFS(Spreadsheet!$H$9:$H653,B56,Spreadsheet!$K$9:$K653,"TRUE"),"")</f>
        <v>2</v>
      </c>
      <c r="F56" s="172"/>
      <c r="G56" s="189" t="str">
        <f>IFERROR(__xludf.DUMMYFUNCTION("""COMPUTED_VALUE"""),"humbird7")</f>
        <v>humbird7</v>
      </c>
      <c r="H56" s="192">
        <f>IFERROR(__xludf.DUMMYFUNCTION("""COMPUTED_VALUE"""),3.0)</f>
        <v>3</v>
      </c>
      <c r="I56" s="172"/>
      <c r="J56" s="189"/>
      <c r="K56" s="192"/>
      <c r="L56" s="194" t="str">
        <f t="shared" si="1"/>
        <v/>
      </c>
      <c r="M56" s="189"/>
      <c r="N56" s="192"/>
    </row>
    <row r="57">
      <c r="A57" s="188">
        <f t="shared" si="2"/>
        <v>50</v>
      </c>
      <c r="B57" s="189" t="str">
        <f>IFERROR(__xludf.DUMMYFUNCTION("""COMPUTED_VALUE"""),"Dinsdagskind")</f>
        <v>Dinsdagskind</v>
      </c>
      <c r="C57" s="190">
        <f>IF(ISNUMBER($A57)=TRUE,COUNTIFS(Spreadsheet!$H$9:$H653,B57,Spreadsheet!$V$9:$V653,"&gt;0"),"")</f>
        <v>0</v>
      </c>
      <c r="D57" s="190">
        <f>IF(ISNUMBER($A57)=TRUE,COUNTIFS(Spreadsheet!$H$9:$H653,B57,Spreadsheet!$W$9:$W653,"&gt;0"),"")</f>
        <v>0</v>
      </c>
      <c r="E57" s="191">
        <f>IF(ISNUMBER($A57)=TRUE,COUNTIFS(Spreadsheet!$H$9:$H653,B57,Spreadsheet!$K$9:$K653,"TRUE"),"")</f>
        <v>1</v>
      </c>
      <c r="F57" s="172"/>
      <c r="G57" s="189" t="str">
        <f>IFERROR(__xludf.DUMMYFUNCTION("""COMPUTED_VALUE"""),"jm")</f>
        <v>jm</v>
      </c>
      <c r="H57" s="192">
        <f>IFERROR(__xludf.DUMMYFUNCTION("""COMPUTED_VALUE"""),3.0)</f>
        <v>3</v>
      </c>
      <c r="I57" s="172"/>
      <c r="J57" s="189"/>
      <c r="K57" s="192"/>
      <c r="L57" s="194" t="str">
        <f t="shared" si="1"/>
        <v/>
      </c>
      <c r="M57" s="189"/>
      <c r="N57" s="192"/>
    </row>
    <row r="58">
      <c r="A58" s="188">
        <f t="shared" si="2"/>
        <v>51</v>
      </c>
      <c r="B58" s="189" t="str">
        <f>IFERROR(__xludf.DUMMYFUNCTION("""COMPUTED_VALUE"""),"DiSaRu")</f>
        <v>DiSaRu</v>
      </c>
      <c r="C58" s="190">
        <f>IF(ISNUMBER($A58)=TRUE,COUNTIFS(Spreadsheet!$H$9:$H653,B58,Spreadsheet!$V$9:$V653,"&gt;0"),"")</f>
        <v>0</v>
      </c>
      <c r="D58" s="190">
        <f>IF(ISNUMBER($A58)=TRUE,COUNTIFS(Spreadsheet!$H$9:$H653,B58,Spreadsheet!$W$9:$W653,"&gt;0"),"")</f>
        <v>0</v>
      </c>
      <c r="E58" s="191">
        <f>IF(ISNUMBER($A58)=TRUE,COUNTIFS(Spreadsheet!$H$9:$H653,B58,Spreadsheet!$K$9:$K653,"TRUE"),"")</f>
        <v>2</v>
      </c>
      <c r="F58" s="172"/>
      <c r="G58" s="189" t="str">
        <f>IFERROR(__xludf.DUMMYFUNCTION("""COMPUTED_VALUE"""),"Kegelhexe")</f>
        <v>Kegelhexe</v>
      </c>
      <c r="H58" s="192">
        <f>IFERROR(__xludf.DUMMYFUNCTION("""COMPUTED_VALUE"""),3.0)</f>
        <v>3</v>
      </c>
      <c r="I58" s="172"/>
      <c r="J58" s="189"/>
      <c r="K58" s="192"/>
      <c r="L58" s="194" t="str">
        <f t="shared" si="1"/>
        <v/>
      </c>
      <c r="M58" s="189"/>
      <c r="N58" s="192"/>
    </row>
    <row r="59">
      <c r="A59" s="188">
        <f t="shared" si="2"/>
        <v>52</v>
      </c>
      <c r="B59" s="189" t="str">
        <f>IFERROR(__xludf.DUMMYFUNCTION("""COMPUTED_VALUE"""),"dlbisblest")</f>
        <v>dlbisblest</v>
      </c>
      <c r="C59" s="190">
        <f>IF(ISNUMBER($A59)=TRUE,COUNTIFS(Spreadsheet!$H$9:$H653,B59,Spreadsheet!$V$9:$V653,"&gt;0"),"")</f>
        <v>0</v>
      </c>
      <c r="D59" s="190">
        <f>IF(ISNUMBER($A59)=TRUE,COUNTIFS(Spreadsheet!$H$9:$H653,B59,Spreadsheet!$W$9:$W653,"&gt;0"),"")</f>
        <v>0</v>
      </c>
      <c r="E59" s="191">
        <f>IF(ISNUMBER($A59)=TRUE,COUNTIFS(Spreadsheet!$H$9:$H653,B59,Spreadsheet!$K$9:$K653,"TRUE"),"")</f>
        <v>1</v>
      </c>
      <c r="F59" s="172"/>
      <c r="G59" s="189" t="str">
        <f>IFERROR(__xludf.DUMMYFUNCTION("""COMPUTED_VALUE"""),"MariaHTJ")</f>
        <v>MariaHTJ</v>
      </c>
      <c r="H59" s="192">
        <f>IFERROR(__xludf.DUMMYFUNCTION("""COMPUTED_VALUE"""),3.0)</f>
        <v>3</v>
      </c>
      <c r="I59" s="172"/>
      <c r="J59" s="189"/>
      <c r="K59" s="192"/>
      <c r="L59" s="194" t="str">
        <f t="shared" si="1"/>
        <v/>
      </c>
      <c r="M59" s="189"/>
      <c r="N59" s="192"/>
    </row>
    <row r="60">
      <c r="A60" s="188">
        <f t="shared" si="2"/>
        <v>53</v>
      </c>
      <c r="B60" s="189" t="str">
        <f>IFERROR(__xludf.DUMMYFUNCTION("""COMPUTED_VALUE"""),"does")</f>
        <v>does</v>
      </c>
      <c r="C60" s="190">
        <f>IF(ISNUMBER($A60)=TRUE,COUNTIFS(Spreadsheet!$H$9:$H653,B60,Spreadsheet!$V$9:$V653,"&gt;0"),"")</f>
        <v>0</v>
      </c>
      <c r="D60" s="190">
        <f>IF(ISNUMBER($A60)=TRUE,COUNTIFS(Spreadsheet!$H$9:$H653,B60,Spreadsheet!$W$9:$W653,"&gt;0"),"")</f>
        <v>0</v>
      </c>
      <c r="E60" s="191">
        <f>IF(ISNUMBER($A60)=TRUE,COUNTIFS(Spreadsheet!$H$9:$H653,B60,Spreadsheet!$K$9:$K653,"TRUE"),"")</f>
        <v>5</v>
      </c>
      <c r="F60" s="172"/>
      <c r="G60" s="189" t="str">
        <f>IFERROR(__xludf.DUMMYFUNCTION("""COMPUTED_VALUE"""),"Mon4ikaCriss")</f>
        <v>Mon4ikaCriss</v>
      </c>
      <c r="H60" s="192">
        <f>IFERROR(__xludf.DUMMYFUNCTION("""COMPUTED_VALUE"""),3.0)</f>
        <v>3</v>
      </c>
      <c r="I60" s="172"/>
      <c r="J60" s="189"/>
      <c r="K60" s="192"/>
      <c r="L60" s="194" t="str">
        <f t="shared" si="1"/>
        <v/>
      </c>
      <c r="M60" s="189"/>
      <c r="N60" s="192"/>
    </row>
    <row r="61">
      <c r="A61" s="188">
        <f t="shared" si="2"/>
        <v>54</v>
      </c>
      <c r="B61" s="189" t="str">
        <f>IFERROR(__xludf.DUMMYFUNCTION("""COMPUTED_VALUE"""),"dQuest")</f>
        <v>dQuest</v>
      </c>
      <c r="C61" s="190">
        <f>IF(ISNUMBER($A61)=TRUE,COUNTIFS(Spreadsheet!$H$9:$H653,B61,Spreadsheet!$V$9:$V653,"&gt;0"),"")</f>
        <v>0</v>
      </c>
      <c r="D61" s="190">
        <f>IF(ISNUMBER($A61)=TRUE,COUNTIFS(Spreadsheet!$H$9:$H653,B61,Spreadsheet!$W$9:$W653,"&gt;0"),"")</f>
        <v>0</v>
      </c>
      <c r="E61" s="191">
        <f>IF(ISNUMBER($A61)=TRUE,COUNTIFS(Spreadsheet!$H$9:$H653,B61,Spreadsheet!$K$9:$K653,"TRUE"),"")</f>
        <v>1</v>
      </c>
      <c r="F61" s="172"/>
      <c r="G61" s="189" t="str">
        <f>IFERROR(__xludf.DUMMYFUNCTION("""COMPUTED_VALUE"""),"piupardo")</f>
        <v>piupardo</v>
      </c>
      <c r="H61" s="192">
        <f>IFERROR(__xludf.DUMMYFUNCTION("""COMPUTED_VALUE"""),3.0)</f>
        <v>3</v>
      </c>
      <c r="I61" s="172"/>
      <c r="J61" s="189"/>
      <c r="K61" s="192"/>
      <c r="L61" s="194" t="str">
        <f t="shared" si="1"/>
        <v/>
      </c>
      <c r="M61" s="189"/>
      <c r="N61" s="192"/>
    </row>
    <row r="62">
      <c r="A62" s="188">
        <f t="shared" si="2"/>
        <v>55</v>
      </c>
      <c r="B62" s="189" t="str">
        <f>IFERROR(__xludf.DUMMYFUNCTION("""COMPUTED_VALUE"""),"edwin21")</f>
        <v>edwin21</v>
      </c>
      <c r="C62" s="190">
        <f>IF(ISNUMBER($A62)=TRUE,COUNTIFS(Spreadsheet!$H$9:$H653,B62,Spreadsheet!$V$9:$V653,"&gt;0"),"")</f>
        <v>0</v>
      </c>
      <c r="D62" s="190">
        <f>IF(ISNUMBER($A62)=TRUE,COUNTIFS(Spreadsheet!$H$9:$H653,B62,Spreadsheet!$W$9:$W653,"&gt;0"),"")</f>
        <v>0</v>
      </c>
      <c r="E62" s="191">
        <f>IF(ISNUMBER($A62)=TRUE,COUNTIFS(Spreadsheet!$H$9:$H653,B62,Spreadsheet!$K$9:$K653,"TRUE"),"")</f>
        <v>3</v>
      </c>
      <c r="F62" s="172"/>
      <c r="G62" s="189" t="str">
        <f>IFERROR(__xludf.DUMMYFUNCTION("""COMPUTED_VALUE"""),"Sikko")</f>
        <v>Sikko</v>
      </c>
      <c r="H62" s="192">
        <f>IFERROR(__xludf.DUMMYFUNCTION("""COMPUTED_VALUE"""),3.0)</f>
        <v>3</v>
      </c>
      <c r="I62" s="172"/>
      <c r="J62" s="189"/>
      <c r="K62" s="192"/>
      <c r="L62" s="194" t="str">
        <f t="shared" si="1"/>
        <v/>
      </c>
      <c r="M62" s="189"/>
      <c r="N62" s="192"/>
    </row>
    <row r="63">
      <c r="A63" s="188">
        <f t="shared" si="2"/>
        <v>56</v>
      </c>
      <c r="B63" s="189" t="str">
        <f>IFERROR(__xludf.DUMMYFUNCTION("""COMPUTED_VALUE"""),"EmileP68")</f>
        <v>EmileP68</v>
      </c>
      <c r="C63" s="190">
        <f>IF(ISNUMBER($A63)=TRUE,COUNTIFS(Spreadsheet!$H$9:$H653,B63,Spreadsheet!$V$9:$V653,"&gt;0"),"")</f>
        <v>0</v>
      </c>
      <c r="D63" s="190">
        <f>IF(ISNUMBER($A63)=TRUE,COUNTIFS(Spreadsheet!$H$9:$H653,B63,Spreadsheet!$W$9:$W653,"&gt;0"),"")</f>
        <v>0</v>
      </c>
      <c r="E63" s="191">
        <f>IF(ISNUMBER($A63)=TRUE,COUNTIFS(Spreadsheet!$H$9:$H653,B63,Spreadsheet!$K$9:$K653,"TRUE"),"")</f>
        <v>10</v>
      </c>
      <c r="F63" s="172"/>
      <c r="G63" s="189" t="str">
        <f>IFERROR(__xludf.DUMMYFUNCTION("""COMPUTED_VALUE"""),"Vezliukai")</f>
        <v>Vezliukai</v>
      </c>
      <c r="H63" s="192">
        <f>IFERROR(__xludf.DUMMYFUNCTION("""COMPUTED_VALUE"""),3.0)</f>
        <v>3</v>
      </c>
      <c r="I63" s="172"/>
      <c r="J63" s="189"/>
      <c r="K63" s="192"/>
      <c r="L63" s="194" t="str">
        <f t="shared" si="1"/>
        <v/>
      </c>
      <c r="M63" s="189"/>
      <c r="N63" s="192"/>
    </row>
    <row r="64">
      <c r="A64" s="188">
        <f t="shared" si="2"/>
        <v>57</v>
      </c>
      <c r="B64" s="189" t="str">
        <f>IFERROR(__xludf.DUMMYFUNCTION("""COMPUTED_VALUE"""),"Emput1")</f>
        <v>Emput1</v>
      </c>
      <c r="C64" s="190">
        <f>IF(ISNUMBER($A64)=TRUE,COUNTIFS(Spreadsheet!$H$9:$H653,B64,Spreadsheet!$V$9:$V653,"&gt;0"),"")</f>
        <v>0</v>
      </c>
      <c r="D64" s="190">
        <f>IF(ISNUMBER($A64)=TRUE,COUNTIFS(Spreadsheet!$H$9:$H653,B64,Spreadsheet!$W$9:$W653,"&gt;0"),"")</f>
        <v>0</v>
      </c>
      <c r="E64" s="191">
        <f>IF(ISNUMBER($A64)=TRUE,COUNTIFS(Spreadsheet!$H$9:$H653,B64,Spreadsheet!$K$9:$K653,"TRUE"),"")</f>
        <v>1</v>
      </c>
      <c r="F64" s="172"/>
      <c r="G64" s="189" t="str">
        <f>IFERROR(__xludf.DUMMYFUNCTION("""COMPUTED_VALUE"""),"Vonney")</f>
        <v>Vonney</v>
      </c>
      <c r="H64" s="192">
        <f>IFERROR(__xludf.DUMMYFUNCTION("""COMPUTED_VALUE"""),3.0)</f>
        <v>3</v>
      </c>
      <c r="I64" s="172"/>
      <c r="J64" s="189"/>
      <c r="K64" s="192"/>
      <c r="L64" s="194" t="str">
        <f t="shared" si="1"/>
        <v/>
      </c>
      <c r="M64" s="189"/>
      <c r="N64" s="192"/>
    </row>
    <row r="65">
      <c r="A65" s="188">
        <f t="shared" si="2"/>
        <v>58</v>
      </c>
      <c r="B65" s="189" t="str">
        <f>IFERROR(__xludf.DUMMYFUNCTION("""COMPUTED_VALUE"""),"Eskiss")</f>
        <v>Eskiss</v>
      </c>
      <c r="C65" s="190">
        <f>IF(ISNUMBER($A65)=TRUE,COUNTIFS(Spreadsheet!$H$9:$H653,B65,Spreadsheet!$V$9:$V653,"&gt;0"),"")</f>
        <v>0</v>
      </c>
      <c r="D65" s="190">
        <f>IF(ISNUMBER($A65)=TRUE,COUNTIFS(Spreadsheet!$H$9:$H653,B65,Spreadsheet!$W$9:$W653,"&gt;0"),"")</f>
        <v>0</v>
      </c>
      <c r="E65" s="191">
        <f>IF(ISNUMBER($A65)=TRUE,COUNTIFS(Spreadsheet!$H$9:$H653,B65,Spreadsheet!$K$9:$K653,"TRUE"),"")</f>
        <v>5</v>
      </c>
      <c r="F65" s="172"/>
      <c r="G65" s="189" t="str">
        <f>IFERROR(__xludf.DUMMYFUNCTION("""COMPUTED_VALUE"""),"123xilef")</f>
        <v>123xilef</v>
      </c>
      <c r="H65" s="192">
        <f>IFERROR(__xludf.DUMMYFUNCTION("""COMPUTED_VALUE"""),2.0)</f>
        <v>2</v>
      </c>
      <c r="I65" s="172"/>
      <c r="J65" s="189"/>
      <c r="K65" s="192"/>
      <c r="L65" s="194" t="str">
        <f t="shared" si="1"/>
        <v/>
      </c>
      <c r="M65" s="189"/>
      <c r="N65" s="192"/>
    </row>
    <row r="66">
      <c r="A66" s="188">
        <f t="shared" si="2"/>
        <v>59</v>
      </c>
      <c r="B66" s="189" t="str">
        <f>IFERROR(__xludf.DUMMYFUNCTION("""COMPUTED_VALUE"""),"feikjen")</f>
        <v>feikjen</v>
      </c>
      <c r="C66" s="190">
        <f>IF(ISNUMBER($A66)=TRUE,COUNTIFS(Spreadsheet!$H$9:$H653,B66,Spreadsheet!$V$9:$V653,"&gt;0"),"")</f>
        <v>0</v>
      </c>
      <c r="D66" s="190">
        <f>IF(ISNUMBER($A66)=TRUE,COUNTIFS(Spreadsheet!$H$9:$H653,B66,Spreadsheet!$W$9:$W653,"&gt;0"),"")</f>
        <v>0</v>
      </c>
      <c r="E66" s="191">
        <f>IF(ISNUMBER($A66)=TRUE,COUNTIFS(Spreadsheet!$H$9:$H653,B66,Spreadsheet!$K$9:$K653,"TRUE"),"")</f>
        <v>8</v>
      </c>
      <c r="F66" s="172"/>
      <c r="G66" s="189" t="str">
        <f>IFERROR(__xludf.DUMMYFUNCTION("""COMPUTED_VALUE"""),"albman")</f>
        <v>albman</v>
      </c>
      <c r="H66" s="192">
        <f>IFERROR(__xludf.DUMMYFUNCTION("""COMPUTED_VALUE"""),2.0)</f>
        <v>2</v>
      </c>
      <c r="I66" s="172"/>
      <c r="J66" s="189"/>
      <c r="K66" s="192"/>
      <c r="L66" s="194" t="str">
        <f t="shared" si="1"/>
        <v/>
      </c>
      <c r="M66" s="189"/>
      <c r="N66" s="192"/>
    </row>
    <row r="67">
      <c r="A67" s="188">
        <f t="shared" si="2"/>
        <v>60</v>
      </c>
      <c r="B67" s="189" t="str">
        <f>IFERROR(__xludf.DUMMYFUNCTION("""COMPUTED_VALUE"""),"felixbongers")</f>
        <v>felixbongers</v>
      </c>
      <c r="C67" s="190">
        <f>IF(ISNUMBER($A67)=TRUE,COUNTIFS(Spreadsheet!$H$9:$H653,B67,Spreadsheet!$V$9:$V653,"&gt;0"),"")</f>
        <v>0</v>
      </c>
      <c r="D67" s="190">
        <f>IF(ISNUMBER($A67)=TRUE,COUNTIFS(Spreadsheet!$H$9:$H653,B67,Spreadsheet!$W$9:$W653,"&gt;0"),"")</f>
        <v>0</v>
      </c>
      <c r="E67" s="191">
        <f>IF(ISNUMBER($A67)=TRUE,COUNTIFS(Spreadsheet!$H$9:$H653,B67,Spreadsheet!$K$9:$K653,"TRUE"),"")</f>
        <v>8</v>
      </c>
      <c r="F67" s="172"/>
      <c r="G67" s="189" t="str">
        <f>IFERROR(__xludf.DUMMYFUNCTION("""COMPUTED_VALUE"""),"Amerod")</f>
        <v>Amerod</v>
      </c>
      <c r="H67" s="192">
        <f>IFERROR(__xludf.DUMMYFUNCTION("""COMPUTED_VALUE"""),2.0)</f>
        <v>2</v>
      </c>
      <c r="I67" s="172"/>
      <c r="J67" s="189"/>
      <c r="K67" s="192"/>
      <c r="L67" s="194" t="str">
        <f t="shared" si="1"/>
        <v/>
      </c>
      <c r="M67" s="189"/>
      <c r="N67" s="192"/>
    </row>
    <row r="68">
      <c r="A68" s="188">
        <f t="shared" si="2"/>
        <v>61</v>
      </c>
      <c r="B68" s="189" t="str">
        <f>IFERROR(__xludf.DUMMYFUNCTION("""COMPUTED_VALUE"""),"Finnleo")</f>
        <v>Finnleo</v>
      </c>
      <c r="C68" s="190">
        <f>IF(ISNUMBER($A68)=TRUE,COUNTIFS(Spreadsheet!$H$9:$H653,B68,Spreadsheet!$V$9:$V653,"&gt;0"),"")</f>
        <v>0</v>
      </c>
      <c r="D68" s="190">
        <f>IF(ISNUMBER($A68)=TRUE,COUNTIFS(Spreadsheet!$H$9:$H653,B68,Spreadsheet!$W$9:$W653,"&gt;0"),"")</f>
        <v>0</v>
      </c>
      <c r="E68" s="191">
        <f>IF(ISNUMBER($A68)=TRUE,COUNTIFS(Spreadsheet!$H$9:$H653,B68,Spreadsheet!$K$9:$K653,"TRUE"),"")</f>
        <v>2</v>
      </c>
      <c r="F68" s="172"/>
      <c r="G68" s="189" t="str">
        <f>IFERROR(__xludf.DUMMYFUNCTION("""COMPUTED_VALUE"""),"Aniara")</f>
        <v>Aniara</v>
      </c>
      <c r="H68" s="192">
        <f>IFERROR(__xludf.DUMMYFUNCTION("""COMPUTED_VALUE"""),2.0)</f>
        <v>2</v>
      </c>
      <c r="I68" s="172"/>
      <c r="J68" s="189"/>
      <c r="K68" s="192"/>
      <c r="L68" s="194" t="str">
        <f t="shared" si="1"/>
        <v/>
      </c>
      <c r="M68" s="189"/>
      <c r="N68" s="192"/>
    </row>
    <row r="69">
      <c r="A69" s="188">
        <f t="shared" si="2"/>
        <v>62</v>
      </c>
      <c r="B69" s="189" t="str">
        <f>IFERROR(__xludf.DUMMYFUNCTION("""COMPUTED_VALUE"""),"FlamingoFlurrier")</f>
        <v>FlamingoFlurrier</v>
      </c>
      <c r="C69" s="190">
        <f>IF(ISNUMBER($A69)=TRUE,COUNTIFS(Spreadsheet!$H$9:$H653,B69,Spreadsheet!$V$9:$V653,"&gt;0"),"")</f>
        <v>0</v>
      </c>
      <c r="D69" s="190">
        <f>IF(ISNUMBER($A69)=TRUE,COUNTIFS(Spreadsheet!$H$9:$H653,B69,Spreadsheet!$W$9:$W653,"&gt;0"),"")</f>
        <v>0</v>
      </c>
      <c r="E69" s="191">
        <f>IF(ISNUMBER($A69)=TRUE,COUNTIFS(Spreadsheet!$H$9:$H653,B69,Spreadsheet!$K$9:$K653,"TRUE"),"")</f>
        <v>1</v>
      </c>
      <c r="F69" s="172"/>
      <c r="G69" s="189" t="str">
        <f>IFERROR(__xludf.DUMMYFUNCTION("""COMPUTED_VALUE"""),"Cadonkey")</f>
        <v>Cadonkey</v>
      </c>
      <c r="H69" s="192">
        <f>IFERROR(__xludf.DUMMYFUNCTION("""COMPUTED_VALUE"""),2.0)</f>
        <v>2</v>
      </c>
      <c r="I69" s="172"/>
      <c r="J69" s="189"/>
      <c r="K69" s="192"/>
      <c r="L69" s="194" t="str">
        <f t="shared" si="1"/>
        <v/>
      </c>
      <c r="M69" s="189"/>
      <c r="N69" s="192"/>
    </row>
    <row r="70">
      <c r="A70" s="188">
        <f t="shared" si="2"/>
        <v>63</v>
      </c>
      <c r="B70" s="189" t="str">
        <f>IFERROR(__xludf.DUMMYFUNCTION("""COMPUTED_VALUE"""),"Franske")</f>
        <v>Franske</v>
      </c>
      <c r="C70" s="190">
        <f>IF(ISNUMBER($A70)=TRUE,COUNTIFS(Spreadsheet!$H$9:$H653,B70,Spreadsheet!$V$9:$V653,"&gt;0"),"")</f>
        <v>0</v>
      </c>
      <c r="D70" s="190">
        <f>IF(ISNUMBER($A70)=TRUE,COUNTIFS(Spreadsheet!$H$9:$H653,B70,Spreadsheet!$W$9:$W653,"&gt;0"),"")</f>
        <v>0</v>
      </c>
      <c r="E70" s="191">
        <f>IF(ISNUMBER($A70)=TRUE,COUNTIFS(Spreadsheet!$H$9:$H653,B70,Spreadsheet!$K$9:$K653,"TRUE"),"")</f>
        <v>1</v>
      </c>
      <c r="F70" s="172"/>
      <c r="G70" s="189" t="str">
        <f>IFERROR(__xludf.DUMMYFUNCTION("""COMPUTED_VALUE"""),"chickenrun")</f>
        <v>chickenrun</v>
      </c>
      <c r="H70" s="192">
        <f>IFERROR(__xludf.DUMMYFUNCTION("""COMPUTED_VALUE"""),2.0)</f>
        <v>2</v>
      </c>
      <c r="I70" s="172"/>
      <c r="J70" s="189"/>
      <c r="K70" s="192"/>
      <c r="L70" s="194" t="str">
        <f t="shared" si="1"/>
        <v/>
      </c>
      <c r="M70" s="189"/>
      <c r="N70" s="192"/>
    </row>
    <row r="71">
      <c r="A71" s="188">
        <f t="shared" si="2"/>
        <v>64</v>
      </c>
      <c r="B71" s="189" t="str">
        <f>IFERROR(__xludf.DUMMYFUNCTION("""COMPUTED_VALUE"""),"FreezeMan073")</f>
        <v>FreezeMan073</v>
      </c>
      <c r="C71" s="190">
        <f>IF(ISNUMBER($A71)=TRUE,COUNTIFS(Spreadsheet!$H$9:$H653,B71,Spreadsheet!$V$9:$V653,"&gt;0"),"")</f>
        <v>0</v>
      </c>
      <c r="D71" s="190">
        <f>IF(ISNUMBER($A71)=TRUE,COUNTIFS(Spreadsheet!$H$9:$H653,B71,Spreadsheet!$W$9:$W653,"&gt;0"),"")</f>
        <v>0</v>
      </c>
      <c r="E71" s="191">
        <f>IF(ISNUMBER($A71)=TRUE,COUNTIFS(Spreadsheet!$H$9:$H653,B71,Spreadsheet!$K$9:$K653,"TRUE"),"")</f>
        <v>2</v>
      </c>
      <c r="F71" s="172"/>
      <c r="G71" s="189" t="str">
        <f>IFERROR(__xludf.DUMMYFUNCTION("""COMPUTED_VALUE"""),"Cleland")</f>
        <v>Cleland</v>
      </c>
      <c r="H71" s="192">
        <f>IFERROR(__xludf.DUMMYFUNCTION("""COMPUTED_VALUE"""),2.0)</f>
        <v>2</v>
      </c>
      <c r="I71" s="172"/>
      <c r="J71" s="189"/>
      <c r="K71" s="192"/>
      <c r="L71" s="194" t="str">
        <f t="shared" si="1"/>
        <v/>
      </c>
      <c r="M71" s="189"/>
      <c r="N71" s="192"/>
    </row>
    <row r="72">
      <c r="A72" s="188">
        <f t="shared" si="2"/>
        <v>65</v>
      </c>
      <c r="B72" s="189" t="str">
        <f>IFERROR(__xludf.DUMMYFUNCTION("""COMPUTED_VALUE"""),"FRH")</f>
        <v>FRH</v>
      </c>
      <c r="C72" s="190">
        <f>IF(ISNUMBER($A72)=TRUE,COUNTIFS(Spreadsheet!$H$9:$H653,B72,Spreadsheet!$V$9:$V653,"&gt;0"),"")</f>
        <v>0</v>
      </c>
      <c r="D72" s="190">
        <f>IF(ISNUMBER($A72)=TRUE,COUNTIFS(Spreadsheet!$H$9:$H653,B72,Spreadsheet!$W$9:$W653,"&gt;0"),"")</f>
        <v>0</v>
      </c>
      <c r="E72" s="191">
        <f>IF(ISNUMBER($A72)=TRUE,COUNTIFS(Spreadsheet!$H$9:$H653,B72,Spreadsheet!$K$9:$K653,"TRUE"),"")</f>
        <v>1</v>
      </c>
      <c r="F72" s="172"/>
      <c r="G72" s="189" t="str">
        <f>IFERROR(__xludf.DUMMYFUNCTION("""COMPUTED_VALUE"""),"CopperWings")</f>
        <v>CopperWings</v>
      </c>
      <c r="H72" s="192">
        <f>IFERROR(__xludf.DUMMYFUNCTION("""COMPUTED_VALUE"""),2.0)</f>
        <v>2</v>
      </c>
      <c r="I72" s="172"/>
      <c r="J72" s="189"/>
      <c r="K72" s="192"/>
      <c r="L72" s="194" t="str">
        <f t="shared" si="1"/>
        <v/>
      </c>
      <c r="M72" s="189"/>
      <c r="N72" s="192"/>
    </row>
    <row r="73">
      <c r="A73" s="188">
        <f t="shared" si="2"/>
        <v>66</v>
      </c>
      <c r="B73" s="189" t="str">
        <f>IFERROR(__xludf.DUMMYFUNCTION("""COMPUTED_VALUE"""),"Frikandelbroodjes")</f>
        <v>Frikandelbroodjes</v>
      </c>
      <c r="C73" s="190">
        <f>IF(ISNUMBER($A73)=TRUE,COUNTIFS(Spreadsheet!$H$9:$H653,B73,Spreadsheet!$V$9:$V653,"&gt;0"),"")</f>
        <v>0</v>
      </c>
      <c r="D73" s="190">
        <f>IF(ISNUMBER($A73)=TRUE,COUNTIFS(Spreadsheet!$H$9:$H653,B73,Spreadsheet!$W$9:$W653,"&gt;0"),"")</f>
        <v>0</v>
      </c>
      <c r="E73" s="191">
        <f>IF(ISNUMBER($A73)=TRUE,COUNTIFS(Spreadsheet!$H$9:$H653,B73,Spreadsheet!$K$9:$K653,"TRUE"),"")</f>
        <v>1</v>
      </c>
      <c r="F73" s="172"/>
      <c r="G73" s="189" t="str">
        <f>IFERROR(__xludf.DUMMYFUNCTION("""COMPUTED_VALUE"""),"darrenjones")</f>
        <v>darrenjones</v>
      </c>
      <c r="H73" s="192">
        <f>IFERROR(__xludf.DUMMYFUNCTION("""COMPUTED_VALUE"""),2.0)</f>
        <v>2</v>
      </c>
      <c r="I73" s="172"/>
      <c r="J73" s="189"/>
      <c r="K73" s="192"/>
      <c r="L73" s="194" t="str">
        <f t="shared" si="1"/>
        <v/>
      </c>
      <c r="M73" s="189"/>
      <c r="N73" s="192"/>
    </row>
    <row r="74">
      <c r="A74" s="188">
        <f t="shared" si="2"/>
        <v>67</v>
      </c>
      <c r="B74" s="189" t="str">
        <f>IFERROR(__xludf.DUMMYFUNCTION("""COMPUTED_VALUE"""),"GeodudeDK")</f>
        <v>GeodudeDK</v>
      </c>
      <c r="C74" s="190">
        <f>IF(ISNUMBER($A74)=TRUE,COUNTIFS(Spreadsheet!$H$9:$H653,B74,Spreadsheet!$V$9:$V653,"&gt;0"),"")</f>
        <v>0</v>
      </c>
      <c r="D74" s="190">
        <f>IF(ISNUMBER($A74)=TRUE,COUNTIFS(Spreadsheet!$H$9:$H653,B74,Spreadsheet!$W$9:$W653,"&gt;0"),"")</f>
        <v>0</v>
      </c>
      <c r="E74" s="191">
        <f>IF(ISNUMBER($A74)=TRUE,COUNTIFS(Spreadsheet!$H$9:$H653,B74,Spreadsheet!$K$9:$K653,"TRUE"),"")</f>
        <v>1</v>
      </c>
      <c r="F74" s="172"/>
      <c r="G74" s="189" t="str">
        <f>IFERROR(__xludf.DUMMYFUNCTION("""COMPUTED_VALUE"""),"Dikkedoos")</f>
        <v>Dikkedoos</v>
      </c>
      <c r="H74" s="192">
        <f>IFERROR(__xludf.DUMMYFUNCTION("""COMPUTED_VALUE"""),2.0)</f>
        <v>2</v>
      </c>
      <c r="I74" s="172"/>
      <c r="J74" s="189"/>
      <c r="K74" s="192"/>
      <c r="L74" s="194" t="str">
        <f t="shared" si="1"/>
        <v/>
      </c>
      <c r="M74" s="189"/>
      <c r="N74" s="192"/>
    </row>
    <row r="75">
      <c r="A75" s="188">
        <f t="shared" si="2"/>
        <v>68</v>
      </c>
      <c r="B75" s="189" t="str">
        <f>IFERROR(__xludf.DUMMYFUNCTION("""COMPUTED_VALUE"""),"geomatrix")</f>
        <v>geomatrix</v>
      </c>
      <c r="C75" s="190">
        <f>IF(ISNUMBER($A75)=TRUE,COUNTIFS(Spreadsheet!$H$9:$H653,B75,Spreadsheet!$V$9:$V653,"&gt;0"),"")</f>
        <v>0</v>
      </c>
      <c r="D75" s="190">
        <f>IF(ISNUMBER($A75)=TRUE,COUNTIFS(Spreadsheet!$H$9:$H653,B75,Spreadsheet!$W$9:$W653,"&gt;0"),"")</f>
        <v>0</v>
      </c>
      <c r="E75" s="191">
        <f>IF(ISNUMBER($A75)=TRUE,COUNTIFS(Spreadsheet!$H$9:$H653,B75,Spreadsheet!$K$9:$K653,"TRUE"),"")</f>
        <v>1</v>
      </c>
      <c r="F75" s="172"/>
      <c r="G75" s="189" t="str">
        <f>IFERROR(__xludf.DUMMYFUNCTION("""COMPUTED_VALUE"""),"DiSaRu")</f>
        <v>DiSaRu</v>
      </c>
      <c r="H75" s="192">
        <f>IFERROR(__xludf.DUMMYFUNCTION("""COMPUTED_VALUE"""),2.0)</f>
        <v>2</v>
      </c>
      <c r="I75" s="172"/>
      <c r="J75" s="189"/>
      <c r="K75" s="192"/>
      <c r="L75" s="194" t="str">
        <f t="shared" si="1"/>
        <v/>
      </c>
      <c r="M75" s="189"/>
      <c r="N75" s="192"/>
    </row>
    <row r="76">
      <c r="A76" s="188">
        <f t="shared" si="2"/>
        <v>69</v>
      </c>
      <c r="B76" s="189" t="str">
        <f>IFERROR(__xludf.DUMMYFUNCTION("""COMPUTED_VALUE"""),"gerardz")</f>
        <v>gerardz</v>
      </c>
      <c r="C76" s="190">
        <f>IF(ISNUMBER($A76)=TRUE,COUNTIFS(Spreadsheet!$H$9:$H653,B76,Spreadsheet!$V$9:$V653,"&gt;0"),"")</f>
        <v>0</v>
      </c>
      <c r="D76" s="190">
        <f>IF(ISNUMBER($A76)=TRUE,COUNTIFS(Spreadsheet!$H$9:$H653,B76,Spreadsheet!$W$9:$W653,"&gt;0"),"")</f>
        <v>0</v>
      </c>
      <c r="E76" s="191">
        <f>IF(ISNUMBER($A76)=TRUE,COUNTIFS(Spreadsheet!$H$9:$H653,B76,Spreadsheet!$K$9:$K653,"TRUE"),"")</f>
        <v>7</v>
      </c>
      <c r="F76" s="172"/>
      <c r="G76" s="189" t="str">
        <f>IFERROR(__xludf.DUMMYFUNCTION("""COMPUTED_VALUE"""),"Finnleo")</f>
        <v>Finnleo</v>
      </c>
      <c r="H76" s="192">
        <f>IFERROR(__xludf.DUMMYFUNCTION("""COMPUTED_VALUE"""),2.0)</f>
        <v>2</v>
      </c>
      <c r="I76" s="172"/>
      <c r="J76" s="189"/>
      <c r="K76" s="192"/>
      <c r="L76" s="194" t="str">
        <f t="shared" si="1"/>
        <v/>
      </c>
      <c r="M76" s="189"/>
      <c r="N76" s="192"/>
    </row>
    <row r="77">
      <c r="A77" s="188">
        <f t="shared" si="2"/>
        <v>70</v>
      </c>
      <c r="B77" s="189" t="str">
        <f>IFERROR(__xludf.DUMMYFUNCTION("""COMPUTED_VALUE"""),"girlteam")</f>
        <v>girlteam</v>
      </c>
      <c r="C77" s="190">
        <f>IF(ISNUMBER($A77)=TRUE,COUNTIFS(Spreadsheet!$H$9:$H653,B77,Spreadsheet!$V$9:$V653,"&gt;0"),"")</f>
        <v>0</v>
      </c>
      <c r="D77" s="190">
        <f>IF(ISNUMBER($A77)=TRUE,COUNTIFS(Spreadsheet!$H$9:$H653,B77,Spreadsheet!$W$9:$W653,"&gt;0"),"")</f>
        <v>0</v>
      </c>
      <c r="E77" s="191">
        <f>IF(ISNUMBER($A77)=TRUE,COUNTIFS(Spreadsheet!$H$9:$H653,B77,Spreadsheet!$K$9:$K653,"TRUE"),"")</f>
        <v>1</v>
      </c>
      <c r="F77" s="172"/>
      <c r="G77" s="189" t="str">
        <f>IFERROR(__xludf.DUMMYFUNCTION("""COMPUTED_VALUE"""),"FreezeMan073")</f>
        <v>FreezeMan073</v>
      </c>
      <c r="H77" s="192">
        <f>IFERROR(__xludf.DUMMYFUNCTION("""COMPUTED_VALUE"""),2.0)</f>
        <v>2</v>
      </c>
      <c r="I77" s="172"/>
      <c r="J77" s="189"/>
      <c r="K77" s="192"/>
      <c r="L77" s="194" t="str">
        <f t="shared" si="1"/>
        <v/>
      </c>
      <c r="M77" s="189"/>
      <c r="N77" s="192"/>
    </row>
    <row r="78">
      <c r="A78" s="188">
        <f t="shared" si="2"/>
        <v>71</v>
      </c>
      <c r="B78" s="189" t="str">
        <f>IFERROR(__xludf.DUMMYFUNCTION("""COMPUTED_VALUE"""),"GMariusz")</f>
        <v>GMariusz</v>
      </c>
      <c r="C78" s="190">
        <f>IF(ISNUMBER($A78)=TRUE,COUNTIFS(Spreadsheet!$H$9:$H653,B78,Spreadsheet!$V$9:$V653,"&gt;0"),"")</f>
        <v>0</v>
      </c>
      <c r="D78" s="190">
        <f>IF(ISNUMBER($A78)=TRUE,COUNTIFS(Spreadsheet!$H$9:$H653,B78,Spreadsheet!$W$9:$W653,"&gt;0"),"")</f>
        <v>0</v>
      </c>
      <c r="E78" s="191">
        <f>IF(ISNUMBER($A78)=TRUE,COUNTIFS(Spreadsheet!$H$9:$H653,B78,Spreadsheet!$K$9:$K653,"TRUE"),"")</f>
        <v>1</v>
      </c>
      <c r="F78" s="172"/>
      <c r="G78" s="189" t="str">
        <f>IFERROR(__xludf.DUMMYFUNCTION("""COMPUTED_VALUE"""),"Hogglespike")</f>
        <v>Hogglespike</v>
      </c>
      <c r="H78" s="192">
        <f>IFERROR(__xludf.DUMMYFUNCTION("""COMPUTED_VALUE"""),2.0)</f>
        <v>2</v>
      </c>
      <c r="I78" s="172"/>
      <c r="J78" s="189"/>
      <c r="K78" s="192"/>
      <c r="L78" s="194" t="str">
        <f t="shared" si="1"/>
        <v/>
      </c>
      <c r="M78" s="189"/>
      <c r="N78" s="192"/>
    </row>
    <row r="79">
      <c r="A79" s="188">
        <f t="shared" si="2"/>
        <v>72</v>
      </c>
      <c r="B79" s="189" t="str">
        <f>IFERROR(__xludf.DUMMYFUNCTION("""COMPUTED_VALUE"""),"granitente")</f>
        <v>granitente</v>
      </c>
      <c r="C79" s="190">
        <f>IF(ISNUMBER($A79)=TRUE,COUNTIFS(Spreadsheet!$H$9:$H653,B79,Spreadsheet!$V$9:$V653,"&gt;0"),"")</f>
        <v>0</v>
      </c>
      <c r="D79" s="190">
        <f>IF(ISNUMBER($A79)=TRUE,COUNTIFS(Spreadsheet!$H$9:$H653,B79,Spreadsheet!$W$9:$W653,"&gt;0"),"")</f>
        <v>0</v>
      </c>
      <c r="E79" s="191">
        <f>IF(ISNUMBER($A79)=TRUE,COUNTIFS(Spreadsheet!$H$9:$H653,B79,Spreadsheet!$K$9:$K653,"TRUE"),"")</f>
        <v>5</v>
      </c>
      <c r="F79" s="172"/>
      <c r="G79" s="189" t="str">
        <f>IFERROR(__xludf.DUMMYFUNCTION("""COMPUTED_VALUE"""),"Intel9")</f>
        <v>Intel9</v>
      </c>
      <c r="H79" s="192">
        <f>IFERROR(__xludf.DUMMYFUNCTION("""COMPUTED_VALUE"""),2.0)</f>
        <v>2</v>
      </c>
      <c r="I79" s="172"/>
      <c r="J79" s="189"/>
      <c r="K79" s="192"/>
      <c r="L79" s="194" t="str">
        <f t="shared" si="1"/>
        <v/>
      </c>
      <c r="M79" s="189"/>
      <c r="N79" s="192"/>
    </row>
    <row r="80">
      <c r="A80" s="188">
        <f t="shared" si="2"/>
        <v>73</v>
      </c>
      <c r="B80" s="189" t="str">
        <f>IFERROR(__xludf.DUMMYFUNCTION("""COMPUTED_VALUE"""),"GroteSufferd")</f>
        <v>GroteSufferd</v>
      </c>
      <c r="C80" s="190">
        <f>IF(ISNUMBER($A80)=TRUE,COUNTIFS(Spreadsheet!$H$9:$H653,B80,Spreadsheet!$V$9:$V653,"&gt;0"),"")</f>
        <v>0</v>
      </c>
      <c r="D80" s="190">
        <f>IF(ISNUMBER($A80)=TRUE,COUNTIFS(Spreadsheet!$H$9:$H653,B80,Spreadsheet!$W$9:$W653,"&gt;0"),"")</f>
        <v>0</v>
      </c>
      <c r="E80" s="191">
        <f>IF(ISNUMBER($A80)=TRUE,COUNTIFS(Spreadsheet!$H$9:$H653,B80,Spreadsheet!$K$9:$K653,"TRUE"),"")</f>
        <v>3</v>
      </c>
      <c r="F80" s="172"/>
      <c r="G80" s="189" t="str">
        <f>IFERROR(__xludf.DUMMYFUNCTION("""COMPUTED_VALUE"""),"Iphoney")</f>
        <v>Iphoney</v>
      </c>
      <c r="H80" s="192">
        <f>IFERROR(__xludf.DUMMYFUNCTION("""COMPUTED_VALUE"""),2.0)</f>
        <v>2</v>
      </c>
      <c r="I80" s="172"/>
      <c r="J80" s="189"/>
      <c r="K80" s="192"/>
      <c r="L80" s="194" t="str">
        <f t="shared" si="1"/>
        <v/>
      </c>
      <c r="M80" s="189"/>
      <c r="N80" s="192"/>
    </row>
    <row r="81">
      <c r="A81" s="188">
        <f t="shared" si="2"/>
        <v>74</v>
      </c>
      <c r="B81" s="189" t="str">
        <f>IFERROR(__xludf.DUMMYFUNCTION("""COMPUTED_VALUE"""),"halizwein")</f>
        <v>halizwein</v>
      </c>
      <c r="C81" s="190">
        <f>IF(ISNUMBER($A81)=TRUE,COUNTIFS(Spreadsheet!$H$9:$H653,B81,Spreadsheet!$V$9:$V653,"&gt;0"),"")</f>
        <v>0</v>
      </c>
      <c r="D81" s="190">
        <f>IF(ISNUMBER($A81)=TRUE,COUNTIFS(Spreadsheet!$H$9:$H653,B81,Spreadsheet!$W$9:$W653,"&gt;0"),"")</f>
        <v>0</v>
      </c>
      <c r="E81" s="191">
        <f>IF(ISNUMBER($A81)=TRUE,COUNTIFS(Spreadsheet!$H$9:$H653,B81,Spreadsheet!$K$9:$K653,"TRUE"),"")</f>
        <v>1</v>
      </c>
      <c r="F81" s="172"/>
      <c r="G81" s="189" t="str">
        <f>IFERROR(__xludf.DUMMYFUNCTION("""COMPUTED_VALUE"""),"kepke3")</f>
        <v>kepke3</v>
      </c>
      <c r="H81" s="192">
        <f>IFERROR(__xludf.DUMMYFUNCTION("""COMPUTED_VALUE"""),2.0)</f>
        <v>2</v>
      </c>
      <c r="I81" s="172"/>
      <c r="J81" s="189"/>
      <c r="K81" s="192"/>
      <c r="L81" s="194" t="str">
        <f t="shared" si="1"/>
        <v/>
      </c>
      <c r="M81" s="189"/>
      <c r="N81" s="192"/>
    </row>
    <row r="82">
      <c r="A82" s="188">
        <f t="shared" si="2"/>
        <v>75</v>
      </c>
      <c r="B82" s="189" t="str">
        <f>IFERROR(__xludf.DUMMYFUNCTION("""COMPUTED_VALUE"""),"heathcote07")</f>
        <v>heathcote07</v>
      </c>
      <c r="C82" s="190">
        <f>IF(ISNUMBER($A82)=TRUE,COUNTIFS(Spreadsheet!$H$9:$H653,B82,Spreadsheet!$V$9:$V653,"&gt;0"),"")</f>
        <v>0</v>
      </c>
      <c r="D82" s="190">
        <f>IF(ISNUMBER($A82)=TRUE,COUNTIFS(Spreadsheet!$H$9:$H653,B82,Spreadsheet!$W$9:$W653,"&gt;0"),"")</f>
        <v>0</v>
      </c>
      <c r="E82" s="191">
        <f>IF(ISNUMBER($A82)=TRUE,COUNTIFS(Spreadsheet!$H$9:$H653,B82,Spreadsheet!$K$9:$K653,"TRUE"),"")</f>
        <v>1</v>
      </c>
      <c r="F82" s="172"/>
      <c r="G82" s="189" t="str">
        <f>IFERROR(__xludf.DUMMYFUNCTION("""COMPUTED_VALUE"""),"Liekensboys")</f>
        <v>Liekensboys</v>
      </c>
      <c r="H82" s="192">
        <f>IFERROR(__xludf.DUMMYFUNCTION("""COMPUTED_VALUE"""),2.0)</f>
        <v>2</v>
      </c>
      <c r="I82" s="172"/>
      <c r="J82" s="189"/>
      <c r="K82" s="192"/>
      <c r="L82" s="194" t="str">
        <f t="shared" si="1"/>
        <v/>
      </c>
      <c r="M82" s="189"/>
      <c r="N82" s="192"/>
    </row>
    <row r="83">
      <c r="A83" s="188">
        <f t="shared" si="2"/>
        <v>76</v>
      </c>
      <c r="B83" s="189" t="str">
        <f>IFERROR(__xludf.DUMMYFUNCTION("""COMPUTED_VALUE"""),"Helefant")</f>
        <v>Helefant</v>
      </c>
      <c r="C83" s="190">
        <f>IF(ISNUMBER($A83)=TRUE,COUNTIFS(Spreadsheet!$H$9:$H653,B83,Spreadsheet!$V$9:$V653,"&gt;0"),"")</f>
        <v>0</v>
      </c>
      <c r="D83" s="190">
        <f>IF(ISNUMBER($A83)=TRUE,COUNTIFS(Spreadsheet!$H$9:$H653,B83,Spreadsheet!$W$9:$W653,"&gt;0"),"")</f>
        <v>0</v>
      </c>
      <c r="E83" s="191">
        <f>IF(ISNUMBER($A83)=TRUE,COUNTIFS(Spreadsheet!$H$9:$H653,B83,Spreadsheet!$K$9:$K653,"TRUE"),"")</f>
        <v>6</v>
      </c>
      <c r="F83" s="172"/>
      <c r="G83" s="189" t="str">
        <f>IFERROR(__xludf.DUMMYFUNCTION("""COMPUTED_VALUE"""),"Mariabettina")</f>
        <v>Mariabettina</v>
      </c>
      <c r="H83" s="192">
        <f>IFERROR(__xludf.DUMMYFUNCTION("""COMPUTED_VALUE"""),2.0)</f>
        <v>2</v>
      </c>
      <c r="I83" s="172"/>
      <c r="J83" s="189"/>
      <c r="K83" s="192"/>
      <c r="L83" s="194" t="str">
        <f t="shared" si="1"/>
        <v/>
      </c>
      <c r="M83" s="189"/>
      <c r="N83" s="192"/>
    </row>
    <row r="84">
      <c r="A84" s="188">
        <f t="shared" si="2"/>
        <v>77</v>
      </c>
      <c r="B84" s="189" t="str">
        <f>IFERROR(__xludf.DUMMYFUNCTION("""COMPUTED_VALUE"""),"hems79")</f>
        <v>hems79</v>
      </c>
      <c r="C84" s="190">
        <f>IF(ISNUMBER($A84)=TRUE,COUNTIFS(Spreadsheet!$H$9:$H653,B84,Spreadsheet!$V$9:$V653,"&gt;0"),"")</f>
        <v>0</v>
      </c>
      <c r="D84" s="190">
        <f>IF(ISNUMBER($A84)=TRUE,COUNTIFS(Spreadsheet!$H$9:$H653,B84,Spreadsheet!$W$9:$W653,"&gt;0"),"")</f>
        <v>0</v>
      </c>
      <c r="E84" s="191">
        <f>IF(ISNUMBER($A84)=TRUE,COUNTIFS(Spreadsheet!$H$9:$H653,B84,Spreadsheet!$K$9:$K653,"TRUE"),"")</f>
        <v>1</v>
      </c>
      <c r="F84" s="172"/>
      <c r="G84" s="189" t="str">
        <f>IFERROR(__xludf.DUMMYFUNCTION("""COMPUTED_VALUE"""),"MarioVN")</f>
        <v>MarioVN</v>
      </c>
      <c r="H84" s="192">
        <f>IFERROR(__xludf.DUMMYFUNCTION("""COMPUTED_VALUE"""),2.0)</f>
        <v>2</v>
      </c>
      <c r="I84" s="172"/>
      <c r="J84" s="189"/>
      <c r="K84" s="192"/>
      <c r="L84" s="194" t="str">
        <f t="shared" si="1"/>
        <v/>
      </c>
      <c r="M84" s="189"/>
      <c r="N84" s="192"/>
    </row>
    <row r="85">
      <c r="A85" s="188">
        <f t="shared" si="2"/>
        <v>78</v>
      </c>
      <c r="B85" s="189" t="str">
        <f>IFERROR(__xludf.DUMMYFUNCTION("""COMPUTED_VALUE"""),"HingeAndBracket")</f>
        <v>HingeAndBracket</v>
      </c>
      <c r="C85" s="190">
        <f>IF(ISNUMBER($A85)=TRUE,COUNTIFS(Spreadsheet!$H$9:$H653,B85,Spreadsheet!$V$9:$V653,"&gt;0"),"")</f>
        <v>0</v>
      </c>
      <c r="D85" s="190">
        <f>IF(ISNUMBER($A85)=TRUE,COUNTIFS(Spreadsheet!$H$9:$H653,B85,Spreadsheet!$W$9:$W653,"&gt;0"),"")</f>
        <v>0</v>
      </c>
      <c r="E85" s="191">
        <f>IF(ISNUMBER($A85)=TRUE,COUNTIFS(Spreadsheet!$H$9:$H653,B85,Spreadsheet!$K$9:$K653,"TRUE"),"")</f>
        <v>1</v>
      </c>
      <c r="F85" s="172"/>
      <c r="G85" s="189" t="str">
        <f>IFERROR(__xludf.DUMMYFUNCTION("""COMPUTED_VALUE"""),"nufrat")</f>
        <v>nufrat</v>
      </c>
      <c r="H85" s="192">
        <f>IFERROR(__xludf.DUMMYFUNCTION("""COMPUTED_VALUE"""),2.0)</f>
        <v>2</v>
      </c>
      <c r="I85" s="172"/>
      <c r="J85" s="189"/>
      <c r="K85" s="192"/>
      <c r="L85" s="194" t="str">
        <f t="shared" si="1"/>
        <v/>
      </c>
      <c r="M85" s="189"/>
      <c r="N85" s="192"/>
    </row>
    <row r="86">
      <c r="A86" s="188">
        <f t="shared" si="2"/>
        <v>79</v>
      </c>
      <c r="B86" s="189" t="str">
        <f>IFERROR(__xludf.DUMMYFUNCTION("""COMPUTED_VALUE"""),"Hogglespike")</f>
        <v>Hogglespike</v>
      </c>
      <c r="C86" s="190">
        <f>IF(ISNUMBER($A86)=TRUE,COUNTIFS(Spreadsheet!$H$9:$H653,B86,Spreadsheet!$V$9:$V653,"&gt;0"),"")</f>
        <v>0</v>
      </c>
      <c r="D86" s="190">
        <f>IF(ISNUMBER($A86)=TRUE,COUNTIFS(Spreadsheet!$H$9:$H653,B86,Spreadsheet!$W$9:$W653,"&gt;0"),"")</f>
        <v>0</v>
      </c>
      <c r="E86" s="191">
        <f>IF(ISNUMBER($A86)=TRUE,COUNTIFS(Spreadsheet!$H$9:$H653,B86,Spreadsheet!$K$9:$K653,"TRUE"),"")</f>
        <v>2</v>
      </c>
      <c r="F86" s="172"/>
      <c r="G86" s="189" t="str">
        <f>IFERROR(__xludf.DUMMYFUNCTION("""COMPUTED_VALUE"""),"Rubin")</f>
        <v>Rubin</v>
      </c>
      <c r="H86" s="192">
        <f>IFERROR(__xludf.DUMMYFUNCTION("""COMPUTED_VALUE"""),2.0)</f>
        <v>2</v>
      </c>
      <c r="I86" s="172"/>
      <c r="J86" s="189"/>
      <c r="K86" s="192"/>
      <c r="L86" s="194" t="str">
        <f t="shared" si="1"/>
        <v/>
      </c>
      <c r="M86" s="189"/>
      <c r="N86" s="192"/>
    </row>
    <row r="87">
      <c r="A87" s="188">
        <f t="shared" si="2"/>
        <v>80</v>
      </c>
      <c r="B87" s="189" t="str">
        <f>IFERROR(__xludf.DUMMYFUNCTION("""COMPUTED_VALUE"""),"HtV")</f>
        <v>HtV</v>
      </c>
      <c r="C87" s="190">
        <f>IF(ISNUMBER($A87)=TRUE,COUNTIFS(Spreadsheet!$H$9:$H653,B87,Spreadsheet!$V$9:$V653,"&gt;0"),"")</f>
        <v>0</v>
      </c>
      <c r="D87" s="190">
        <f>IF(ISNUMBER($A87)=TRUE,COUNTIFS(Spreadsheet!$H$9:$H653,B87,Spreadsheet!$W$9:$W653,"&gt;0"),"")</f>
        <v>0</v>
      </c>
      <c r="E87" s="191">
        <f>IF(ISNUMBER($A87)=TRUE,COUNTIFS(Spreadsheet!$H$9:$H653,B87,Spreadsheet!$K$9:$K653,"TRUE"),"")</f>
        <v>1</v>
      </c>
      <c r="F87" s="172"/>
      <c r="G87" s="189" t="str">
        <f>IFERROR(__xludf.DUMMYFUNCTION("""COMPUTED_VALUE"""),"sagabi")</f>
        <v>sagabi</v>
      </c>
      <c r="H87" s="192">
        <f>IFERROR(__xludf.DUMMYFUNCTION("""COMPUTED_VALUE"""),2.0)</f>
        <v>2</v>
      </c>
      <c r="I87" s="172"/>
      <c r="J87" s="189"/>
      <c r="K87" s="192"/>
      <c r="L87" s="194" t="str">
        <f t="shared" si="1"/>
        <v/>
      </c>
      <c r="M87" s="189"/>
      <c r="N87" s="192"/>
    </row>
    <row r="88">
      <c r="A88" s="188">
        <f t="shared" si="2"/>
        <v>81</v>
      </c>
      <c r="B88" s="189" t="str">
        <f>IFERROR(__xludf.DUMMYFUNCTION("""COMPUTED_VALUE"""),"humbird7")</f>
        <v>humbird7</v>
      </c>
      <c r="C88" s="190">
        <f>IF(ISNUMBER($A88)=TRUE,COUNTIFS(Spreadsheet!$H$9:$H653,B88,Spreadsheet!$V$9:$V653,"&gt;0"),"")</f>
        <v>0</v>
      </c>
      <c r="D88" s="190">
        <f>IF(ISNUMBER($A88)=TRUE,COUNTIFS(Spreadsheet!$H$9:$H653,B88,Spreadsheet!$W$9:$W653,"&gt;0"),"")</f>
        <v>0</v>
      </c>
      <c r="E88" s="191">
        <f>IF(ISNUMBER($A88)=TRUE,COUNTIFS(Spreadsheet!$H$9:$H653,B88,Spreadsheet!$K$9:$K653,"TRUE"),"")</f>
        <v>3</v>
      </c>
      <c r="F88" s="172"/>
      <c r="G88" s="189" t="str">
        <f>IFERROR(__xludf.DUMMYFUNCTION("""COMPUTED_VALUE"""),"Sandrius")</f>
        <v>Sandrius</v>
      </c>
      <c r="H88" s="192">
        <f>IFERROR(__xludf.DUMMYFUNCTION("""COMPUTED_VALUE"""),2.0)</f>
        <v>2</v>
      </c>
      <c r="I88" s="172"/>
      <c r="J88" s="189"/>
      <c r="K88" s="192"/>
      <c r="L88" s="194" t="str">
        <f t="shared" si="1"/>
        <v/>
      </c>
      <c r="M88" s="189"/>
      <c r="N88" s="192"/>
    </row>
    <row r="89">
      <c r="A89" s="188">
        <f t="shared" si="2"/>
        <v>82</v>
      </c>
      <c r="B89" s="189" t="str">
        <f>IFERROR(__xludf.DUMMYFUNCTION("""COMPUTED_VALUE"""),"hz")</f>
        <v>hz</v>
      </c>
      <c r="C89" s="190">
        <f>IF(ISNUMBER($A89)=TRUE,COUNTIFS(Spreadsheet!$H$9:$H653,B89,Spreadsheet!$V$9:$V653,"&gt;0"),"")</f>
        <v>0</v>
      </c>
      <c r="D89" s="190">
        <f>IF(ISNUMBER($A89)=TRUE,COUNTIFS(Spreadsheet!$H$9:$H653,B89,Spreadsheet!$W$9:$W653,"&gt;0"),"")</f>
        <v>0</v>
      </c>
      <c r="E89" s="191">
        <f>IF(ISNUMBER($A89)=TRUE,COUNTIFS(Spreadsheet!$H$9:$H653,B89,Spreadsheet!$K$9:$K653,"TRUE"),"")</f>
        <v>4</v>
      </c>
      <c r="F89" s="172"/>
      <c r="G89" s="189" t="str">
        <f>IFERROR(__xludf.DUMMYFUNCTION("""COMPUTED_VALUE"""),"Sidekicks")</f>
        <v>Sidekicks</v>
      </c>
      <c r="H89" s="192">
        <f>IFERROR(__xludf.DUMMYFUNCTION("""COMPUTED_VALUE"""),2.0)</f>
        <v>2</v>
      </c>
      <c r="I89" s="172"/>
      <c r="J89" s="189"/>
      <c r="K89" s="192"/>
      <c r="L89" s="194" t="str">
        <f t="shared" si="1"/>
        <v/>
      </c>
      <c r="M89" s="189"/>
      <c r="N89" s="192"/>
    </row>
    <row r="90">
      <c r="A90" s="188">
        <f t="shared" si="2"/>
        <v>83</v>
      </c>
      <c r="B90" s="189" t="str">
        <f>IFERROR(__xludf.DUMMYFUNCTION("""COMPUTED_VALUE"""),"Ingetje")</f>
        <v>Ingetje</v>
      </c>
      <c r="C90" s="190">
        <f>IF(ISNUMBER($A90)=TRUE,COUNTIFS(Spreadsheet!$H$9:$H653,B90,Spreadsheet!$V$9:$V653,"&gt;0"),"")</f>
        <v>0</v>
      </c>
      <c r="D90" s="190">
        <f>IF(ISNUMBER($A90)=TRUE,COUNTIFS(Spreadsheet!$H$9:$H653,B90,Spreadsheet!$W$9:$W653,"&gt;0"),"")</f>
        <v>0</v>
      </c>
      <c r="E90" s="191">
        <f>IF(ISNUMBER($A90)=TRUE,COUNTIFS(Spreadsheet!$H$9:$H653,B90,Spreadsheet!$K$9:$K653,"TRUE"),"")</f>
        <v>14</v>
      </c>
      <c r="F90" s="172"/>
      <c r="G90" s="189" t="str">
        <f>IFERROR(__xludf.DUMMYFUNCTION("""COMPUTED_VALUE"""),"Suomieven")</f>
        <v>Suomieven</v>
      </c>
      <c r="H90" s="192">
        <f>IFERROR(__xludf.DUMMYFUNCTION("""COMPUTED_VALUE"""),2.0)</f>
        <v>2</v>
      </c>
      <c r="I90" s="172"/>
      <c r="J90" s="189"/>
      <c r="K90" s="192"/>
      <c r="L90" s="194" t="str">
        <f t="shared" si="1"/>
        <v/>
      </c>
      <c r="M90" s="189"/>
      <c r="N90" s="192"/>
    </row>
    <row r="91">
      <c r="A91" s="188">
        <f t="shared" si="2"/>
        <v>84</v>
      </c>
      <c r="B91" s="189" t="str">
        <f>IFERROR(__xludf.DUMMYFUNCTION("""COMPUTED_VALUE"""),"Intel9")</f>
        <v>Intel9</v>
      </c>
      <c r="C91" s="190">
        <f>IF(ISNUMBER($A91)=TRUE,COUNTIFS(Spreadsheet!$H$9:$H653,B91,Spreadsheet!$V$9:$V653,"&gt;0"),"")</f>
        <v>0</v>
      </c>
      <c r="D91" s="190">
        <f>IF(ISNUMBER($A91)=TRUE,COUNTIFS(Spreadsheet!$H$9:$H653,B91,Spreadsheet!$W$9:$W653,"&gt;0"),"")</f>
        <v>0</v>
      </c>
      <c r="E91" s="191">
        <f>IF(ISNUMBER($A91)=TRUE,COUNTIFS(Spreadsheet!$H$9:$H653,B91,Spreadsheet!$K$9:$K653,"TRUE"),"")</f>
        <v>2</v>
      </c>
      <c r="F91" s="172"/>
      <c r="G91" s="189" t="str">
        <f>IFERROR(__xludf.DUMMYFUNCTION("""COMPUTED_VALUE"""),"TheFrog")</f>
        <v>TheFrog</v>
      </c>
      <c r="H91" s="192">
        <f>IFERROR(__xludf.DUMMYFUNCTION("""COMPUTED_VALUE"""),2.0)</f>
        <v>2</v>
      </c>
      <c r="I91" s="172"/>
      <c r="J91" s="189"/>
      <c r="K91" s="192"/>
      <c r="L91" s="194" t="str">
        <f t="shared" si="1"/>
        <v/>
      </c>
      <c r="M91" s="189"/>
      <c r="N91" s="192"/>
    </row>
    <row r="92">
      <c r="A92" s="188">
        <f t="shared" si="2"/>
        <v>85</v>
      </c>
      <c r="B92" s="189" t="str">
        <f>IFERROR(__xludf.DUMMYFUNCTION("""COMPUTED_VALUE"""),"Iphoney")</f>
        <v>Iphoney</v>
      </c>
      <c r="C92" s="190">
        <f>IF(ISNUMBER($A92)=TRUE,COUNTIFS(Spreadsheet!$H$9:$H653,B92,Spreadsheet!$V$9:$V653,"&gt;0"),"")</f>
        <v>0</v>
      </c>
      <c r="D92" s="190">
        <f>IF(ISNUMBER($A92)=TRUE,COUNTIFS(Spreadsheet!$H$9:$H653,B92,Spreadsheet!$W$9:$W653,"&gt;0"),"")</f>
        <v>0</v>
      </c>
      <c r="E92" s="191">
        <f>IF(ISNUMBER($A92)=TRUE,COUNTIFS(Spreadsheet!$H$9:$H653,B92,Spreadsheet!$K$9:$K653,"TRUE"),"")</f>
        <v>2</v>
      </c>
      <c r="F92" s="172"/>
      <c r="G92" s="189" t="str">
        <f>IFERROR(__xludf.DUMMYFUNCTION("""COMPUTED_VALUE"""),"thelanes")</f>
        <v>thelanes</v>
      </c>
      <c r="H92" s="192">
        <f>IFERROR(__xludf.DUMMYFUNCTION("""COMPUTED_VALUE"""),2.0)</f>
        <v>2</v>
      </c>
      <c r="I92" s="172"/>
      <c r="J92" s="189"/>
      <c r="K92" s="192"/>
      <c r="L92" s="194" t="str">
        <f t="shared" si="1"/>
        <v/>
      </c>
      <c r="M92" s="189"/>
      <c r="N92" s="192"/>
    </row>
    <row r="93">
      <c r="A93" s="188">
        <f t="shared" si="2"/>
        <v>86</v>
      </c>
      <c r="B93" s="189" t="str">
        <f>IFERROR(__xludf.DUMMYFUNCTION("""COMPUTED_VALUE"""),"jacksparrow")</f>
        <v>jacksparrow</v>
      </c>
      <c r="C93" s="190">
        <f>IF(ISNUMBER($A93)=TRUE,COUNTIFS(Spreadsheet!$H$9:$H653,B93,Spreadsheet!$V$9:$V653,"&gt;0"),"")</f>
        <v>0</v>
      </c>
      <c r="D93" s="190">
        <f>IF(ISNUMBER($A93)=TRUE,COUNTIFS(Spreadsheet!$H$9:$H653,B93,Spreadsheet!$W$9:$W653,"&gt;0"),"")</f>
        <v>0</v>
      </c>
      <c r="E93" s="191">
        <f>IF(ISNUMBER($A93)=TRUE,COUNTIFS(Spreadsheet!$H$9:$H653,B93,Spreadsheet!$K$9:$K653,"TRUE"),"")</f>
        <v>1</v>
      </c>
      <c r="F93" s="172"/>
      <c r="G93" s="189" t="str">
        <f>IFERROR(__xludf.DUMMYFUNCTION("""COMPUTED_VALUE"""),"Tornado")</f>
        <v>Tornado</v>
      </c>
      <c r="H93" s="192">
        <f>IFERROR(__xludf.DUMMYFUNCTION("""COMPUTED_VALUE"""),2.0)</f>
        <v>2</v>
      </c>
      <c r="I93" s="172"/>
      <c r="J93" s="189"/>
      <c r="K93" s="192"/>
      <c r="L93" s="194" t="str">
        <f t="shared" si="1"/>
        <v/>
      </c>
      <c r="M93" s="189"/>
      <c r="N93" s="192"/>
    </row>
    <row r="94">
      <c r="A94" s="188">
        <f t="shared" si="2"/>
        <v>87</v>
      </c>
      <c r="B94" s="189" t="str">
        <f>IFERROR(__xludf.DUMMYFUNCTION("""COMPUTED_VALUE"""),"Jafo43")</f>
        <v>Jafo43</v>
      </c>
      <c r="C94" s="190">
        <f>IF(ISNUMBER($A94)=TRUE,COUNTIFS(Spreadsheet!$H$9:$H653,B94,Spreadsheet!$V$9:$V653,"&gt;0"),"")</f>
        <v>0</v>
      </c>
      <c r="D94" s="190">
        <f>IF(ISNUMBER($A94)=TRUE,COUNTIFS(Spreadsheet!$H$9:$H653,B94,Spreadsheet!$W$9:$W653,"&gt;0"),"")</f>
        <v>0</v>
      </c>
      <c r="E94" s="191">
        <f>IF(ISNUMBER($A94)=TRUE,COUNTIFS(Spreadsheet!$H$9:$H653,B94,Spreadsheet!$K$9:$K653,"TRUE"),"")</f>
        <v>5</v>
      </c>
      <c r="F94" s="172"/>
      <c r="G94" s="189" t="str">
        <f>IFERROR(__xludf.DUMMYFUNCTION("""COMPUTED_VALUE"""),"Tossie")</f>
        <v>Tossie</v>
      </c>
      <c r="H94" s="192">
        <f>IFERROR(__xludf.DUMMYFUNCTION("""COMPUTED_VALUE"""),2.0)</f>
        <v>2</v>
      </c>
      <c r="I94" s="172"/>
      <c r="J94" s="189"/>
      <c r="K94" s="192"/>
      <c r="L94" s="194" t="str">
        <f t="shared" si="1"/>
        <v/>
      </c>
      <c r="M94" s="189"/>
      <c r="N94" s="192"/>
    </row>
    <row r="95">
      <c r="A95" s="188">
        <f t="shared" si="2"/>
        <v>88</v>
      </c>
      <c r="B95" s="189" t="str">
        <f>IFERROR(__xludf.DUMMYFUNCTION("""COMPUTED_VALUE"""),"janzattic")</f>
        <v>janzattic</v>
      </c>
      <c r="C95" s="190">
        <f>IF(ISNUMBER($A95)=TRUE,COUNTIFS(Spreadsheet!$H$9:$H653,B95,Spreadsheet!$V$9:$V653,"&gt;0"),"")</f>
        <v>0</v>
      </c>
      <c r="D95" s="190">
        <f>IF(ISNUMBER($A95)=TRUE,COUNTIFS(Spreadsheet!$H$9:$H653,B95,Spreadsheet!$W$9:$W653,"&gt;0"),"")</f>
        <v>0</v>
      </c>
      <c r="E95" s="191">
        <f>IF(ISNUMBER($A95)=TRUE,COUNTIFS(Spreadsheet!$H$9:$H653,B95,Spreadsheet!$K$9:$K653,"TRUE"),"")</f>
        <v>1</v>
      </c>
      <c r="F95" s="172"/>
      <c r="G95" s="189" t="str">
        <f>IFERROR(__xludf.DUMMYFUNCTION("""COMPUTED_VALUE"""),"Trunte2002")</f>
        <v>Trunte2002</v>
      </c>
      <c r="H95" s="192">
        <f>IFERROR(__xludf.DUMMYFUNCTION("""COMPUTED_VALUE"""),2.0)</f>
        <v>2</v>
      </c>
      <c r="I95" s="172"/>
      <c r="J95" s="189"/>
      <c r="K95" s="192"/>
      <c r="L95" s="194" t="str">
        <f t="shared" si="1"/>
        <v/>
      </c>
      <c r="M95" s="189"/>
      <c r="N95" s="192"/>
    </row>
    <row r="96">
      <c r="A96" s="193">
        <f t="shared" si="2"/>
        <v>89</v>
      </c>
      <c r="B96" s="189" t="str">
        <f>IFERROR(__xludf.DUMMYFUNCTION("""COMPUTED_VALUE"""),"Jeffeth")</f>
        <v>Jeffeth</v>
      </c>
      <c r="C96" s="190">
        <f>IF(ISNUMBER($A96)=TRUE,COUNTIFS(Spreadsheet!$H$9:$H653,B96,Spreadsheet!$V$9:$V653,"&gt;0"),"")</f>
        <v>0</v>
      </c>
      <c r="D96" s="190">
        <f>IF(ISNUMBER($A96)=TRUE,COUNTIFS(Spreadsheet!$H$9:$H653,B96,Spreadsheet!$W$9:$W653,"&gt;0"),"")</f>
        <v>0</v>
      </c>
      <c r="E96" s="191">
        <f>IF(ISNUMBER($A96)=TRUE,COUNTIFS(Spreadsheet!$H$9:$H653,B96,Spreadsheet!$K$9:$K653,"TRUE"),"")</f>
        <v>1</v>
      </c>
      <c r="F96" s="172"/>
      <c r="G96" s="189" t="str">
        <f>IFERROR(__xludf.DUMMYFUNCTION("""COMPUTED_VALUE"""),"Vanduo62")</f>
        <v>Vanduo62</v>
      </c>
      <c r="H96" s="192">
        <f>IFERROR(__xludf.DUMMYFUNCTION("""COMPUTED_VALUE"""),2.0)</f>
        <v>2</v>
      </c>
      <c r="I96" s="172"/>
      <c r="J96" s="189"/>
      <c r="K96" s="192"/>
      <c r="L96" s="194" t="str">
        <f t="shared" si="1"/>
        <v/>
      </c>
      <c r="M96" s="189"/>
      <c r="N96" s="192"/>
    </row>
    <row r="97">
      <c r="A97" s="193">
        <f t="shared" si="2"/>
        <v>90</v>
      </c>
      <c r="B97" s="189" t="str">
        <f>IFERROR(__xludf.DUMMYFUNCTION("""COMPUTED_VALUE"""),"jesterjeff007")</f>
        <v>jesterjeff007</v>
      </c>
      <c r="C97" s="190">
        <f>IF(ISNUMBER($A97)=TRUE,COUNTIFS(Spreadsheet!$H$9:$H653,B97,Spreadsheet!$V$9:$V653,"&gt;0"),"")</f>
        <v>0</v>
      </c>
      <c r="D97" s="190">
        <f>IF(ISNUMBER($A97)=TRUE,COUNTIFS(Spreadsheet!$H$9:$H653,B97,Spreadsheet!$W$9:$W653,"&gt;0"),"")</f>
        <v>0</v>
      </c>
      <c r="E97" s="191">
        <f>IF(ISNUMBER($A97)=TRUE,COUNTIFS(Spreadsheet!$H$9:$H653,B97,Spreadsheet!$K$9:$K653,"TRUE"),"")</f>
        <v>1</v>
      </c>
      <c r="F97" s="172"/>
      <c r="G97" s="189" t="str">
        <f>IFERROR(__xludf.DUMMYFUNCTION("""COMPUTED_VALUE"""),"Warriors ")</f>
        <v>Warriors </v>
      </c>
      <c r="H97" s="192">
        <f>IFERROR(__xludf.DUMMYFUNCTION("""COMPUTED_VALUE"""),2.0)</f>
        <v>2</v>
      </c>
      <c r="I97" s="172"/>
      <c r="J97" s="189"/>
      <c r="K97" s="192"/>
      <c r="L97" s="194" t="str">
        <f t="shared" si="1"/>
        <v/>
      </c>
      <c r="M97" s="189"/>
      <c r="N97" s="192"/>
    </row>
    <row r="98">
      <c r="A98" s="193">
        <f t="shared" si="2"/>
        <v>91</v>
      </c>
      <c r="B98" s="189" t="str">
        <f>IFERROR(__xludf.DUMMYFUNCTION("""COMPUTED_VALUE"""),"jm")</f>
        <v>jm</v>
      </c>
      <c r="C98" s="190">
        <f>IF(ISNUMBER($A98)=TRUE,COUNTIFS(Spreadsheet!$H$9:$H653,B98,Spreadsheet!$V$9:$V653,"&gt;0"),"")</f>
        <v>0</v>
      </c>
      <c r="D98" s="190">
        <f>IF(ISNUMBER($A98)=TRUE,COUNTIFS(Spreadsheet!$H$9:$H653,B98,Spreadsheet!$W$9:$W653,"&gt;0"),"")</f>
        <v>0</v>
      </c>
      <c r="E98" s="191">
        <f>IF(ISNUMBER($A98)=TRUE,COUNTIFS(Spreadsheet!$H$9:$H653,B98,Spreadsheet!$K$9:$K653,"TRUE"),"")</f>
        <v>3</v>
      </c>
      <c r="F98" s="172"/>
      <c r="G98" s="189" t="str">
        <f>IFERROR(__xludf.DUMMYFUNCTION("""COMPUTED_VALUE"""),"xptwo")</f>
        <v>xptwo</v>
      </c>
      <c r="H98" s="192">
        <f>IFERROR(__xludf.DUMMYFUNCTION("""COMPUTED_VALUE"""),2.0)</f>
        <v>2</v>
      </c>
      <c r="I98" s="172"/>
      <c r="J98" s="189"/>
      <c r="K98" s="192"/>
      <c r="L98" s="194" t="str">
        <f t="shared" si="1"/>
        <v/>
      </c>
      <c r="M98" s="189"/>
      <c r="N98" s="192"/>
    </row>
    <row r="99">
      <c r="A99" s="193">
        <f t="shared" si="2"/>
        <v>92</v>
      </c>
      <c r="B99" s="189" t="str">
        <f>IFERROR(__xludf.DUMMYFUNCTION("""COMPUTED_VALUE"""),"johnsjen")</f>
        <v>johnsjen</v>
      </c>
      <c r="C99" s="190">
        <f>IF(ISNUMBER($A99)=TRUE,COUNTIFS(Spreadsheet!$H$9:$H653,B99,Spreadsheet!$V$9:$V653,"&gt;0"),"")</f>
        <v>0</v>
      </c>
      <c r="D99" s="190">
        <f>IF(ISNUMBER($A99)=TRUE,COUNTIFS(Spreadsheet!$H$9:$H653,B99,Spreadsheet!$W$9:$W653,"&gt;0"),"")</f>
        <v>0</v>
      </c>
      <c r="E99" s="191">
        <f>IF(ISNUMBER($A99)=TRUE,COUNTIFS(Spreadsheet!$H$9:$H653,B99,Spreadsheet!$K$9:$K653,"TRUE"),"")</f>
        <v>4</v>
      </c>
      <c r="F99" s="172"/>
      <c r="G99" s="189" t="str">
        <f>IFERROR(__xludf.DUMMYFUNCTION("""COMPUTED_VALUE""")," rgforsythe")</f>
        <v> rgforsythe</v>
      </c>
      <c r="H99" s="192">
        <f>IFERROR(__xludf.DUMMYFUNCTION("""COMPUTED_VALUE"""),1.0)</f>
        <v>1</v>
      </c>
      <c r="I99" s="172"/>
      <c r="J99" s="189"/>
      <c r="K99" s="192"/>
      <c r="L99" s="194" t="str">
        <f t="shared" si="1"/>
        <v/>
      </c>
      <c r="M99" s="189"/>
      <c r="N99" s="192"/>
    </row>
    <row r="100">
      <c r="A100" s="193">
        <f t="shared" si="2"/>
        <v>93</v>
      </c>
      <c r="B100" s="189" t="str">
        <f>IFERROR(__xludf.DUMMYFUNCTION("""COMPUTED_VALUE"""),"kaliho")</f>
        <v>kaliho</v>
      </c>
      <c r="C100" s="190">
        <f>IF(ISNUMBER($A100)=TRUE,COUNTIFS(Spreadsheet!$H$9:$H653,B100,Spreadsheet!$V$9:$V653,"&gt;0"),"")</f>
        <v>0</v>
      </c>
      <c r="D100" s="190">
        <f>IF(ISNUMBER($A100)=TRUE,COUNTIFS(Spreadsheet!$H$9:$H653,B100,Spreadsheet!$W$9:$W653,"&gt;0"),"")</f>
        <v>0</v>
      </c>
      <c r="E100" s="191">
        <f>IF(ISNUMBER($A100)=TRUE,COUNTIFS(Spreadsheet!$H$9:$H653,B100,Spreadsheet!$K$9:$K653,"TRUE"),"")</f>
        <v>1</v>
      </c>
      <c r="F100" s="172"/>
      <c r="G100" s="189" t="str">
        <f>IFERROR(__xludf.DUMMYFUNCTION("""COMPUTED_VALUE"""),"5Star")</f>
        <v>5Star</v>
      </c>
      <c r="H100" s="192">
        <f>IFERROR(__xludf.DUMMYFUNCTION("""COMPUTED_VALUE"""),1.0)</f>
        <v>1</v>
      </c>
      <c r="I100" s="172"/>
      <c r="J100" s="189"/>
      <c r="K100" s="192"/>
      <c r="L100" s="194" t="str">
        <f t="shared" si="1"/>
        <v/>
      </c>
      <c r="M100" s="189"/>
      <c r="N100" s="192"/>
    </row>
    <row r="101">
      <c r="A101" s="193">
        <f t="shared" si="2"/>
        <v>94</v>
      </c>
      <c r="B101" s="189" t="str">
        <f>IFERROR(__xludf.DUMMYFUNCTION("""COMPUTED_VALUE"""),"Kegelhexe")</f>
        <v>Kegelhexe</v>
      </c>
      <c r="C101" s="190">
        <f>IF(ISNUMBER($A101)=TRUE,COUNTIFS(Spreadsheet!$H$9:$H653,B101,Spreadsheet!$V$9:$V653,"&gt;0"),"")</f>
        <v>0</v>
      </c>
      <c r="D101" s="190">
        <f>IF(ISNUMBER($A101)=TRUE,COUNTIFS(Spreadsheet!$H$9:$H653,B101,Spreadsheet!$W$9:$W653,"&gt;0"),"")</f>
        <v>0</v>
      </c>
      <c r="E101" s="191">
        <f>IF(ISNUMBER($A101)=TRUE,COUNTIFS(Spreadsheet!$H$9:$H653,B101,Spreadsheet!$K$9:$K653,"TRUE"),"")</f>
        <v>3</v>
      </c>
      <c r="F101" s="172"/>
      <c r="G101" s="189" t="str">
        <f>IFERROR(__xludf.DUMMYFUNCTION("""COMPUTED_VALUE"""),"90mile")</f>
        <v>90mile</v>
      </c>
      <c r="H101" s="192">
        <f>IFERROR(__xludf.DUMMYFUNCTION("""COMPUTED_VALUE"""),1.0)</f>
        <v>1</v>
      </c>
      <c r="I101" s="172"/>
      <c r="J101" s="189"/>
      <c r="K101" s="192"/>
      <c r="L101" s="194" t="str">
        <f t="shared" si="1"/>
        <v/>
      </c>
      <c r="M101" s="189"/>
      <c r="N101" s="192"/>
    </row>
    <row r="102">
      <c r="A102" s="193">
        <f t="shared" si="2"/>
        <v>95</v>
      </c>
      <c r="B102" s="189" t="str">
        <f>IFERROR(__xludf.DUMMYFUNCTION("""COMPUTED_VALUE"""),"kepke3")</f>
        <v>kepke3</v>
      </c>
      <c r="C102" s="190">
        <f>IF(ISNUMBER($A102)=TRUE,COUNTIFS(Spreadsheet!$H$9:$H653,B102,Spreadsheet!$V$9:$V653,"&gt;0"),"")</f>
        <v>0</v>
      </c>
      <c r="D102" s="190">
        <f>IF(ISNUMBER($A102)=TRUE,COUNTIFS(Spreadsheet!$H$9:$H653,B102,Spreadsheet!$W$9:$W653,"&gt;0"),"")</f>
        <v>0</v>
      </c>
      <c r="E102" s="191">
        <f>IF(ISNUMBER($A102)=TRUE,COUNTIFS(Spreadsheet!$H$9:$H653,B102,Spreadsheet!$K$9:$K653,"TRUE"),"")</f>
        <v>2</v>
      </c>
      <c r="F102" s="172"/>
      <c r="G102" s="189" t="str">
        <f>IFERROR(__xludf.DUMMYFUNCTION("""COMPUTED_VALUE"""),"annabanana")</f>
        <v>annabanana</v>
      </c>
      <c r="H102" s="192">
        <f>IFERROR(__xludf.DUMMYFUNCTION("""COMPUTED_VALUE"""),1.0)</f>
        <v>1</v>
      </c>
      <c r="I102" s="172"/>
      <c r="J102" s="189"/>
      <c r="K102" s="192"/>
      <c r="L102" s="194" t="str">
        <f t="shared" si="1"/>
        <v/>
      </c>
      <c r="M102" s="189"/>
      <c r="N102" s="192"/>
    </row>
    <row r="103">
      <c r="A103" s="193">
        <f t="shared" si="2"/>
        <v>96</v>
      </c>
      <c r="B103" s="189" t="str">
        <f>IFERROR(__xludf.DUMMYFUNCTION("""COMPUTED_VALUE"""),"keromar")</f>
        <v>keromar</v>
      </c>
      <c r="C103" s="190">
        <f>IF(ISNUMBER($A103)=TRUE,COUNTIFS(Spreadsheet!$H$9:$H653,B103,Spreadsheet!$V$9:$V653,"&gt;0"),"")</f>
        <v>0</v>
      </c>
      <c r="D103" s="190">
        <f>IF(ISNUMBER($A103)=TRUE,COUNTIFS(Spreadsheet!$H$9:$H653,B103,Spreadsheet!$W$9:$W653,"&gt;0"),"")</f>
        <v>0</v>
      </c>
      <c r="E103" s="191">
        <f>IF(ISNUMBER($A103)=TRUE,COUNTIFS(Spreadsheet!$H$9:$H653,B103,Spreadsheet!$K$9:$K653,"TRUE"),"")</f>
        <v>9</v>
      </c>
      <c r="F103" s="172"/>
      <c r="G103" s="189" t="str">
        <f>IFERROR(__xludf.DUMMYFUNCTION("""COMPUTED_VALUE"""),"Attis")</f>
        <v>Attis</v>
      </c>
      <c r="H103" s="192">
        <f>IFERROR(__xludf.DUMMYFUNCTION("""COMPUTED_VALUE"""),1.0)</f>
        <v>1</v>
      </c>
      <c r="I103" s="172"/>
      <c r="J103" s="189"/>
      <c r="K103" s="192"/>
      <c r="L103" s="194" t="str">
        <f t="shared" si="1"/>
        <v/>
      </c>
      <c r="M103" s="189"/>
      <c r="N103" s="192"/>
    </row>
    <row r="104">
      <c r="A104" s="193">
        <f t="shared" si="2"/>
        <v>97</v>
      </c>
      <c r="B104" s="189" t="str">
        <f>IFERROR(__xludf.DUMMYFUNCTION("""COMPUTED_VALUE"""),"kiitokurre")</f>
        <v>kiitokurre</v>
      </c>
      <c r="C104" s="190">
        <f>IF(ISNUMBER($A104)=TRUE,COUNTIFS(Spreadsheet!$H$9:$H653,B104,Spreadsheet!$V$9:$V653,"&gt;0"),"")</f>
        <v>0</v>
      </c>
      <c r="D104" s="190">
        <f>IF(ISNUMBER($A104)=TRUE,COUNTIFS(Spreadsheet!$H$9:$H653,B104,Spreadsheet!$W$9:$W653,"&gt;0"),"")</f>
        <v>0</v>
      </c>
      <c r="E104" s="191">
        <f>IF(ISNUMBER($A104)=TRUE,COUNTIFS(Spreadsheet!$H$9:$H653,B104,Spreadsheet!$K$9:$K653,"TRUE"),"")</f>
        <v>1</v>
      </c>
      <c r="F104" s="172"/>
      <c r="G104" s="189" t="str">
        <f>IFERROR(__xludf.DUMMYFUNCTION("""COMPUTED_VALUE"""),"aufbau")</f>
        <v>aufbau</v>
      </c>
      <c r="H104" s="192">
        <f>IFERROR(__xludf.DUMMYFUNCTION("""COMPUTED_VALUE"""),1.0)</f>
        <v>1</v>
      </c>
      <c r="I104" s="172"/>
      <c r="J104" s="189"/>
      <c r="K104" s="192"/>
      <c r="L104" s="194" t="str">
        <f t="shared" si="1"/>
        <v/>
      </c>
      <c r="M104" s="189"/>
      <c r="N104" s="192"/>
    </row>
    <row r="105">
      <c r="A105" s="193">
        <f t="shared" si="2"/>
        <v>98</v>
      </c>
      <c r="B105" s="189" t="str">
        <f>IFERROR(__xludf.DUMMYFUNCTION("""COMPUTED_VALUE"""),"KillerSnail")</f>
        <v>KillerSnail</v>
      </c>
      <c r="C105" s="190">
        <f>IF(ISNUMBER($A105)=TRUE,COUNTIFS(Spreadsheet!$H$9:$H653,B105,Spreadsheet!$V$9:$V653,"&gt;0"),"")</f>
        <v>0</v>
      </c>
      <c r="D105" s="190">
        <f>IF(ISNUMBER($A105)=TRUE,COUNTIFS(Spreadsheet!$H$9:$H653,B105,Spreadsheet!$W$9:$W653,"&gt;0"),"")</f>
        <v>0</v>
      </c>
      <c r="E105" s="191">
        <f>IF(ISNUMBER($A105)=TRUE,COUNTIFS(Spreadsheet!$H$9:$H653,B105,Spreadsheet!$K$9:$K653,"TRUE"),"")</f>
        <v>7</v>
      </c>
      <c r="F105" s="172"/>
      <c r="G105" s="189" t="str">
        <f>IFERROR(__xludf.DUMMYFUNCTION("""COMPUTED_VALUE"""),"babyw")</f>
        <v>babyw</v>
      </c>
      <c r="H105" s="192">
        <f>IFERROR(__xludf.DUMMYFUNCTION("""COMPUTED_VALUE"""),1.0)</f>
        <v>1</v>
      </c>
      <c r="I105" s="172"/>
      <c r="J105" s="189"/>
      <c r="K105" s="192"/>
      <c r="L105" s="194" t="str">
        <f t="shared" si="1"/>
        <v/>
      </c>
      <c r="M105" s="189"/>
      <c r="N105" s="192"/>
    </row>
    <row r="106">
      <c r="A106" s="193">
        <f t="shared" si="2"/>
        <v>99</v>
      </c>
      <c r="B106" s="189" t="str">
        <f>IFERROR(__xludf.DUMMYFUNCTION("""COMPUTED_VALUE"""),"Knightwood")</f>
        <v>Knightwood</v>
      </c>
      <c r="C106" s="190">
        <f>IF(ISNUMBER($A106)=TRUE,COUNTIFS(Spreadsheet!$H$9:$H653,B106,Spreadsheet!$V$9:$V653,"&gt;0"),"")</f>
        <v>0</v>
      </c>
      <c r="D106" s="190">
        <f>IF(ISNUMBER($A106)=TRUE,COUNTIFS(Spreadsheet!$H$9:$H653,B106,Spreadsheet!$W$9:$W653,"&gt;0"),"")</f>
        <v>0</v>
      </c>
      <c r="E106" s="191">
        <f>IF(ISNUMBER($A106)=TRUE,COUNTIFS(Spreadsheet!$H$9:$H653,B106,Spreadsheet!$K$9:$K653,"TRUE"),"")</f>
        <v>1</v>
      </c>
      <c r="F106" s="172"/>
      <c r="G106" s="189" t="str">
        <f>IFERROR(__xludf.DUMMYFUNCTION("""COMPUTED_VALUE"""),"barefootguru")</f>
        <v>barefootguru</v>
      </c>
      <c r="H106" s="192">
        <f>IFERROR(__xludf.DUMMYFUNCTION("""COMPUTED_VALUE"""),1.0)</f>
        <v>1</v>
      </c>
      <c r="I106" s="172"/>
      <c r="J106" s="189"/>
      <c r="K106" s="192"/>
      <c r="L106" s="194" t="str">
        <f t="shared" si="1"/>
        <v/>
      </c>
      <c r="M106" s="189"/>
      <c r="N106" s="192"/>
    </row>
    <row r="107">
      <c r="A107" s="193">
        <f t="shared" si="2"/>
        <v>100</v>
      </c>
      <c r="B107" s="189" t="str">
        <f>IFERROR(__xludf.DUMMYFUNCTION("""COMPUTED_VALUE"""),"kpcrystal07")</f>
        <v>kpcrystal07</v>
      </c>
      <c r="C107" s="190">
        <f>IF(ISNUMBER($A107)=TRUE,COUNTIFS(Spreadsheet!$H$9:$H653,B107,Spreadsheet!$V$9:$V653,"&gt;0"),"")</f>
        <v>0</v>
      </c>
      <c r="D107" s="190">
        <f>IF(ISNUMBER($A107)=TRUE,COUNTIFS(Spreadsheet!$H$9:$H653,B107,Spreadsheet!$W$9:$W653,"&gt;0"),"")</f>
        <v>0</v>
      </c>
      <c r="E107" s="191">
        <f>IF(ISNUMBER($A107)=TRUE,COUNTIFS(Spreadsheet!$H$9:$H653,B107,Spreadsheet!$K$9:$K653,"TRUE"),"")</f>
        <v>6</v>
      </c>
      <c r="F107" s="172"/>
      <c r="G107" s="189" t="str">
        <f>IFERROR(__xludf.DUMMYFUNCTION("""COMPUTED_VALUE"""),"Bayermunzeer")</f>
        <v>Bayermunzeer</v>
      </c>
      <c r="H107" s="192">
        <f>IFERROR(__xludf.DUMMYFUNCTION("""COMPUTED_VALUE"""),1.0)</f>
        <v>1</v>
      </c>
      <c r="I107" s="172"/>
      <c r="J107" s="189"/>
      <c r="K107" s="192"/>
      <c r="L107" s="194" t="str">
        <f t="shared" si="1"/>
        <v/>
      </c>
      <c r="M107" s="189"/>
      <c r="N107" s="192"/>
    </row>
    <row r="108">
      <c r="A108" s="193">
        <f t="shared" si="2"/>
        <v>101</v>
      </c>
      <c r="B108" s="189" t="str">
        <f>IFERROR(__xludf.DUMMYFUNCTION("""COMPUTED_VALUE"""),"ksullivan")</f>
        <v>ksullivan</v>
      </c>
      <c r="C108" s="190">
        <f>IF(ISNUMBER($A108)=TRUE,COUNTIFS(Spreadsheet!$H$9:$H653,B108,Spreadsheet!$V$9:$V653,"&gt;0"),"")</f>
        <v>0</v>
      </c>
      <c r="D108" s="190">
        <f>IF(ISNUMBER($A108)=TRUE,COUNTIFS(Spreadsheet!$H$9:$H653,B108,Spreadsheet!$W$9:$W653,"&gt;0"),"")</f>
        <v>0</v>
      </c>
      <c r="E108" s="191">
        <f>IF(ISNUMBER($A108)=TRUE,COUNTIFS(Spreadsheet!$H$9:$H653,B108,Spreadsheet!$K$9:$K653,"TRUE"),"")</f>
        <v>1</v>
      </c>
      <c r="F108" s="172"/>
      <c r="G108" s="189" t="str">
        <f>IFERROR(__xludf.DUMMYFUNCTION("""COMPUTED_VALUE"""),"bazfum")</f>
        <v>bazfum</v>
      </c>
      <c r="H108" s="192">
        <f>IFERROR(__xludf.DUMMYFUNCTION("""COMPUTED_VALUE"""),1.0)</f>
        <v>1</v>
      </c>
      <c r="I108" s="172"/>
      <c r="J108" s="189"/>
      <c r="K108" s="192"/>
      <c r="L108" s="194" t="str">
        <f t="shared" si="1"/>
        <v/>
      </c>
      <c r="M108" s="189"/>
      <c r="N108" s="192"/>
    </row>
    <row r="109">
      <c r="A109" s="193">
        <f t="shared" si="2"/>
        <v>102</v>
      </c>
      <c r="B109" s="189" t="str">
        <f>IFERROR(__xludf.DUMMYFUNCTION("""COMPUTED_VALUE"""),"Kyrandia")</f>
        <v>Kyrandia</v>
      </c>
      <c r="C109" s="190">
        <f>IF(ISNUMBER($A109)=TRUE,COUNTIFS(Spreadsheet!$H$9:$H653,B109,Spreadsheet!$V$9:$V653,"&gt;0"),"")</f>
        <v>0</v>
      </c>
      <c r="D109" s="190">
        <f>IF(ISNUMBER($A109)=TRUE,COUNTIFS(Spreadsheet!$H$9:$H653,B109,Spreadsheet!$W$9:$W653,"&gt;0"),"")</f>
        <v>0</v>
      </c>
      <c r="E109" s="191">
        <f>IF(ISNUMBER($A109)=TRUE,COUNTIFS(Spreadsheet!$H$9:$H653,B109,Spreadsheet!$K$9:$K653,"TRUE"),"")</f>
        <v>1</v>
      </c>
      <c r="F109" s="172"/>
      <c r="G109" s="189" t="str">
        <f>IFERROR(__xludf.DUMMYFUNCTION("""COMPUTED_VALUE"""),"Bisquick2")</f>
        <v>Bisquick2</v>
      </c>
      <c r="H109" s="192">
        <f>IFERROR(__xludf.DUMMYFUNCTION("""COMPUTED_VALUE"""),1.0)</f>
        <v>1</v>
      </c>
      <c r="I109" s="172"/>
      <c r="J109" s="189"/>
      <c r="K109" s="192"/>
      <c r="L109" s="194" t="str">
        <f t="shared" si="1"/>
        <v/>
      </c>
      <c r="M109" s="189"/>
      <c r="N109" s="192"/>
    </row>
    <row r="110">
      <c r="A110" s="193">
        <f t="shared" si="2"/>
        <v>103</v>
      </c>
      <c r="B110" s="189" t="str">
        <f>IFERROR(__xludf.DUMMYFUNCTION("""COMPUTED_VALUE"""),"lanyasummer")</f>
        <v>lanyasummer</v>
      </c>
      <c r="C110" s="190">
        <f>IF(ISNUMBER($A110)=TRUE,COUNTIFS(Spreadsheet!$H$9:$H653,B110,Spreadsheet!$V$9:$V653,"&gt;0"),"")</f>
        <v>0</v>
      </c>
      <c r="D110" s="190">
        <f>IF(ISNUMBER($A110)=TRUE,COUNTIFS(Spreadsheet!$H$9:$H653,B110,Spreadsheet!$W$9:$W653,"&gt;0"),"")</f>
        <v>0</v>
      </c>
      <c r="E110" s="191">
        <f>IF(ISNUMBER($A110)=TRUE,COUNTIFS(Spreadsheet!$H$9:$H653,B110,Spreadsheet!$K$9:$K653,"TRUE"),"")</f>
        <v>1</v>
      </c>
      <c r="F110" s="172"/>
      <c r="G110" s="189" t="str">
        <f>IFERROR(__xludf.DUMMYFUNCTION("""COMPUTED_VALUE"""),"Bitux")</f>
        <v>Bitux</v>
      </c>
      <c r="H110" s="192">
        <f>IFERROR(__xludf.DUMMYFUNCTION("""COMPUTED_VALUE"""),1.0)</f>
        <v>1</v>
      </c>
      <c r="I110" s="172"/>
      <c r="J110" s="189"/>
      <c r="K110" s="192"/>
      <c r="L110" s="194" t="str">
        <f t="shared" si="1"/>
        <v/>
      </c>
      <c r="M110" s="189"/>
      <c r="N110" s="192"/>
    </row>
    <row r="111">
      <c r="A111" s="193">
        <f t="shared" si="2"/>
        <v>104</v>
      </c>
      <c r="B111" s="189" t="str">
        <f>IFERROR(__xludf.DUMMYFUNCTION("""COMPUTED_VALUE"""),"Leatherbottom")</f>
        <v>Leatherbottom</v>
      </c>
      <c r="C111" s="190">
        <f>IF(ISNUMBER($A111)=TRUE,COUNTIFS(Spreadsheet!$H$9:$H653,B111,Spreadsheet!$V$9:$V653,"&gt;0"),"")</f>
        <v>0</v>
      </c>
      <c r="D111" s="190">
        <f>IF(ISNUMBER($A111)=TRUE,COUNTIFS(Spreadsheet!$H$9:$H653,B111,Spreadsheet!$W$9:$W653,"&gt;0"),"")</f>
        <v>0</v>
      </c>
      <c r="E111" s="191">
        <f>IF(ISNUMBER($A111)=TRUE,COUNTIFS(Spreadsheet!$H$9:$H653,B111,Spreadsheet!$K$9:$K653,"TRUE"),"")</f>
        <v>1</v>
      </c>
      <c r="F111" s="172"/>
      <c r="G111" s="189" t="str">
        <f>IFERROR(__xludf.DUMMYFUNCTION("""COMPUTED_VALUE"""),"BonnieB1")</f>
        <v>BonnieB1</v>
      </c>
      <c r="H111" s="192">
        <f>IFERROR(__xludf.DUMMYFUNCTION("""COMPUTED_VALUE"""),1.0)</f>
        <v>1</v>
      </c>
      <c r="I111" s="172"/>
      <c r="J111" s="189"/>
      <c r="K111" s="192"/>
      <c r="L111" s="194" t="str">
        <f t="shared" si="1"/>
        <v/>
      </c>
      <c r="M111" s="189"/>
      <c r="N111" s="192"/>
    </row>
    <row r="112">
      <c r="A112" s="193">
        <f t="shared" si="2"/>
        <v>105</v>
      </c>
      <c r="B112" s="189" t="str">
        <f>IFERROR(__xludf.DUMMYFUNCTION("""COMPUTED_VALUE"""),"Lehmis")</f>
        <v>Lehmis</v>
      </c>
      <c r="C112" s="190">
        <f>IF(ISNUMBER($A112)=TRUE,COUNTIFS(Spreadsheet!$H$9:$H653,B112,Spreadsheet!$V$9:$V653,"&gt;0"),"")</f>
        <v>0</v>
      </c>
      <c r="D112" s="190">
        <f>IF(ISNUMBER($A112)=TRUE,COUNTIFS(Spreadsheet!$H$9:$H653,B112,Spreadsheet!$W$9:$W653,"&gt;0"),"")</f>
        <v>0</v>
      </c>
      <c r="E112" s="191">
        <f>IF(ISNUMBER($A112)=TRUE,COUNTIFS(Spreadsheet!$H$9:$H653,B112,Spreadsheet!$K$9:$K653,"TRUE"),"")</f>
        <v>1</v>
      </c>
      <c r="F112" s="172"/>
      <c r="G112" s="189" t="str">
        <f>IFERROR(__xludf.DUMMYFUNCTION("""COMPUTED_VALUE"""),"Chivasloyal")</f>
        <v>Chivasloyal</v>
      </c>
      <c r="H112" s="192">
        <f>IFERROR(__xludf.DUMMYFUNCTION("""COMPUTED_VALUE"""),1.0)</f>
        <v>1</v>
      </c>
      <c r="I112" s="172"/>
      <c r="J112" s="189"/>
      <c r="K112" s="192"/>
      <c r="L112" s="194" t="str">
        <f t="shared" si="1"/>
        <v/>
      </c>
      <c r="M112" s="189"/>
      <c r="N112" s="192"/>
    </row>
    <row r="113">
      <c r="A113" s="193">
        <f t="shared" si="2"/>
        <v>106</v>
      </c>
      <c r="B113" s="189" t="str">
        <f>IFERROR(__xludf.DUMMYFUNCTION("""COMPUTED_VALUE"""),"Liekensboys")</f>
        <v>Liekensboys</v>
      </c>
      <c r="C113" s="190">
        <f>IF(ISNUMBER($A113)=TRUE,COUNTIFS(Spreadsheet!$H$9:$H653,B113,Spreadsheet!$V$9:$V653,"&gt;0"),"")</f>
        <v>0</v>
      </c>
      <c r="D113" s="190">
        <f>IF(ISNUMBER($A113)=TRUE,COUNTIFS(Spreadsheet!$H$9:$H653,B113,Spreadsheet!$W$9:$W653,"&gt;0"),"")</f>
        <v>0</v>
      </c>
      <c r="E113" s="191">
        <f>IF(ISNUMBER($A113)=TRUE,COUNTIFS(Spreadsheet!$H$9:$H653,B113,Spreadsheet!$K$9:$K653,"TRUE"),"")</f>
        <v>2</v>
      </c>
      <c r="F113" s="172"/>
      <c r="G113" s="189" t="str">
        <f>IFERROR(__xludf.DUMMYFUNCTION("""COMPUTED_VALUE"""),"Cinnamons")</f>
        <v>Cinnamons</v>
      </c>
      <c r="H113" s="192">
        <f>IFERROR(__xludf.DUMMYFUNCTION("""COMPUTED_VALUE"""),1.0)</f>
        <v>1</v>
      </c>
      <c r="I113" s="172"/>
      <c r="J113" s="189"/>
      <c r="K113" s="192"/>
      <c r="L113" s="194" t="str">
        <f t="shared" si="1"/>
        <v/>
      </c>
      <c r="M113" s="189"/>
      <c r="N113" s="192"/>
    </row>
    <row r="114">
      <c r="A114" s="193">
        <f t="shared" si="2"/>
        <v>107</v>
      </c>
      <c r="B114" s="189" t="str">
        <f>IFERROR(__xludf.DUMMYFUNCTION("""COMPUTED_VALUE"""),"lison55")</f>
        <v>lison55</v>
      </c>
      <c r="C114" s="190">
        <f>IF(ISNUMBER($A114)=TRUE,COUNTIFS(Spreadsheet!$H$9:$H653,B114,Spreadsheet!$V$9:$V653,"&gt;0"),"")</f>
        <v>0</v>
      </c>
      <c r="D114" s="190">
        <f>IF(ISNUMBER($A114)=TRUE,COUNTIFS(Spreadsheet!$H$9:$H653,B114,Spreadsheet!$W$9:$W653,"&gt;0"),"")</f>
        <v>0</v>
      </c>
      <c r="E114" s="191">
        <f>IF(ISNUMBER($A114)=TRUE,COUNTIFS(Spreadsheet!$H$9:$H653,B114,Spreadsheet!$K$9:$K653,"TRUE"),"")</f>
        <v>1</v>
      </c>
      <c r="F114" s="172"/>
      <c r="G114" s="189" t="str">
        <f>IFERROR(__xludf.DUMMYFUNCTION("""COMPUTED_VALUE"""),"claireth")</f>
        <v>claireth</v>
      </c>
      <c r="H114" s="192">
        <f>IFERROR(__xludf.DUMMYFUNCTION("""COMPUTED_VALUE"""),1.0)</f>
        <v>1</v>
      </c>
      <c r="I114" s="172"/>
      <c r="J114" s="189"/>
      <c r="K114" s="192"/>
      <c r="L114" s="194" t="str">
        <f t="shared" si="1"/>
        <v/>
      </c>
      <c r="M114" s="189"/>
      <c r="N114" s="192"/>
    </row>
    <row r="115">
      <c r="A115" s="193">
        <f t="shared" si="2"/>
        <v>108</v>
      </c>
      <c r="B115" s="189" t="str">
        <f>IFERROR(__xludf.DUMMYFUNCTION("""COMPUTED_VALUE"""),"LittleMeggie")</f>
        <v>LittleMeggie</v>
      </c>
      <c r="C115" s="190">
        <f>IF(ISNUMBER($A115)=TRUE,COUNTIFS(Spreadsheet!$H$9:$H653,B115,Spreadsheet!$V$9:$V653,"&gt;0"),"")</f>
        <v>0</v>
      </c>
      <c r="D115" s="190">
        <f>IF(ISNUMBER($A115)=TRUE,COUNTIFS(Spreadsheet!$H$9:$H653,B115,Spreadsheet!$W$9:$W653,"&gt;0"),"")</f>
        <v>0</v>
      </c>
      <c r="E115" s="191">
        <f>IF(ISNUMBER($A115)=TRUE,COUNTIFS(Spreadsheet!$H$9:$H653,B115,Spreadsheet!$K$9:$K653,"TRUE"),"")</f>
        <v>1</v>
      </c>
      <c r="F115" s="172"/>
      <c r="G115" s="189" t="str">
        <f>IFERROR(__xludf.DUMMYFUNCTION("""COMPUTED_VALUE"""),"CoalCracker7")</f>
        <v>CoalCracker7</v>
      </c>
      <c r="H115" s="192">
        <f>IFERROR(__xludf.DUMMYFUNCTION("""COMPUTED_VALUE"""),1.0)</f>
        <v>1</v>
      </c>
      <c r="I115" s="172"/>
      <c r="J115" s="189"/>
      <c r="K115" s="192"/>
      <c r="L115" s="194" t="str">
        <f t="shared" si="1"/>
        <v/>
      </c>
      <c r="M115" s="189"/>
      <c r="N115" s="192"/>
    </row>
    <row r="116">
      <c r="A116" s="193">
        <f t="shared" si="2"/>
        <v>109</v>
      </c>
      <c r="B116" s="189" t="str">
        <f>IFERROR(__xludf.DUMMYFUNCTION("""COMPUTED_VALUE"""),"LonelyWalker")</f>
        <v>LonelyWalker</v>
      </c>
      <c r="C116" s="190">
        <f>IF(ISNUMBER($A116)=TRUE,COUNTIFS(Spreadsheet!$H$9:$H653,B116,Spreadsheet!$V$9:$V653,"&gt;0"),"")</f>
        <v>0</v>
      </c>
      <c r="D116" s="190">
        <f>IF(ISNUMBER($A116)=TRUE,COUNTIFS(Spreadsheet!$H$9:$H653,B116,Spreadsheet!$W$9:$W653,"&gt;0"),"")</f>
        <v>0</v>
      </c>
      <c r="E116" s="191">
        <f>IF(ISNUMBER($A116)=TRUE,COUNTIFS(Spreadsheet!$H$9:$H653,B116,Spreadsheet!$K$9:$K653,"TRUE"),"")</f>
        <v>5</v>
      </c>
      <c r="F116" s="172"/>
      <c r="G116" s="189" t="str">
        <f>IFERROR(__xludf.DUMMYFUNCTION("""COMPUTED_VALUE"""),"CrissOldouvelleRoute")</f>
        <v>CrissOldouvelleRoute</v>
      </c>
      <c r="H116" s="192">
        <f>IFERROR(__xludf.DUMMYFUNCTION("""COMPUTED_VALUE"""),1.0)</f>
        <v>1</v>
      </c>
      <c r="I116" s="172"/>
      <c r="J116" s="189"/>
      <c r="K116" s="192"/>
      <c r="L116" s="194" t="str">
        <f t="shared" si="1"/>
        <v/>
      </c>
      <c r="M116" s="189"/>
      <c r="N116" s="192"/>
    </row>
    <row r="117">
      <c r="A117" s="193">
        <f t="shared" si="2"/>
        <v>110</v>
      </c>
      <c r="B117" s="189" t="str">
        <f>IFERROR(__xludf.DUMMYFUNCTION("""COMPUTED_VALUE"""),"Maattmoo")</f>
        <v>Maattmoo</v>
      </c>
      <c r="C117" s="190">
        <f>IF(ISNUMBER($A117)=TRUE,COUNTIFS(Spreadsheet!$H$9:$H653,B117,Spreadsheet!$V$9:$V653,"&gt;0"),"")</f>
        <v>0</v>
      </c>
      <c r="D117" s="190">
        <f>IF(ISNUMBER($A117)=TRUE,COUNTIFS(Spreadsheet!$H$9:$H653,B117,Spreadsheet!$W$9:$W653,"&gt;0"),"")</f>
        <v>0</v>
      </c>
      <c r="E117" s="191">
        <f>IF(ISNUMBER($A117)=TRUE,COUNTIFS(Spreadsheet!$H$9:$H653,B117,Spreadsheet!$K$9:$K653,"TRUE"),"")</f>
        <v>1</v>
      </c>
      <c r="F117" s="172"/>
      <c r="G117" s="189" t="str">
        <f>IFERROR(__xludf.DUMMYFUNCTION("""COMPUTED_VALUE"""),"CzPeet")</f>
        <v>CzPeet</v>
      </c>
      <c r="H117" s="192">
        <f>IFERROR(__xludf.DUMMYFUNCTION("""COMPUTED_VALUE"""),1.0)</f>
        <v>1</v>
      </c>
      <c r="I117" s="172"/>
      <c r="J117" s="189"/>
      <c r="K117" s="192"/>
      <c r="L117" s="194" t="str">
        <f t="shared" si="1"/>
        <v/>
      </c>
      <c r="M117" s="189"/>
      <c r="N117" s="192"/>
    </row>
    <row r="118">
      <c r="A118" s="193">
        <f t="shared" si="2"/>
        <v>111</v>
      </c>
      <c r="B118" s="189" t="str">
        <f>IFERROR(__xludf.DUMMYFUNCTION("""COMPUTED_VALUE"""),"Marcelkooyman")</f>
        <v>Marcelkooyman</v>
      </c>
      <c r="C118" s="190">
        <f>IF(ISNUMBER($A118)=TRUE,COUNTIFS(Spreadsheet!$H$9:$H653,B118,Spreadsheet!$V$9:$V653,"&gt;0"),"")</f>
        <v>0</v>
      </c>
      <c r="D118" s="190">
        <f>IF(ISNUMBER($A118)=TRUE,COUNTIFS(Spreadsheet!$H$9:$H653,B118,Spreadsheet!$W$9:$W653,"&gt;0"),"")</f>
        <v>0</v>
      </c>
      <c r="E118" s="191">
        <f>IF(ISNUMBER($A118)=TRUE,COUNTIFS(Spreadsheet!$H$9:$H653,B118,Spreadsheet!$K$9:$K653,"TRUE"),"")</f>
        <v>5</v>
      </c>
      <c r="F118" s="172"/>
      <c r="G118" s="189" t="str">
        <f>IFERROR(__xludf.DUMMYFUNCTION("""COMPUTED_VALUE"""),"Dariuneee")</f>
        <v>Dariuneee</v>
      </c>
      <c r="H118" s="192">
        <f>IFERROR(__xludf.DUMMYFUNCTION("""COMPUTED_VALUE"""),1.0)</f>
        <v>1</v>
      </c>
      <c r="I118" s="172"/>
      <c r="J118" s="189"/>
      <c r="K118" s="192"/>
      <c r="L118" s="194" t="str">
        <f t="shared" si="1"/>
        <v/>
      </c>
      <c r="M118" s="189"/>
      <c r="N118" s="192"/>
    </row>
    <row r="119">
      <c r="A119" s="193">
        <f t="shared" si="2"/>
        <v>112</v>
      </c>
      <c r="B119" s="189" t="str">
        <f>IFERROR(__xludf.DUMMYFUNCTION("""COMPUTED_VALUE"""),"Mariabettina")</f>
        <v>Mariabettina</v>
      </c>
      <c r="C119" s="190">
        <f>IF(ISNUMBER($A119)=TRUE,COUNTIFS(Spreadsheet!$H$9:$H653,B119,Spreadsheet!$V$9:$V653,"&gt;0"),"")</f>
        <v>0</v>
      </c>
      <c r="D119" s="190">
        <f>IF(ISNUMBER($A119)=TRUE,COUNTIFS(Spreadsheet!$H$9:$H653,B119,Spreadsheet!$W$9:$W653,"&gt;0"),"")</f>
        <v>0</v>
      </c>
      <c r="E119" s="191">
        <f>IF(ISNUMBER($A119)=TRUE,COUNTIFS(Spreadsheet!$H$9:$H653,B119,Spreadsheet!$K$9:$K653,"TRUE"),"")</f>
        <v>2</v>
      </c>
      <c r="F119" s="172"/>
      <c r="G119" s="189" t="str">
        <f>IFERROR(__xludf.DUMMYFUNCTION("""COMPUTED_VALUE"""),"Derlame")</f>
        <v>Derlame</v>
      </c>
      <c r="H119" s="192">
        <f>IFERROR(__xludf.DUMMYFUNCTION("""COMPUTED_VALUE"""),1.0)</f>
        <v>1</v>
      </c>
      <c r="I119" s="172"/>
      <c r="J119" s="189"/>
      <c r="K119" s="192"/>
      <c r="L119" s="194" t="str">
        <f t="shared" si="1"/>
        <v/>
      </c>
      <c r="M119" s="189"/>
      <c r="N119" s="192"/>
    </row>
    <row r="120">
      <c r="A120" s="193">
        <f t="shared" si="2"/>
        <v>113</v>
      </c>
      <c r="B120" s="189" t="str">
        <f>IFERROR(__xludf.DUMMYFUNCTION("""COMPUTED_VALUE"""),"MariaHTJ")</f>
        <v>MariaHTJ</v>
      </c>
      <c r="C120" s="190">
        <f>IF(ISNUMBER($A120)=TRUE,COUNTIFS(Spreadsheet!$H$9:$H653,B120,Spreadsheet!$V$9:$V653,"&gt;0"),"")</f>
        <v>0</v>
      </c>
      <c r="D120" s="190">
        <f>IF(ISNUMBER($A120)=TRUE,COUNTIFS(Spreadsheet!$H$9:$H653,B120,Spreadsheet!$W$9:$W653,"&gt;0"),"")</f>
        <v>0</v>
      </c>
      <c r="E120" s="191">
        <f>IF(ISNUMBER($A120)=TRUE,COUNTIFS(Spreadsheet!$H$9:$H653,B120,Spreadsheet!$K$9:$K653,"TRUE"),"")</f>
        <v>3</v>
      </c>
      <c r="F120" s="172"/>
      <c r="G120" s="189" t="str">
        <f>IFERROR(__xludf.DUMMYFUNCTION("""COMPUTED_VALUE"""),"destolkjes4ever")</f>
        <v>destolkjes4ever</v>
      </c>
      <c r="H120" s="192">
        <f>IFERROR(__xludf.DUMMYFUNCTION("""COMPUTED_VALUE"""),1.0)</f>
        <v>1</v>
      </c>
      <c r="I120" s="172"/>
      <c r="J120" s="189"/>
      <c r="K120" s="192"/>
      <c r="L120" s="194" t="str">
        <f t="shared" si="1"/>
        <v/>
      </c>
      <c r="M120" s="189"/>
      <c r="N120" s="192"/>
    </row>
    <row r="121">
      <c r="A121" s="193">
        <f t="shared" si="2"/>
        <v>114</v>
      </c>
      <c r="B121" s="189" t="str">
        <f>IFERROR(__xludf.DUMMYFUNCTION("""COMPUTED_VALUE"""),"MarioVN")</f>
        <v>MarioVN</v>
      </c>
      <c r="C121" s="190">
        <f>IF(ISNUMBER($A121)=TRUE,COUNTIFS(Spreadsheet!$H$9:$H653,B121,Spreadsheet!$V$9:$V653,"&gt;0"),"")</f>
        <v>0</v>
      </c>
      <c r="D121" s="190">
        <f>IF(ISNUMBER($A121)=TRUE,COUNTIFS(Spreadsheet!$H$9:$H653,B121,Spreadsheet!$W$9:$W653,"&gt;0"),"")</f>
        <v>0</v>
      </c>
      <c r="E121" s="191">
        <f>IF(ISNUMBER($A121)=TRUE,COUNTIFS(Spreadsheet!$H$9:$H653,B121,Spreadsheet!$K$9:$K653,"TRUE"),"")</f>
        <v>2</v>
      </c>
      <c r="F121" s="172"/>
      <c r="G121" s="189" t="str">
        <f>IFERROR(__xludf.DUMMYFUNCTION("""COMPUTED_VALUE"""),"Dinsdagskind")</f>
        <v>Dinsdagskind</v>
      </c>
      <c r="H121" s="192">
        <f>IFERROR(__xludf.DUMMYFUNCTION("""COMPUTED_VALUE"""),1.0)</f>
        <v>1</v>
      </c>
      <c r="I121" s="172"/>
      <c r="J121" s="189"/>
      <c r="K121" s="192"/>
      <c r="L121" s="194" t="str">
        <f t="shared" si="1"/>
        <v/>
      </c>
      <c r="M121" s="189"/>
      <c r="N121" s="192"/>
    </row>
    <row r="122">
      <c r="A122" s="193">
        <f t="shared" si="2"/>
        <v>115</v>
      </c>
      <c r="B122" s="189" t="str">
        <f>IFERROR(__xludf.DUMMYFUNCTION("""COMPUTED_VALUE"""),"Marnic")</f>
        <v>Marnic</v>
      </c>
      <c r="C122" s="190">
        <f>IF(ISNUMBER($A122)=TRUE,COUNTIFS(Spreadsheet!$H$9:$H653,B122,Spreadsheet!$V$9:$V653,"&gt;0"),"")</f>
        <v>0</v>
      </c>
      <c r="D122" s="190">
        <f>IF(ISNUMBER($A122)=TRUE,COUNTIFS(Spreadsheet!$H$9:$H653,B122,Spreadsheet!$W$9:$W653,"&gt;0"),"")</f>
        <v>0</v>
      </c>
      <c r="E122" s="191">
        <f>IF(ISNUMBER($A122)=TRUE,COUNTIFS(Spreadsheet!$H$9:$H653,B122,Spreadsheet!$K$9:$K653,"TRUE"),"")</f>
        <v>11</v>
      </c>
      <c r="F122" s="172"/>
      <c r="G122" s="189" t="str">
        <f>IFERROR(__xludf.DUMMYFUNCTION("""COMPUTED_VALUE"""),"dlbisblest")</f>
        <v>dlbisblest</v>
      </c>
      <c r="H122" s="192">
        <f>IFERROR(__xludf.DUMMYFUNCTION("""COMPUTED_VALUE"""),1.0)</f>
        <v>1</v>
      </c>
      <c r="I122" s="172"/>
      <c r="J122" s="189"/>
      <c r="K122" s="192"/>
      <c r="L122" s="194" t="str">
        <f t="shared" si="1"/>
        <v/>
      </c>
      <c r="M122" s="189"/>
      <c r="N122" s="192"/>
    </row>
    <row r="123">
      <c r="A123" s="193">
        <f t="shared" si="2"/>
        <v>116</v>
      </c>
      <c r="B123" s="189" t="str">
        <f>IFERROR(__xludf.DUMMYFUNCTION("""COMPUTED_VALUE"""),"McCormick64")</f>
        <v>McCormick64</v>
      </c>
      <c r="C123" s="190">
        <f>IF(ISNUMBER($A123)=TRUE,COUNTIFS(Spreadsheet!$H$9:$H653,B123,Spreadsheet!$V$9:$V653,"&gt;0"),"")</f>
        <v>0</v>
      </c>
      <c r="D123" s="190">
        <f>IF(ISNUMBER($A123)=TRUE,COUNTIFS(Spreadsheet!$H$9:$H653,B123,Spreadsheet!$W$9:$W653,"&gt;0"),"")</f>
        <v>0</v>
      </c>
      <c r="E123" s="191">
        <f>IF(ISNUMBER($A123)=TRUE,COUNTIFS(Spreadsheet!$H$9:$H653,B123,Spreadsheet!$K$9:$K653,"TRUE"),"")</f>
        <v>1</v>
      </c>
      <c r="F123" s="172"/>
      <c r="G123" s="189" t="str">
        <f>IFERROR(__xludf.DUMMYFUNCTION("""COMPUTED_VALUE"""),"dQuest")</f>
        <v>dQuest</v>
      </c>
      <c r="H123" s="192">
        <f>IFERROR(__xludf.DUMMYFUNCTION("""COMPUTED_VALUE"""),1.0)</f>
        <v>1</v>
      </c>
      <c r="I123" s="172"/>
      <c r="J123" s="189"/>
      <c r="K123" s="192"/>
      <c r="L123" s="194" t="str">
        <f t="shared" si="1"/>
        <v/>
      </c>
      <c r="M123" s="189"/>
      <c r="N123" s="192"/>
    </row>
    <row r="124">
      <c r="A124" s="193">
        <f t="shared" si="2"/>
        <v>117</v>
      </c>
      <c r="B124" s="189" t="str">
        <f>IFERROR(__xludf.DUMMYFUNCTION("""COMPUTED_VALUE"""),"mding4gold")</f>
        <v>mding4gold</v>
      </c>
      <c r="C124" s="190">
        <f>IF(ISNUMBER($A124)=TRUE,COUNTIFS(Spreadsheet!$H$9:$H653,B124,Spreadsheet!$V$9:$V653,"&gt;0"),"")</f>
        <v>0</v>
      </c>
      <c r="D124" s="190">
        <f>IF(ISNUMBER($A124)=TRUE,COUNTIFS(Spreadsheet!$H$9:$H653,B124,Spreadsheet!$W$9:$W653,"&gt;0"),"")</f>
        <v>0</v>
      </c>
      <c r="E124" s="191">
        <f>IF(ISNUMBER($A124)=TRUE,COUNTIFS(Spreadsheet!$H$9:$H653,B124,Spreadsheet!$K$9:$K653,"TRUE"),"")</f>
        <v>1</v>
      </c>
      <c r="F124" s="172"/>
      <c r="G124" s="189" t="str">
        <f>IFERROR(__xludf.DUMMYFUNCTION("""COMPUTED_VALUE"""),"Emput1")</f>
        <v>Emput1</v>
      </c>
      <c r="H124" s="192">
        <f>IFERROR(__xludf.DUMMYFUNCTION("""COMPUTED_VALUE"""),1.0)</f>
        <v>1</v>
      </c>
      <c r="I124" s="172"/>
      <c r="J124" s="189"/>
      <c r="K124" s="192"/>
      <c r="L124" s="194" t="str">
        <f t="shared" si="1"/>
        <v/>
      </c>
      <c r="M124" s="189"/>
      <c r="N124" s="192"/>
    </row>
    <row r="125">
      <c r="A125" s="193">
        <f t="shared" si="2"/>
        <v>118</v>
      </c>
      <c r="B125" s="189" t="str">
        <f>IFERROR(__xludf.DUMMYFUNCTION("""COMPUTED_VALUE"""),"mdtt")</f>
        <v>mdtt</v>
      </c>
      <c r="C125" s="190">
        <f>IF(ISNUMBER($A125)=TRUE,COUNTIFS(Spreadsheet!$H$9:$H653,B125,Spreadsheet!$V$9:$V653,"&gt;0"),"")</f>
        <v>0</v>
      </c>
      <c r="D125" s="190">
        <f>IF(ISNUMBER($A125)=TRUE,COUNTIFS(Spreadsheet!$H$9:$H653,B125,Spreadsheet!$W$9:$W653,"&gt;0"),"")</f>
        <v>0</v>
      </c>
      <c r="E125" s="191">
        <f>IF(ISNUMBER($A125)=TRUE,COUNTIFS(Spreadsheet!$H$9:$H653,B125,Spreadsheet!$K$9:$K653,"TRUE"),"")</f>
        <v>1</v>
      </c>
      <c r="F125" s="172"/>
      <c r="G125" s="189" t="str">
        <f>IFERROR(__xludf.DUMMYFUNCTION("""COMPUTED_VALUE"""),"FlamingoFlurrier")</f>
        <v>FlamingoFlurrier</v>
      </c>
      <c r="H125" s="192">
        <f>IFERROR(__xludf.DUMMYFUNCTION("""COMPUTED_VALUE"""),1.0)</f>
        <v>1</v>
      </c>
      <c r="I125" s="172"/>
      <c r="J125" s="189"/>
      <c r="K125" s="192"/>
      <c r="L125" s="194" t="str">
        <f t="shared" si="1"/>
        <v/>
      </c>
      <c r="M125" s="189"/>
      <c r="N125" s="192"/>
    </row>
    <row r="126">
      <c r="A126" s="193">
        <f t="shared" si="2"/>
        <v>119</v>
      </c>
      <c r="B126" s="189" t="str">
        <f>IFERROR(__xludf.DUMMYFUNCTION("""COMPUTED_VALUE"""),"meka")</f>
        <v>meka</v>
      </c>
      <c r="C126" s="190">
        <f>IF(ISNUMBER($A126)=TRUE,COUNTIFS(Spreadsheet!$H$9:$H653,B126,Spreadsheet!$V$9:$V653,"&gt;0"),"")</f>
        <v>0</v>
      </c>
      <c r="D126" s="190">
        <f>IF(ISNUMBER($A126)=TRUE,COUNTIFS(Spreadsheet!$H$9:$H653,B126,Spreadsheet!$W$9:$W653,"&gt;0"),"")</f>
        <v>0</v>
      </c>
      <c r="E126" s="191">
        <f>IF(ISNUMBER($A126)=TRUE,COUNTIFS(Spreadsheet!$H$9:$H653,B126,Spreadsheet!$K$9:$K653,"TRUE"),"")</f>
        <v>1</v>
      </c>
      <c r="F126" s="172"/>
      <c r="G126" s="189" t="str">
        <f>IFERROR(__xludf.DUMMYFUNCTION("""COMPUTED_VALUE"""),"Franske")</f>
        <v>Franske</v>
      </c>
      <c r="H126" s="192">
        <f>IFERROR(__xludf.DUMMYFUNCTION("""COMPUTED_VALUE"""),1.0)</f>
        <v>1</v>
      </c>
      <c r="I126" s="172"/>
      <c r="J126" s="189"/>
      <c r="K126" s="192"/>
      <c r="L126" s="194" t="str">
        <f t="shared" si="1"/>
        <v/>
      </c>
      <c r="M126" s="189"/>
      <c r="N126" s="192"/>
    </row>
    <row r="127">
      <c r="A127" s="193">
        <f t="shared" si="2"/>
        <v>120</v>
      </c>
      <c r="B127" s="189" t="str">
        <f>IFERROR(__xludf.DUMMYFUNCTION("""COMPUTED_VALUE"""),"Mon4ikaCriss")</f>
        <v>Mon4ikaCriss</v>
      </c>
      <c r="C127" s="190">
        <f>IF(ISNUMBER($A127)=TRUE,COUNTIFS(Spreadsheet!$H$9:$H653,B127,Spreadsheet!$V$9:$V653,"&gt;0"),"")</f>
        <v>0</v>
      </c>
      <c r="D127" s="190">
        <f>IF(ISNUMBER($A127)=TRUE,COUNTIFS(Spreadsheet!$H$9:$H653,B127,Spreadsheet!$W$9:$W653,"&gt;0"),"")</f>
        <v>0</v>
      </c>
      <c r="E127" s="191">
        <f>IF(ISNUMBER($A127)=TRUE,COUNTIFS(Spreadsheet!$H$9:$H653,B127,Spreadsheet!$K$9:$K653,"TRUE"),"")</f>
        <v>3</v>
      </c>
      <c r="F127" s="172"/>
      <c r="G127" s="189" t="str">
        <f>IFERROR(__xludf.DUMMYFUNCTION("""COMPUTED_VALUE"""),"FRH")</f>
        <v>FRH</v>
      </c>
      <c r="H127" s="192">
        <f>IFERROR(__xludf.DUMMYFUNCTION("""COMPUTED_VALUE"""),1.0)</f>
        <v>1</v>
      </c>
      <c r="I127" s="172"/>
      <c r="J127" s="189"/>
      <c r="K127" s="192"/>
      <c r="L127" s="194" t="str">
        <f t="shared" si="1"/>
        <v/>
      </c>
      <c r="M127" s="189"/>
      <c r="N127" s="192"/>
    </row>
    <row r="128">
      <c r="A128" s="193">
        <f t="shared" si="2"/>
        <v>121</v>
      </c>
      <c r="B128" s="189" t="str">
        <f>IFERROR(__xludf.DUMMYFUNCTION("""COMPUTED_VALUE"""),"MrsSourflush")</f>
        <v>MrsSourflush</v>
      </c>
      <c r="C128" s="190">
        <f>IF(ISNUMBER($A128)=TRUE,COUNTIFS(Spreadsheet!$H$9:$H653,B128,Spreadsheet!$V$9:$V653,"&gt;0"),"")</f>
        <v>0</v>
      </c>
      <c r="D128" s="190">
        <f>IF(ISNUMBER($A128)=TRUE,COUNTIFS(Spreadsheet!$H$9:$H653,B128,Spreadsheet!$W$9:$W653,"&gt;0"),"")</f>
        <v>0</v>
      </c>
      <c r="E128" s="191">
        <f>IF(ISNUMBER($A128)=TRUE,COUNTIFS(Spreadsheet!$H$9:$H653,B128,Spreadsheet!$K$9:$K653,"TRUE"),"")</f>
        <v>1</v>
      </c>
      <c r="F128" s="172"/>
      <c r="G128" s="189" t="str">
        <f>IFERROR(__xludf.DUMMYFUNCTION("""COMPUTED_VALUE"""),"Frikandelbroodjes")</f>
        <v>Frikandelbroodjes</v>
      </c>
      <c r="H128" s="192">
        <f>IFERROR(__xludf.DUMMYFUNCTION("""COMPUTED_VALUE"""),1.0)</f>
        <v>1</v>
      </c>
      <c r="I128" s="172"/>
      <c r="J128" s="189"/>
      <c r="K128" s="192"/>
      <c r="L128" s="194" t="str">
        <f t="shared" si="1"/>
        <v/>
      </c>
      <c r="M128" s="189"/>
      <c r="N128" s="192"/>
    </row>
    <row r="129">
      <c r="A129" s="193">
        <f t="shared" si="2"/>
        <v>122</v>
      </c>
      <c r="B129" s="189" t="str">
        <f>IFERROR(__xludf.DUMMYFUNCTION("""COMPUTED_VALUE"""),"MsYB")</f>
        <v>MsYB</v>
      </c>
      <c r="C129" s="190">
        <f>IF(ISNUMBER($A129)=TRUE,COUNTIFS(Spreadsheet!$H$9:$H653,B129,Spreadsheet!$V$9:$V653,"&gt;0"),"")</f>
        <v>0</v>
      </c>
      <c r="D129" s="190">
        <f>IF(ISNUMBER($A129)=TRUE,COUNTIFS(Spreadsheet!$H$9:$H653,B129,Spreadsheet!$W$9:$W653,"&gt;0"),"")</f>
        <v>0</v>
      </c>
      <c r="E129" s="191">
        <f>IF(ISNUMBER($A129)=TRUE,COUNTIFS(Spreadsheet!$H$9:$H653,B129,Spreadsheet!$K$9:$K653,"TRUE"),"")</f>
        <v>1</v>
      </c>
      <c r="F129" s="172"/>
      <c r="G129" s="189" t="str">
        <f>IFERROR(__xludf.DUMMYFUNCTION("""COMPUTED_VALUE"""),"GeodudeDK")</f>
        <v>GeodudeDK</v>
      </c>
      <c r="H129" s="192">
        <f>IFERROR(__xludf.DUMMYFUNCTION("""COMPUTED_VALUE"""),1.0)</f>
        <v>1</v>
      </c>
      <c r="I129" s="172"/>
      <c r="J129" s="189"/>
      <c r="K129" s="192"/>
      <c r="L129" s="194" t="str">
        <f t="shared" si="1"/>
        <v/>
      </c>
      <c r="M129" s="189"/>
      <c r="N129" s="192"/>
    </row>
    <row r="130">
      <c r="A130" s="193">
        <f t="shared" si="2"/>
        <v>123</v>
      </c>
      <c r="B130" s="189" t="str">
        <f>IFERROR(__xludf.DUMMYFUNCTION("""COMPUTED_VALUE"""),"naturelover")</f>
        <v>naturelover</v>
      </c>
      <c r="C130" s="190">
        <f>IF(ISNUMBER($A130)=TRUE,COUNTIFS(Spreadsheet!$H$9:$H653,B130,Spreadsheet!$V$9:$V653,"&gt;0"),"")</f>
        <v>0</v>
      </c>
      <c r="D130" s="190">
        <f>IF(ISNUMBER($A130)=TRUE,COUNTIFS(Spreadsheet!$H$9:$H653,B130,Spreadsheet!$W$9:$W653,"&gt;0"),"")</f>
        <v>0</v>
      </c>
      <c r="E130" s="191">
        <f>IF(ISNUMBER($A130)=TRUE,COUNTIFS(Spreadsheet!$H$9:$H653,B130,Spreadsheet!$K$9:$K653,"TRUE"),"")</f>
        <v>1</v>
      </c>
      <c r="F130" s="172"/>
      <c r="G130" s="189" t="str">
        <f>IFERROR(__xludf.DUMMYFUNCTION("""COMPUTED_VALUE"""),"geomatrix")</f>
        <v>geomatrix</v>
      </c>
      <c r="H130" s="192">
        <f>IFERROR(__xludf.DUMMYFUNCTION("""COMPUTED_VALUE"""),1.0)</f>
        <v>1</v>
      </c>
      <c r="I130" s="172"/>
      <c r="J130" s="189"/>
      <c r="K130" s="192"/>
      <c r="L130" s="194" t="str">
        <f t="shared" si="1"/>
        <v/>
      </c>
      <c r="M130" s="189"/>
      <c r="N130" s="192"/>
    </row>
    <row r="131">
      <c r="A131" s="193">
        <f t="shared" si="2"/>
        <v>124</v>
      </c>
      <c r="B131" s="189" t="str">
        <f>IFERROR(__xludf.DUMMYFUNCTION("""COMPUTED_VALUE"""),"NewTwo")</f>
        <v>NewTwo</v>
      </c>
      <c r="C131" s="190">
        <f>IF(ISNUMBER($A131)=TRUE,COUNTIFS(Spreadsheet!$H$9:$H653,B131,Spreadsheet!$V$9:$V653,"&gt;0"),"")</f>
        <v>0</v>
      </c>
      <c r="D131" s="190">
        <f>IF(ISNUMBER($A131)=TRUE,COUNTIFS(Spreadsheet!$H$9:$H653,B131,Spreadsheet!$W$9:$W653,"&gt;0"),"")</f>
        <v>0</v>
      </c>
      <c r="E131" s="191">
        <f>IF(ISNUMBER($A131)=TRUE,COUNTIFS(Spreadsheet!$H$9:$H653,B131,Spreadsheet!$K$9:$K653,"TRUE"),"")</f>
        <v>1</v>
      </c>
      <c r="F131" s="172"/>
      <c r="G131" s="189" t="str">
        <f>IFERROR(__xludf.DUMMYFUNCTION("""COMPUTED_VALUE"""),"girlteam")</f>
        <v>girlteam</v>
      </c>
      <c r="H131" s="192">
        <f>IFERROR(__xludf.DUMMYFUNCTION("""COMPUTED_VALUE"""),1.0)</f>
        <v>1</v>
      </c>
      <c r="I131" s="172"/>
      <c r="J131" s="189"/>
      <c r="K131" s="192"/>
      <c r="L131" s="194" t="str">
        <f t="shared" si="1"/>
        <v/>
      </c>
      <c r="M131" s="189"/>
      <c r="N131" s="192"/>
    </row>
    <row r="132">
      <c r="A132" s="193">
        <f t="shared" si="2"/>
        <v>125</v>
      </c>
      <c r="B132" s="189" t="str">
        <f>IFERROR(__xludf.DUMMYFUNCTION("""COMPUTED_VALUE"""),"nicmar")</f>
        <v>nicmar</v>
      </c>
      <c r="C132" s="190">
        <f>IF(ISNUMBER($A132)=TRUE,COUNTIFS(Spreadsheet!$H$9:$H653,B132,Spreadsheet!$V$9:$V653,"&gt;0"),"")</f>
        <v>0</v>
      </c>
      <c r="D132" s="190">
        <f>IF(ISNUMBER($A132)=TRUE,COUNTIFS(Spreadsheet!$H$9:$H653,B132,Spreadsheet!$W$9:$W653,"&gt;0"),"")</f>
        <v>0</v>
      </c>
      <c r="E132" s="191">
        <f>IF(ISNUMBER($A132)=TRUE,COUNTIFS(Spreadsheet!$H$9:$H653,B132,Spreadsheet!$K$9:$K653,"TRUE"),"")</f>
        <v>11</v>
      </c>
      <c r="F132" s="172"/>
      <c r="G132" s="189" t="str">
        <f>IFERROR(__xludf.DUMMYFUNCTION("""COMPUTED_VALUE"""),"GMariusz")</f>
        <v>GMariusz</v>
      </c>
      <c r="H132" s="192">
        <f>IFERROR(__xludf.DUMMYFUNCTION("""COMPUTED_VALUE"""),1.0)</f>
        <v>1</v>
      </c>
      <c r="I132" s="172"/>
      <c r="J132" s="189"/>
      <c r="K132" s="192"/>
      <c r="L132" s="194" t="str">
        <f t="shared" si="1"/>
        <v/>
      </c>
      <c r="M132" s="189"/>
      <c r="N132" s="192"/>
    </row>
    <row r="133">
      <c r="A133" s="193">
        <f t="shared" si="2"/>
        <v>126</v>
      </c>
      <c r="B133" s="189" t="str">
        <f>IFERROR(__xludf.DUMMYFUNCTION("""COMPUTED_VALUE"""),"NikitaStolk")</f>
        <v>NikitaStolk</v>
      </c>
      <c r="C133" s="190">
        <f>IF(ISNUMBER($A133)=TRUE,COUNTIFS(Spreadsheet!$H$9:$H653,B133,Spreadsheet!$V$9:$V653,"&gt;0"),"")</f>
        <v>0</v>
      </c>
      <c r="D133" s="190">
        <f>IF(ISNUMBER($A133)=TRUE,COUNTIFS(Spreadsheet!$H$9:$H653,B133,Spreadsheet!$W$9:$W653,"&gt;0"),"")</f>
        <v>0</v>
      </c>
      <c r="E133" s="191">
        <f>IF(ISNUMBER($A133)=TRUE,COUNTIFS(Spreadsheet!$H$9:$H653,B133,Spreadsheet!$K$9:$K653,"TRUE"),"")</f>
        <v>1</v>
      </c>
      <c r="F133" s="172"/>
      <c r="G133" s="189" t="str">
        <f>IFERROR(__xludf.DUMMYFUNCTION("""COMPUTED_VALUE"""),"halizwein")</f>
        <v>halizwein</v>
      </c>
      <c r="H133" s="192">
        <f>IFERROR(__xludf.DUMMYFUNCTION("""COMPUTED_VALUE"""),1.0)</f>
        <v>1</v>
      </c>
      <c r="I133" s="172"/>
      <c r="J133" s="189"/>
      <c r="K133" s="192"/>
      <c r="L133" s="194" t="str">
        <f t="shared" si="1"/>
        <v/>
      </c>
      <c r="M133" s="189"/>
      <c r="N133" s="192"/>
    </row>
    <row r="134">
      <c r="A134" s="193">
        <f t="shared" si="2"/>
        <v>127</v>
      </c>
      <c r="B134" s="189" t="str">
        <f>IFERROR(__xludf.DUMMYFUNCTION("""COMPUTED_VALUE"""),"nufrat")</f>
        <v>nufrat</v>
      </c>
      <c r="C134" s="190">
        <f>IF(ISNUMBER($A134)=TRUE,COUNTIFS(Spreadsheet!$H$9:$H653,B134,Spreadsheet!$V$9:$V653,"&gt;0"),"")</f>
        <v>0</v>
      </c>
      <c r="D134" s="190">
        <f>IF(ISNUMBER($A134)=TRUE,COUNTIFS(Spreadsheet!$H$9:$H653,B134,Spreadsheet!$W$9:$W653,"&gt;0"),"")</f>
        <v>0</v>
      </c>
      <c r="E134" s="191">
        <f>IF(ISNUMBER($A134)=TRUE,COUNTIFS(Spreadsheet!$H$9:$H653,B134,Spreadsheet!$K$9:$K653,"TRUE"),"")</f>
        <v>2</v>
      </c>
      <c r="F134" s="172"/>
      <c r="G134" s="189" t="str">
        <f>IFERROR(__xludf.DUMMYFUNCTION("""COMPUTED_VALUE"""),"heathcote07")</f>
        <v>heathcote07</v>
      </c>
      <c r="H134" s="192">
        <f>IFERROR(__xludf.DUMMYFUNCTION("""COMPUTED_VALUE"""),1.0)</f>
        <v>1</v>
      </c>
      <c r="I134" s="172"/>
      <c r="J134" s="189"/>
      <c r="K134" s="192"/>
      <c r="L134" s="194" t="str">
        <f t="shared" si="1"/>
        <v/>
      </c>
      <c r="M134" s="189"/>
      <c r="N134" s="192"/>
    </row>
    <row r="135">
      <c r="A135" s="193">
        <f t="shared" si="2"/>
        <v>128</v>
      </c>
      <c r="B135" s="189" t="str">
        <f>IFERROR(__xludf.DUMMYFUNCTION("""COMPUTED_VALUE"""),"nyisutter")</f>
        <v>nyisutter</v>
      </c>
      <c r="C135" s="190">
        <f>IF(ISNUMBER($A135)=TRUE,COUNTIFS(Spreadsheet!$H$9:$H653,B135,Spreadsheet!$V$9:$V653,"&gt;0"),"")</f>
        <v>0</v>
      </c>
      <c r="D135" s="190">
        <f>IF(ISNUMBER($A135)=TRUE,COUNTIFS(Spreadsheet!$H$9:$H653,B135,Spreadsheet!$W$9:$W653,"&gt;0"),"")</f>
        <v>0</v>
      </c>
      <c r="E135" s="191">
        <f>IF(ISNUMBER($A135)=TRUE,COUNTIFS(Spreadsheet!$H$9:$H653,B135,Spreadsheet!$K$9:$K653,"TRUE"),"")</f>
        <v>1</v>
      </c>
      <c r="F135" s="172"/>
      <c r="G135" s="189" t="str">
        <f>IFERROR(__xludf.DUMMYFUNCTION("""COMPUTED_VALUE"""),"hems79")</f>
        <v>hems79</v>
      </c>
      <c r="H135" s="192">
        <f>IFERROR(__xludf.DUMMYFUNCTION("""COMPUTED_VALUE"""),1.0)</f>
        <v>1</v>
      </c>
      <c r="I135" s="172"/>
      <c r="J135" s="189"/>
      <c r="K135" s="192"/>
      <c r="L135" s="194" t="str">
        <f t="shared" si="1"/>
        <v/>
      </c>
      <c r="M135" s="189"/>
      <c r="N135" s="192"/>
    </row>
    <row r="136">
      <c r="A136" s="193">
        <f t="shared" si="2"/>
        <v>129</v>
      </c>
      <c r="B136" s="189" t="str">
        <f>IFERROR(__xludf.DUMMYFUNCTION("""COMPUTED_VALUE"""),"ol0n0lo")</f>
        <v>ol0n0lo</v>
      </c>
      <c r="C136" s="190">
        <f>IF(ISNUMBER($A136)=TRUE,COUNTIFS(Spreadsheet!$H$9:$H653,B136,Spreadsheet!$V$9:$V653,"&gt;0"),"")</f>
        <v>0</v>
      </c>
      <c r="D136" s="190">
        <f>IF(ISNUMBER($A136)=TRUE,COUNTIFS(Spreadsheet!$H$9:$H653,B136,Spreadsheet!$W$9:$W653,"&gt;0"),"")</f>
        <v>0</v>
      </c>
      <c r="E136" s="191">
        <f>IF(ISNUMBER($A136)=TRUE,COUNTIFS(Spreadsheet!$H$9:$H653,B136,Spreadsheet!$K$9:$K653,"TRUE"),"")</f>
        <v>1</v>
      </c>
      <c r="F136" s="172"/>
      <c r="G136" s="189" t="str">
        <f>IFERROR(__xludf.DUMMYFUNCTION("""COMPUTED_VALUE"""),"HingeAndBracket")</f>
        <v>HingeAndBracket</v>
      </c>
      <c r="H136" s="192">
        <f>IFERROR(__xludf.DUMMYFUNCTION("""COMPUTED_VALUE"""),1.0)</f>
        <v>1</v>
      </c>
      <c r="I136" s="172"/>
      <c r="J136" s="189"/>
      <c r="K136" s="192"/>
      <c r="L136" s="194" t="str">
        <f t="shared" si="1"/>
        <v/>
      </c>
      <c r="M136" s="189"/>
      <c r="N136" s="192"/>
    </row>
    <row r="137">
      <c r="A137" s="193">
        <f t="shared" si="2"/>
        <v>130</v>
      </c>
      <c r="B137" s="189" t="str">
        <f>IFERROR(__xludf.DUMMYFUNCTION("""COMPUTED_VALUE"""),"Paulus2012")</f>
        <v>Paulus2012</v>
      </c>
      <c r="C137" s="190">
        <f>IF(ISNUMBER($A137)=TRUE,COUNTIFS(Spreadsheet!$H$9:$H653,B137,Spreadsheet!$V$9:$V653,"&gt;0"),"")</f>
        <v>0</v>
      </c>
      <c r="D137" s="190">
        <f>IF(ISNUMBER($A137)=TRUE,COUNTIFS(Spreadsheet!$H$9:$H653,B137,Spreadsheet!$W$9:$W653,"&gt;0"),"")</f>
        <v>0</v>
      </c>
      <c r="E137" s="191">
        <f>IF(ISNUMBER($A137)=TRUE,COUNTIFS(Spreadsheet!$H$9:$H653,B137,Spreadsheet!$K$9:$K653,"TRUE"),"")</f>
        <v>17</v>
      </c>
      <c r="F137" s="172"/>
      <c r="G137" s="189" t="str">
        <f>IFERROR(__xludf.DUMMYFUNCTION("""COMPUTED_VALUE"""),"HtV")</f>
        <v>HtV</v>
      </c>
      <c r="H137" s="192">
        <f>IFERROR(__xludf.DUMMYFUNCTION("""COMPUTED_VALUE"""),1.0)</f>
        <v>1</v>
      </c>
      <c r="I137" s="172"/>
      <c r="J137" s="189"/>
      <c r="K137" s="192"/>
      <c r="L137" s="194" t="str">
        <f t="shared" si="1"/>
        <v/>
      </c>
      <c r="M137" s="189"/>
      <c r="N137" s="192"/>
    </row>
    <row r="138">
      <c r="A138" s="193">
        <f t="shared" si="2"/>
        <v>131</v>
      </c>
      <c r="B138" s="189" t="str">
        <f>IFERROR(__xludf.DUMMYFUNCTION("""COMPUTED_VALUE"""),"PawPatrolThomas")</f>
        <v>PawPatrolThomas</v>
      </c>
      <c r="C138" s="190">
        <f>IF(ISNUMBER($A138)=TRUE,COUNTIFS(Spreadsheet!$H$9:$H653,B138,Spreadsheet!$V$9:$V653,"&gt;0"),"")</f>
        <v>0</v>
      </c>
      <c r="D138" s="190">
        <f>IF(ISNUMBER($A138)=TRUE,COUNTIFS(Spreadsheet!$H$9:$H653,B138,Spreadsheet!$W$9:$W653,"&gt;0"),"")</f>
        <v>0</v>
      </c>
      <c r="E138" s="191">
        <f>IF(ISNUMBER($A138)=TRUE,COUNTIFS(Spreadsheet!$H$9:$H653,B138,Spreadsheet!$K$9:$K653,"TRUE"),"")</f>
        <v>10</v>
      </c>
      <c r="F138" s="172"/>
      <c r="G138" s="189" t="str">
        <f>IFERROR(__xludf.DUMMYFUNCTION("""COMPUTED_VALUE"""),"jacksparrow")</f>
        <v>jacksparrow</v>
      </c>
      <c r="H138" s="192">
        <f>IFERROR(__xludf.DUMMYFUNCTION("""COMPUTED_VALUE"""),1.0)</f>
        <v>1</v>
      </c>
      <c r="I138" s="172"/>
      <c r="J138" s="189"/>
      <c r="K138" s="192"/>
      <c r="L138" s="194" t="str">
        <f t="shared" si="1"/>
        <v/>
      </c>
      <c r="M138" s="189"/>
      <c r="N138" s="192"/>
    </row>
    <row r="139">
      <c r="A139" s="193">
        <f t="shared" si="2"/>
        <v>132</v>
      </c>
      <c r="B139" s="189" t="str">
        <f>IFERROR(__xludf.DUMMYFUNCTION("""COMPUTED_VALUE"""),"piesciuk")</f>
        <v>piesciuk</v>
      </c>
      <c r="C139" s="190">
        <f>IF(ISNUMBER($A139)=TRUE,COUNTIFS(Spreadsheet!$H$9:$H653,B139,Spreadsheet!$V$9:$V653,"&gt;0"),"")</f>
        <v>0</v>
      </c>
      <c r="D139" s="190">
        <f>IF(ISNUMBER($A139)=TRUE,COUNTIFS(Spreadsheet!$H$9:$H653,B139,Spreadsheet!$W$9:$W653,"&gt;0"),"")</f>
        <v>0</v>
      </c>
      <c r="E139" s="191">
        <f>IF(ISNUMBER($A139)=TRUE,COUNTIFS(Spreadsheet!$H$9:$H653,B139,Spreadsheet!$K$9:$K653,"TRUE"),"")</f>
        <v>1</v>
      </c>
      <c r="F139" s="172"/>
      <c r="G139" s="189" t="str">
        <f>IFERROR(__xludf.DUMMYFUNCTION("""COMPUTED_VALUE"""),"janzattic")</f>
        <v>janzattic</v>
      </c>
      <c r="H139" s="192">
        <f>IFERROR(__xludf.DUMMYFUNCTION("""COMPUTED_VALUE"""),1.0)</f>
        <v>1</v>
      </c>
      <c r="I139" s="172"/>
      <c r="J139" s="189"/>
      <c r="K139" s="192"/>
      <c r="L139" s="194" t="str">
        <f t="shared" si="1"/>
        <v/>
      </c>
      <c r="M139" s="189"/>
      <c r="N139" s="192"/>
    </row>
    <row r="140">
      <c r="A140" s="193">
        <f t="shared" si="2"/>
        <v>133</v>
      </c>
      <c r="B140" s="189" t="str">
        <f>IFERROR(__xludf.DUMMYFUNCTION("""COMPUTED_VALUE"""),"piupardo")</f>
        <v>piupardo</v>
      </c>
      <c r="C140" s="190">
        <f>IF(ISNUMBER($A140)=TRUE,COUNTIFS(Spreadsheet!$H$9:$H653,B140,Spreadsheet!$V$9:$V653,"&gt;0"),"")</f>
        <v>0</v>
      </c>
      <c r="D140" s="190">
        <f>IF(ISNUMBER($A140)=TRUE,COUNTIFS(Spreadsheet!$H$9:$H653,B140,Spreadsheet!$W$9:$W653,"&gt;0"),"")</f>
        <v>0</v>
      </c>
      <c r="E140" s="191">
        <f>IF(ISNUMBER($A140)=TRUE,COUNTIFS(Spreadsheet!$H$9:$H653,B140,Spreadsheet!$K$9:$K653,"TRUE"),"")</f>
        <v>3</v>
      </c>
      <c r="F140" s="172"/>
      <c r="G140" s="189" t="str">
        <f>IFERROR(__xludf.DUMMYFUNCTION("""COMPUTED_VALUE"""),"Jeffeth")</f>
        <v>Jeffeth</v>
      </c>
      <c r="H140" s="192">
        <f>IFERROR(__xludf.DUMMYFUNCTION("""COMPUTED_VALUE"""),1.0)</f>
        <v>1</v>
      </c>
      <c r="I140" s="172"/>
      <c r="J140" s="189"/>
      <c r="K140" s="192"/>
      <c r="L140" s="194" t="str">
        <f t="shared" si="1"/>
        <v/>
      </c>
      <c r="M140" s="189"/>
      <c r="N140" s="192"/>
    </row>
    <row r="141">
      <c r="A141" s="193">
        <f t="shared" si="2"/>
        <v>134</v>
      </c>
      <c r="B141" s="189" t="str">
        <f>IFERROR(__xludf.DUMMYFUNCTION("""COMPUTED_VALUE"""),"Pronkrug")</f>
        <v>Pronkrug</v>
      </c>
      <c r="C141" s="190">
        <f>IF(ISNUMBER($A141)=TRUE,COUNTIFS(Spreadsheet!$H$9:$H653,B141,Spreadsheet!$V$9:$V653,"&gt;0"),"")</f>
        <v>0</v>
      </c>
      <c r="D141" s="190">
        <f>IF(ISNUMBER($A141)=TRUE,COUNTIFS(Spreadsheet!$H$9:$H653,B141,Spreadsheet!$W$9:$W653,"&gt;0"),"")</f>
        <v>0</v>
      </c>
      <c r="E141" s="191">
        <f>IF(ISNUMBER($A141)=TRUE,COUNTIFS(Spreadsheet!$H$9:$H653,B141,Spreadsheet!$K$9:$K653,"TRUE"),"")</f>
        <v>1</v>
      </c>
      <c r="F141" s="172"/>
      <c r="G141" s="189" t="str">
        <f>IFERROR(__xludf.DUMMYFUNCTION("""COMPUTED_VALUE"""),"jesterjeff007")</f>
        <v>jesterjeff007</v>
      </c>
      <c r="H141" s="192">
        <f>IFERROR(__xludf.DUMMYFUNCTION("""COMPUTED_VALUE"""),1.0)</f>
        <v>1</v>
      </c>
      <c r="I141" s="172"/>
      <c r="J141" s="189"/>
      <c r="K141" s="192"/>
      <c r="L141" s="194" t="str">
        <f t="shared" si="1"/>
        <v/>
      </c>
      <c r="M141" s="189"/>
      <c r="N141" s="192"/>
    </row>
    <row r="142">
      <c r="A142" s="193">
        <f t="shared" si="2"/>
        <v>135</v>
      </c>
      <c r="B142" s="189" t="str">
        <f>IFERROR(__xludf.DUMMYFUNCTION("""COMPUTED_VALUE"""),"purplecourgette")</f>
        <v>purplecourgette</v>
      </c>
      <c r="C142" s="190">
        <f>IF(ISNUMBER($A142)=TRUE,COUNTIFS(Spreadsheet!$H$9:$H653,B142,Spreadsheet!$V$9:$V653,"&gt;0"),"")</f>
        <v>0</v>
      </c>
      <c r="D142" s="190">
        <f>IF(ISNUMBER($A142)=TRUE,COUNTIFS(Spreadsheet!$H$9:$H653,B142,Spreadsheet!$W$9:$W653,"&gt;0"),"")</f>
        <v>0</v>
      </c>
      <c r="E142" s="191">
        <f>IF(ISNUMBER($A142)=TRUE,COUNTIFS(Spreadsheet!$H$9:$H653,B142,Spreadsheet!$K$9:$K653,"TRUE"),"")</f>
        <v>1</v>
      </c>
      <c r="F142" s="172"/>
      <c r="G142" s="189" t="str">
        <f>IFERROR(__xludf.DUMMYFUNCTION("""COMPUTED_VALUE"""),"kaliho")</f>
        <v>kaliho</v>
      </c>
      <c r="H142" s="192">
        <f>IFERROR(__xludf.DUMMYFUNCTION("""COMPUTED_VALUE"""),1.0)</f>
        <v>1</v>
      </c>
      <c r="I142" s="172"/>
      <c r="J142" s="189"/>
      <c r="K142" s="192"/>
      <c r="L142" s="194" t="str">
        <f t="shared" si="1"/>
        <v/>
      </c>
      <c r="M142" s="189"/>
      <c r="N142" s="192"/>
    </row>
    <row r="143">
      <c r="A143" s="193">
        <f t="shared" si="2"/>
        <v>136</v>
      </c>
      <c r="B143" s="189" t="str">
        <f>IFERROR(__xludf.DUMMYFUNCTION("""COMPUTED_VALUE"""),"raftjen")</f>
        <v>raftjen</v>
      </c>
      <c r="C143" s="190">
        <f>IF(ISNUMBER($A143)=TRUE,COUNTIFS(Spreadsheet!$H$9:$H653,B143,Spreadsheet!$V$9:$V653,"&gt;0"),"")</f>
        <v>0</v>
      </c>
      <c r="D143" s="190">
        <f>IF(ISNUMBER($A143)=TRUE,COUNTIFS(Spreadsheet!$H$9:$H653,B143,Spreadsheet!$W$9:$W653,"&gt;0"),"")</f>
        <v>0</v>
      </c>
      <c r="E143" s="191">
        <f>IF(ISNUMBER($A143)=TRUE,COUNTIFS(Spreadsheet!$H$9:$H653,B143,Spreadsheet!$K$9:$K653,"TRUE"),"")</f>
        <v>10</v>
      </c>
      <c r="F143" s="172"/>
      <c r="G143" s="189" t="str">
        <f>IFERROR(__xludf.DUMMYFUNCTION("""COMPUTED_VALUE"""),"kiitokurre")</f>
        <v>kiitokurre</v>
      </c>
      <c r="H143" s="192">
        <f>IFERROR(__xludf.DUMMYFUNCTION("""COMPUTED_VALUE"""),1.0)</f>
        <v>1</v>
      </c>
      <c r="I143" s="172"/>
      <c r="J143" s="189"/>
      <c r="K143" s="192"/>
      <c r="L143" s="194" t="str">
        <f t="shared" si="1"/>
        <v/>
      </c>
      <c r="M143" s="189"/>
      <c r="N143" s="192"/>
    </row>
    <row r="144">
      <c r="A144" s="193">
        <f t="shared" si="2"/>
        <v>137</v>
      </c>
      <c r="B144" s="189" t="str">
        <f>IFERROR(__xludf.DUMMYFUNCTION("""COMPUTED_VALUE"""),"rgforsythe")</f>
        <v>rgforsythe</v>
      </c>
      <c r="C144" s="190">
        <f>IF(ISNUMBER($A144)=TRUE,COUNTIFS(Spreadsheet!$H$9:$H653,B144,Spreadsheet!$V$9:$V653,"&gt;0"),"")</f>
        <v>0</v>
      </c>
      <c r="D144" s="190">
        <f>IF(ISNUMBER($A144)=TRUE,COUNTIFS(Spreadsheet!$H$9:$H653,B144,Spreadsheet!$W$9:$W653,"&gt;0"),"")</f>
        <v>0</v>
      </c>
      <c r="E144" s="191">
        <f>IF(ISNUMBER($A144)=TRUE,COUNTIFS(Spreadsheet!$H$9:$H653,B144,Spreadsheet!$K$9:$K653,"TRUE"),"")</f>
        <v>1</v>
      </c>
      <c r="F144" s="172"/>
      <c r="G144" s="189" t="str">
        <f>IFERROR(__xludf.DUMMYFUNCTION("""COMPUTED_VALUE"""),"Knightwood")</f>
        <v>Knightwood</v>
      </c>
      <c r="H144" s="192">
        <f>IFERROR(__xludf.DUMMYFUNCTION("""COMPUTED_VALUE"""),1.0)</f>
        <v>1</v>
      </c>
      <c r="I144" s="172"/>
      <c r="J144" s="189"/>
      <c r="K144" s="192"/>
      <c r="L144" s="194" t="str">
        <f t="shared" si="1"/>
        <v/>
      </c>
      <c r="M144" s="189"/>
      <c r="N144" s="192"/>
    </row>
    <row r="145">
      <c r="A145" s="193">
        <f t="shared" si="2"/>
        <v>138</v>
      </c>
      <c r="B145" s="189" t="str">
        <f>IFERROR(__xludf.DUMMYFUNCTION("""COMPUTED_VALUE"""),"Rhaegal")</f>
        <v>Rhaegal</v>
      </c>
      <c r="C145" s="190">
        <f>IF(ISNUMBER($A145)=TRUE,COUNTIFS(Spreadsheet!$H$9:$H653,B145,Spreadsheet!$V$9:$V653,"&gt;0"),"")</f>
        <v>0</v>
      </c>
      <c r="D145" s="190">
        <f>IF(ISNUMBER($A145)=TRUE,COUNTIFS(Spreadsheet!$H$9:$H653,B145,Spreadsheet!$W$9:$W653,"&gt;0"),"")</f>
        <v>0</v>
      </c>
      <c r="E145" s="191">
        <f>IF(ISNUMBER($A145)=TRUE,COUNTIFS(Spreadsheet!$H$9:$H653,B145,Spreadsheet!$K$9:$K653,"TRUE"),"")</f>
        <v>1</v>
      </c>
      <c r="F145" s="172"/>
      <c r="G145" s="189" t="str">
        <f>IFERROR(__xludf.DUMMYFUNCTION("""COMPUTED_VALUE"""),"ksullivan")</f>
        <v>ksullivan</v>
      </c>
      <c r="H145" s="192">
        <f>IFERROR(__xludf.DUMMYFUNCTION("""COMPUTED_VALUE"""),1.0)</f>
        <v>1</v>
      </c>
      <c r="I145" s="172"/>
      <c r="J145" s="189"/>
      <c r="K145" s="192"/>
      <c r="L145" s="194" t="str">
        <f t="shared" si="1"/>
        <v/>
      </c>
      <c r="M145" s="189"/>
      <c r="N145" s="192"/>
    </row>
    <row r="146">
      <c r="A146" s="193">
        <f t="shared" si="2"/>
        <v>139</v>
      </c>
      <c r="B146" s="189" t="str">
        <f>IFERROR(__xludf.DUMMYFUNCTION("""COMPUTED_VALUE"""),"RobS")</f>
        <v>RobS</v>
      </c>
      <c r="C146" s="190">
        <f>IF(ISNUMBER($A146)=TRUE,COUNTIFS(Spreadsheet!$H$9:$H653,B146,Spreadsheet!$V$9:$V653,"&gt;0"),"")</f>
        <v>0</v>
      </c>
      <c r="D146" s="190">
        <f>IF(ISNUMBER($A146)=TRUE,COUNTIFS(Spreadsheet!$H$9:$H653,B146,Spreadsheet!$W$9:$W653,"&gt;0"),"")</f>
        <v>0</v>
      </c>
      <c r="E146" s="191">
        <f>IF(ISNUMBER($A146)=TRUE,COUNTIFS(Spreadsheet!$H$9:$H653,B146,Spreadsheet!$K$9:$K653,"TRUE"),"")</f>
        <v>11</v>
      </c>
      <c r="F146" s="172"/>
      <c r="G146" s="189" t="str">
        <f>IFERROR(__xludf.DUMMYFUNCTION("""COMPUTED_VALUE"""),"Kyrandia")</f>
        <v>Kyrandia</v>
      </c>
      <c r="H146" s="192">
        <f>IFERROR(__xludf.DUMMYFUNCTION("""COMPUTED_VALUE"""),1.0)</f>
        <v>1</v>
      </c>
      <c r="I146" s="172"/>
      <c r="J146" s="189"/>
      <c r="K146" s="192"/>
      <c r="L146" s="194" t="str">
        <f t="shared" si="1"/>
        <v/>
      </c>
      <c r="M146" s="189"/>
      <c r="N146" s="192"/>
    </row>
    <row r="147">
      <c r="A147" s="193">
        <f t="shared" si="2"/>
        <v>140</v>
      </c>
      <c r="B147" s="189" t="str">
        <f>IFERROR(__xludf.DUMMYFUNCTION("""COMPUTED_VALUE"""),"RoversEnd")</f>
        <v>RoversEnd</v>
      </c>
      <c r="C147" s="190">
        <f>IF(ISNUMBER($A147)=TRUE,COUNTIFS(Spreadsheet!$H$9:$H653,B147,Spreadsheet!$V$9:$V653,"&gt;0"),"")</f>
        <v>0</v>
      </c>
      <c r="D147" s="190">
        <f>IF(ISNUMBER($A147)=TRUE,COUNTIFS(Spreadsheet!$H$9:$H653,B147,Spreadsheet!$W$9:$W653,"&gt;0"),"")</f>
        <v>0</v>
      </c>
      <c r="E147" s="191">
        <f>IF(ISNUMBER($A147)=TRUE,COUNTIFS(Spreadsheet!$H$9:$H653,B147,Spreadsheet!$K$9:$K653,"TRUE"),"")</f>
        <v>5</v>
      </c>
      <c r="F147" s="172"/>
      <c r="G147" s="189" t="str">
        <f>IFERROR(__xludf.DUMMYFUNCTION("""COMPUTED_VALUE"""),"lanyasummer")</f>
        <v>lanyasummer</v>
      </c>
      <c r="H147" s="192">
        <f>IFERROR(__xludf.DUMMYFUNCTION("""COMPUTED_VALUE"""),1.0)</f>
        <v>1</v>
      </c>
      <c r="I147" s="172"/>
      <c r="J147" s="189"/>
      <c r="K147" s="192"/>
      <c r="L147" s="194" t="str">
        <f t="shared" si="1"/>
        <v/>
      </c>
      <c r="M147" s="189"/>
      <c r="N147" s="192"/>
    </row>
    <row r="148">
      <c r="A148" s="193">
        <f t="shared" si="2"/>
        <v>141</v>
      </c>
      <c r="B148" s="189" t="str">
        <f>IFERROR(__xludf.DUMMYFUNCTION("""COMPUTED_VALUE"""),"RTHawk")</f>
        <v>RTHawk</v>
      </c>
      <c r="C148" s="190">
        <f>IF(ISNUMBER($A148)=TRUE,COUNTIFS(Spreadsheet!$H$9:$H653,B148,Spreadsheet!$V$9:$V653,"&gt;0"),"")</f>
        <v>0</v>
      </c>
      <c r="D148" s="190">
        <f>IF(ISNUMBER($A148)=TRUE,COUNTIFS(Spreadsheet!$H$9:$H653,B148,Spreadsheet!$W$9:$W653,"&gt;0"),"")</f>
        <v>0</v>
      </c>
      <c r="E148" s="191">
        <f>IF(ISNUMBER($A148)=TRUE,COUNTIFS(Spreadsheet!$H$9:$H653,B148,Spreadsheet!$K$9:$K653,"TRUE"),"")</f>
        <v>1</v>
      </c>
      <c r="F148" s="172"/>
      <c r="G148" s="189" t="str">
        <f>IFERROR(__xludf.DUMMYFUNCTION("""COMPUTED_VALUE"""),"Leatherbottom")</f>
        <v>Leatherbottom</v>
      </c>
      <c r="H148" s="192">
        <f>IFERROR(__xludf.DUMMYFUNCTION("""COMPUTED_VALUE"""),1.0)</f>
        <v>1</v>
      </c>
      <c r="I148" s="172"/>
      <c r="J148" s="189"/>
      <c r="K148" s="192"/>
      <c r="L148" s="194" t="str">
        <f t="shared" si="1"/>
        <v/>
      </c>
      <c r="M148" s="189"/>
      <c r="N148" s="192"/>
    </row>
    <row r="149">
      <c r="A149" s="193">
        <f t="shared" si="2"/>
        <v>142</v>
      </c>
      <c r="B149" s="189" t="str">
        <f>IFERROR(__xludf.DUMMYFUNCTION("""COMPUTED_VALUE"""),"Rubin")</f>
        <v>Rubin</v>
      </c>
      <c r="C149" s="190">
        <f>IF(ISNUMBER($A149)=TRUE,COUNTIFS(Spreadsheet!$H$9:$H653,B149,Spreadsheet!$V$9:$V653,"&gt;0"),"")</f>
        <v>0</v>
      </c>
      <c r="D149" s="190">
        <f>IF(ISNUMBER($A149)=TRUE,COUNTIFS(Spreadsheet!$H$9:$H653,B149,Spreadsheet!$W$9:$W653,"&gt;0"),"")</f>
        <v>0</v>
      </c>
      <c r="E149" s="191">
        <f>IF(ISNUMBER($A149)=TRUE,COUNTIFS(Spreadsheet!$H$9:$H653,B149,Spreadsheet!$K$9:$K653,"TRUE"),"")</f>
        <v>2</v>
      </c>
      <c r="F149" s="172"/>
      <c r="G149" s="189" t="str">
        <f>IFERROR(__xludf.DUMMYFUNCTION("""COMPUTED_VALUE"""),"Lehmis")</f>
        <v>Lehmis</v>
      </c>
      <c r="H149" s="192">
        <f>IFERROR(__xludf.DUMMYFUNCTION("""COMPUTED_VALUE"""),1.0)</f>
        <v>1</v>
      </c>
      <c r="I149" s="172"/>
      <c r="J149" s="189"/>
      <c r="K149" s="192"/>
      <c r="L149" s="194" t="str">
        <f t="shared" si="1"/>
        <v/>
      </c>
      <c r="M149" s="189"/>
      <c r="N149" s="192"/>
    </row>
    <row r="150">
      <c r="A150" s="193">
        <f t="shared" si="2"/>
        <v>143</v>
      </c>
      <c r="B150" s="189" t="str">
        <f>IFERROR(__xludf.DUMMYFUNCTION("""COMPUTED_VALUE"""),"sagabi")</f>
        <v>sagabi</v>
      </c>
      <c r="C150" s="190">
        <f>IF(ISNUMBER($A150)=TRUE,COUNTIFS(Spreadsheet!$H$9:$H653,B150,Spreadsheet!$V$9:$V653,"&gt;0"),"")</f>
        <v>0</v>
      </c>
      <c r="D150" s="190">
        <f>IF(ISNUMBER($A150)=TRUE,COUNTIFS(Spreadsheet!$H$9:$H653,B150,Spreadsheet!$W$9:$W653,"&gt;0"),"")</f>
        <v>0</v>
      </c>
      <c r="E150" s="191">
        <f>IF(ISNUMBER($A150)=TRUE,COUNTIFS(Spreadsheet!$H$9:$H653,B150,Spreadsheet!$K$9:$K653,"TRUE"),"")</f>
        <v>2</v>
      </c>
      <c r="F150" s="172"/>
      <c r="G150" s="189" t="str">
        <f>IFERROR(__xludf.DUMMYFUNCTION("""COMPUTED_VALUE"""),"lison55")</f>
        <v>lison55</v>
      </c>
      <c r="H150" s="192">
        <f>IFERROR(__xludf.DUMMYFUNCTION("""COMPUTED_VALUE"""),1.0)</f>
        <v>1</v>
      </c>
      <c r="I150" s="172"/>
      <c r="J150" s="189"/>
      <c r="K150" s="192"/>
      <c r="L150" s="194" t="str">
        <f t="shared" si="1"/>
        <v/>
      </c>
      <c r="M150" s="189"/>
      <c r="N150" s="192"/>
    </row>
    <row r="151">
      <c r="A151" s="193">
        <f t="shared" si="2"/>
        <v>144</v>
      </c>
      <c r="B151" s="189" t="str">
        <f>IFERROR(__xludf.DUMMYFUNCTION("""COMPUTED_VALUE"""),"Sandrius")</f>
        <v>Sandrius</v>
      </c>
      <c r="C151" s="190">
        <f>IF(ISNUMBER($A151)=TRUE,COUNTIFS(Spreadsheet!$H$9:$H653,B151,Spreadsheet!$V$9:$V653,"&gt;0"),"")</f>
        <v>0</v>
      </c>
      <c r="D151" s="190">
        <f>IF(ISNUMBER($A151)=TRUE,COUNTIFS(Spreadsheet!$H$9:$H653,B151,Spreadsheet!$W$9:$W653,"&gt;0"),"")</f>
        <v>0</v>
      </c>
      <c r="E151" s="191">
        <f>IF(ISNUMBER($A151)=TRUE,COUNTIFS(Spreadsheet!$H$9:$H653,B151,Spreadsheet!$K$9:$K653,"TRUE"),"")</f>
        <v>2</v>
      </c>
      <c r="F151" s="172"/>
      <c r="G151" s="189" t="str">
        <f>IFERROR(__xludf.DUMMYFUNCTION("""COMPUTED_VALUE"""),"LittleMeggie")</f>
        <v>LittleMeggie</v>
      </c>
      <c r="H151" s="192">
        <f>IFERROR(__xludf.DUMMYFUNCTION("""COMPUTED_VALUE"""),1.0)</f>
        <v>1</v>
      </c>
      <c r="I151" s="172"/>
      <c r="J151" s="189"/>
      <c r="K151" s="192"/>
      <c r="L151" s="194" t="str">
        <f t="shared" si="1"/>
        <v/>
      </c>
      <c r="M151" s="189"/>
      <c r="N151" s="192"/>
    </row>
    <row r="152">
      <c r="A152" s="193">
        <f t="shared" si="2"/>
        <v>145</v>
      </c>
      <c r="B152" s="189" t="str">
        <f>IFERROR(__xludf.DUMMYFUNCTION("""COMPUTED_VALUE"""),"sidcup")</f>
        <v>sidcup</v>
      </c>
      <c r="C152" s="190">
        <f>IF(ISNUMBER($A152)=TRUE,COUNTIFS(Spreadsheet!$H$9:$H653,B152,Spreadsheet!$V$9:$V653,"&gt;0"),"")</f>
        <v>0</v>
      </c>
      <c r="D152" s="190">
        <f>IF(ISNUMBER($A152)=TRUE,COUNTIFS(Spreadsheet!$H$9:$H653,B152,Spreadsheet!$W$9:$W653,"&gt;0"),"")</f>
        <v>0</v>
      </c>
      <c r="E152" s="191">
        <f>IF(ISNUMBER($A152)=TRUE,COUNTIFS(Spreadsheet!$H$9:$H653,B152,Spreadsheet!$K$9:$K653,"TRUE"),"")</f>
        <v>1</v>
      </c>
      <c r="F152" s="172"/>
      <c r="G152" s="189" t="str">
        <f>IFERROR(__xludf.DUMMYFUNCTION("""COMPUTED_VALUE"""),"Maattmoo")</f>
        <v>Maattmoo</v>
      </c>
      <c r="H152" s="192">
        <f>IFERROR(__xludf.DUMMYFUNCTION("""COMPUTED_VALUE"""),1.0)</f>
        <v>1</v>
      </c>
      <c r="I152" s="172"/>
      <c r="J152" s="189"/>
      <c r="K152" s="192"/>
      <c r="L152" s="194" t="str">
        <f t="shared" si="1"/>
        <v/>
      </c>
      <c r="M152" s="189"/>
      <c r="N152" s="192"/>
    </row>
    <row r="153">
      <c r="A153" s="193">
        <f t="shared" si="2"/>
        <v>146</v>
      </c>
      <c r="B153" s="189" t="str">
        <f>IFERROR(__xludf.DUMMYFUNCTION("""COMPUTED_VALUE"""),"Sidekicks")</f>
        <v>Sidekicks</v>
      </c>
      <c r="C153" s="190">
        <f>IF(ISNUMBER($A153)=TRUE,COUNTIFS(Spreadsheet!$H$9:$H653,B153,Spreadsheet!$V$9:$V653,"&gt;0"),"")</f>
        <v>0</v>
      </c>
      <c r="D153" s="190">
        <f>IF(ISNUMBER($A153)=TRUE,COUNTIFS(Spreadsheet!$H$9:$H653,B153,Spreadsheet!$W$9:$W653,"&gt;0"),"")</f>
        <v>0</v>
      </c>
      <c r="E153" s="191">
        <f>IF(ISNUMBER($A153)=TRUE,COUNTIFS(Spreadsheet!$H$9:$H653,B153,Spreadsheet!$K$9:$K653,"TRUE"),"")</f>
        <v>2</v>
      </c>
      <c r="F153" s="172"/>
      <c r="G153" s="189" t="str">
        <f>IFERROR(__xludf.DUMMYFUNCTION("""COMPUTED_VALUE"""),"McCormick64")</f>
        <v>McCormick64</v>
      </c>
      <c r="H153" s="192">
        <f>IFERROR(__xludf.DUMMYFUNCTION("""COMPUTED_VALUE"""),1.0)</f>
        <v>1</v>
      </c>
      <c r="I153" s="172"/>
      <c r="J153" s="189"/>
      <c r="K153" s="192"/>
      <c r="L153" s="194" t="str">
        <f t="shared" si="1"/>
        <v/>
      </c>
      <c r="M153" s="189"/>
      <c r="N153" s="192"/>
    </row>
    <row r="154">
      <c r="A154" s="193">
        <f t="shared" si="2"/>
        <v>147</v>
      </c>
      <c r="B154" s="189" t="str">
        <f>IFERROR(__xludf.DUMMYFUNCTION("""COMPUTED_VALUE"""),"Sidekicks ")</f>
        <v>Sidekicks </v>
      </c>
      <c r="C154" s="190">
        <f>IF(ISNUMBER($A154)=TRUE,COUNTIFS(Spreadsheet!$H$9:$H653,B154,Spreadsheet!$V$9:$V653,"&gt;0"),"")</f>
        <v>0</v>
      </c>
      <c r="D154" s="190">
        <f>IF(ISNUMBER($A154)=TRUE,COUNTIFS(Spreadsheet!$H$9:$H653,B154,Spreadsheet!$W$9:$W653,"&gt;0"),"")</f>
        <v>0</v>
      </c>
      <c r="E154" s="191">
        <f>IF(ISNUMBER($A154)=TRUE,COUNTIFS(Spreadsheet!$H$9:$H653,B154,Spreadsheet!$K$9:$K653,"TRUE"),"")</f>
        <v>1</v>
      </c>
      <c r="F154" s="172"/>
      <c r="G154" s="189" t="str">
        <f>IFERROR(__xludf.DUMMYFUNCTION("""COMPUTED_VALUE"""),"mding4gold")</f>
        <v>mding4gold</v>
      </c>
      <c r="H154" s="192">
        <f>IFERROR(__xludf.DUMMYFUNCTION("""COMPUTED_VALUE"""),1.0)</f>
        <v>1</v>
      </c>
      <c r="I154" s="172"/>
      <c r="J154" s="189"/>
      <c r="K154" s="192"/>
      <c r="L154" s="194" t="str">
        <f t="shared" si="1"/>
        <v/>
      </c>
      <c r="M154" s="189"/>
      <c r="N154" s="192"/>
    </row>
    <row r="155">
      <c r="A155" s="193">
        <f t="shared" si="2"/>
        <v>148</v>
      </c>
      <c r="B155" s="189" t="str">
        <f>IFERROR(__xludf.DUMMYFUNCTION("""COMPUTED_VALUE"""),"Sikko")</f>
        <v>Sikko</v>
      </c>
      <c r="C155" s="190">
        <f>IF(ISNUMBER($A155)=TRUE,COUNTIFS(Spreadsheet!$H$9:$H653,B155,Spreadsheet!$V$9:$V653,"&gt;0"),"")</f>
        <v>0</v>
      </c>
      <c r="D155" s="190">
        <f>IF(ISNUMBER($A155)=TRUE,COUNTIFS(Spreadsheet!$H$9:$H653,B155,Spreadsheet!$W$9:$W653,"&gt;0"),"")</f>
        <v>0</v>
      </c>
      <c r="E155" s="191">
        <f>IF(ISNUMBER($A155)=TRUE,COUNTIFS(Spreadsheet!$H$9:$H653,B155,Spreadsheet!$K$9:$K653,"TRUE"),"")</f>
        <v>3</v>
      </c>
      <c r="F155" s="172"/>
      <c r="G155" s="189" t="str">
        <f>IFERROR(__xludf.DUMMYFUNCTION("""COMPUTED_VALUE"""),"mdtt")</f>
        <v>mdtt</v>
      </c>
      <c r="H155" s="192">
        <f>IFERROR(__xludf.DUMMYFUNCTION("""COMPUTED_VALUE"""),1.0)</f>
        <v>1</v>
      </c>
      <c r="I155" s="172"/>
      <c r="J155" s="189"/>
      <c r="K155" s="192"/>
      <c r="L155" s="194" t="str">
        <f t="shared" si="1"/>
        <v/>
      </c>
      <c r="M155" s="189"/>
      <c r="N155" s="192"/>
    </row>
    <row r="156">
      <c r="A156" s="193">
        <f t="shared" si="2"/>
        <v>149</v>
      </c>
      <c r="B156" s="189" t="str">
        <f>IFERROR(__xludf.DUMMYFUNCTION("""COMPUTED_VALUE"""),"Sivontim")</f>
        <v>Sivontim</v>
      </c>
      <c r="C156" s="190">
        <f>IF(ISNUMBER($A156)=TRUE,COUNTIFS(Spreadsheet!$H$9:$H653,B156,Spreadsheet!$V$9:$V653,"&gt;0"),"")</f>
        <v>0</v>
      </c>
      <c r="D156" s="190">
        <f>IF(ISNUMBER($A156)=TRUE,COUNTIFS(Spreadsheet!$H$9:$H653,B156,Spreadsheet!$W$9:$W653,"&gt;0"),"")</f>
        <v>0</v>
      </c>
      <c r="E156" s="191">
        <f>IF(ISNUMBER($A156)=TRUE,COUNTIFS(Spreadsheet!$H$9:$H653,B156,Spreadsheet!$K$9:$K653,"TRUE"),"")</f>
        <v>1</v>
      </c>
      <c r="F156" s="172"/>
      <c r="G156" s="189" t="str">
        <f>IFERROR(__xludf.DUMMYFUNCTION("""COMPUTED_VALUE"""),"meka")</f>
        <v>meka</v>
      </c>
      <c r="H156" s="192">
        <f>IFERROR(__xludf.DUMMYFUNCTION("""COMPUTED_VALUE"""),1.0)</f>
        <v>1</v>
      </c>
      <c r="I156" s="172"/>
      <c r="J156" s="189"/>
      <c r="K156" s="192"/>
      <c r="L156" s="194" t="str">
        <f t="shared" si="1"/>
        <v/>
      </c>
      <c r="M156" s="189"/>
      <c r="N156" s="192"/>
    </row>
    <row r="157">
      <c r="A157" s="193">
        <f t="shared" si="2"/>
        <v>150</v>
      </c>
      <c r="B157" s="189" t="str">
        <f>IFERROR(__xludf.DUMMYFUNCTION("""COMPUTED_VALUE"""),"SpaceCoastGeoStore")</f>
        <v>SpaceCoastGeoStore</v>
      </c>
      <c r="C157" s="190">
        <f>IF(ISNUMBER($A157)=TRUE,COUNTIFS(Spreadsheet!$H$9:$H653,B157,Spreadsheet!$V$9:$V653,"&gt;0"),"")</f>
        <v>0</v>
      </c>
      <c r="D157" s="190">
        <f>IF(ISNUMBER($A157)=TRUE,COUNTIFS(Spreadsheet!$H$9:$H653,B157,Spreadsheet!$W$9:$W653,"&gt;0"),"")</f>
        <v>0</v>
      </c>
      <c r="E157" s="191">
        <f>IF(ISNUMBER($A157)=TRUE,COUNTIFS(Spreadsheet!$H$9:$H653,B157,Spreadsheet!$K$9:$K653,"TRUE"),"")</f>
        <v>1</v>
      </c>
      <c r="F157" s="172"/>
      <c r="G157" s="189" t="str">
        <f>IFERROR(__xludf.DUMMYFUNCTION("""COMPUTED_VALUE"""),"MrsSourflush")</f>
        <v>MrsSourflush</v>
      </c>
      <c r="H157" s="192">
        <f>IFERROR(__xludf.DUMMYFUNCTION("""COMPUTED_VALUE"""),1.0)</f>
        <v>1</v>
      </c>
      <c r="I157" s="172"/>
      <c r="J157" s="189"/>
      <c r="K157" s="192"/>
      <c r="L157" s="194" t="str">
        <f t="shared" si="1"/>
        <v/>
      </c>
      <c r="M157" s="189"/>
      <c r="N157" s="192"/>
    </row>
    <row r="158">
      <c r="A158" s="193">
        <f t="shared" si="2"/>
        <v>151</v>
      </c>
      <c r="B158" s="189" t="str">
        <f>IFERROR(__xludf.DUMMYFUNCTION("""COMPUTED_VALUE"""),"struwel")</f>
        <v>struwel</v>
      </c>
      <c r="C158" s="190">
        <f>IF(ISNUMBER($A158)=TRUE,COUNTIFS(Spreadsheet!$H$9:$H653,B158,Spreadsheet!$V$9:$V653,"&gt;0"),"")</f>
        <v>0</v>
      </c>
      <c r="D158" s="190">
        <f>IF(ISNUMBER($A158)=TRUE,COUNTIFS(Spreadsheet!$H$9:$H653,B158,Spreadsheet!$W$9:$W653,"&gt;0"),"")</f>
        <v>0</v>
      </c>
      <c r="E158" s="191">
        <f>IF(ISNUMBER($A158)=TRUE,COUNTIFS(Spreadsheet!$H$9:$H653,B158,Spreadsheet!$K$9:$K653,"TRUE"),"")</f>
        <v>1</v>
      </c>
      <c r="F158" s="172"/>
      <c r="G158" s="189" t="str">
        <f>IFERROR(__xludf.DUMMYFUNCTION("""COMPUTED_VALUE"""),"MsYB")</f>
        <v>MsYB</v>
      </c>
      <c r="H158" s="192">
        <f>IFERROR(__xludf.DUMMYFUNCTION("""COMPUTED_VALUE"""),1.0)</f>
        <v>1</v>
      </c>
      <c r="I158" s="172"/>
      <c r="J158" s="189"/>
      <c r="K158" s="192"/>
      <c r="L158" s="194" t="str">
        <f t="shared" si="1"/>
        <v/>
      </c>
      <c r="M158" s="189"/>
      <c r="N158" s="192"/>
    </row>
    <row r="159">
      <c r="A159" s="193">
        <f t="shared" si="2"/>
        <v>152</v>
      </c>
      <c r="B159" s="189" t="str">
        <f>IFERROR(__xludf.DUMMYFUNCTION("""COMPUTED_VALUE"""),"Suomieven")</f>
        <v>Suomieven</v>
      </c>
      <c r="C159" s="190">
        <f>IF(ISNUMBER($A159)=TRUE,COUNTIFS(Spreadsheet!$H$9:$H653,B159,Spreadsheet!$V$9:$V653,"&gt;0"),"")</f>
        <v>0</v>
      </c>
      <c r="D159" s="190">
        <f>IF(ISNUMBER($A159)=TRUE,COUNTIFS(Spreadsheet!$H$9:$H653,B159,Spreadsheet!$W$9:$W653,"&gt;0"),"")</f>
        <v>0</v>
      </c>
      <c r="E159" s="191">
        <f>IF(ISNUMBER($A159)=TRUE,COUNTIFS(Spreadsheet!$H$9:$H653,B159,Spreadsheet!$K$9:$K653,"TRUE"),"")</f>
        <v>2</v>
      </c>
      <c r="F159" s="172"/>
      <c r="G159" s="189" t="str">
        <f>IFERROR(__xludf.DUMMYFUNCTION("""COMPUTED_VALUE"""),"naturelover")</f>
        <v>naturelover</v>
      </c>
      <c r="H159" s="192">
        <f>IFERROR(__xludf.DUMMYFUNCTION("""COMPUTED_VALUE"""),1.0)</f>
        <v>1</v>
      </c>
      <c r="I159" s="172"/>
      <c r="J159" s="189"/>
      <c r="K159" s="192"/>
      <c r="L159" s="194" t="str">
        <f t="shared" si="1"/>
        <v/>
      </c>
      <c r="M159" s="189"/>
      <c r="N159" s="192"/>
    </row>
    <row r="160">
      <c r="A160" s="193">
        <f t="shared" si="2"/>
        <v>153</v>
      </c>
      <c r="B160" s="189" t="str">
        <f>IFERROR(__xludf.DUMMYFUNCTION("""COMPUTED_VALUE"""),"sverlaan")</f>
        <v>sverlaan</v>
      </c>
      <c r="C160" s="190">
        <f>IF(ISNUMBER($A160)=TRUE,COUNTIFS(Spreadsheet!$H$9:$H653,B160,Spreadsheet!$V$9:$V653,"&gt;0"),"")</f>
        <v>0</v>
      </c>
      <c r="D160" s="190">
        <f>IF(ISNUMBER($A160)=TRUE,COUNTIFS(Spreadsheet!$H$9:$H653,B160,Spreadsheet!$W$9:$W653,"&gt;0"),"")</f>
        <v>0</v>
      </c>
      <c r="E160" s="191">
        <f>IF(ISNUMBER($A160)=TRUE,COUNTIFS(Spreadsheet!$H$9:$H653,B160,Spreadsheet!$K$9:$K653,"TRUE"),"")</f>
        <v>10</v>
      </c>
      <c r="F160" s="172"/>
      <c r="G160" s="189" t="str">
        <f>IFERROR(__xludf.DUMMYFUNCTION("""COMPUTED_VALUE"""),"NewTwo")</f>
        <v>NewTwo</v>
      </c>
      <c r="H160" s="192">
        <f>IFERROR(__xludf.DUMMYFUNCTION("""COMPUTED_VALUE"""),1.0)</f>
        <v>1</v>
      </c>
      <c r="I160" s="172"/>
      <c r="J160" s="189"/>
      <c r="K160" s="192"/>
      <c r="L160" s="194" t="str">
        <f t="shared" si="1"/>
        <v/>
      </c>
      <c r="M160" s="189"/>
      <c r="N160" s="192"/>
    </row>
    <row r="161">
      <c r="A161" s="193">
        <f t="shared" si="2"/>
        <v>154</v>
      </c>
      <c r="B161" s="189" t="str">
        <f>IFERROR(__xludf.DUMMYFUNCTION("""COMPUTED_VALUE"""),"taska1981")</f>
        <v>taska1981</v>
      </c>
      <c r="C161" s="190">
        <f>IF(ISNUMBER($A161)=TRUE,COUNTIFS(Spreadsheet!$H$9:$H653,B161,Spreadsheet!$V$9:$V653,"&gt;0"),"")</f>
        <v>0</v>
      </c>
      <c r="D161" s="190">
        <f>IF(ISNUMBER($A161)=TRUE,COUNTIFS(Spreadsheet!$H$9:$H653,B161,Spreadsheet!$W$9:$W653,"&gt;0"),"")</f>
        <v>0</v>
      </c>
      <c r="E161" s="191">
        <f>IF(ISNUMBER($A161)=TRUE,COUNTIFS(Spreadsheet!$H$9:$H653,B161,Spreadsheet!$K$9:$K653,"TRUE"),"")</f>
        <v>1</v>
      </c>
      <c r="F161" s="172"/>
      <c r="G161" s="189" t="str">
        <f>IFERROR(__xludf.DUMMYFUNCTION("""COMPUTED_VALUE"""),"NikitaStolk")</f>
        <v>NikitaStolk</v>
      </c>
      <c r="H161" s="192">
        <f>IFERROR(__xludf.DUMMYFUNCTION("""COMPUTED_VALUE"""),1.0)</f>
        <v>1</v>
      </c>
      <c r="I161" s="172"/>
      <c r="J161" s="189"/>
      <c r="K161" s="192"/>
      <c r="L161" s="194" t="str">
        <f t="shared" si="1"/>
        <v/>
      </c>
      <c r="M161" s="189"/>
      <c r="N161" s="192"/>
    </row>
    <row r="162">
      <c r="A162" s="193">
        <f t="shared" si="2"/>
        <v>155</v>
      </c>
      <c r="B162" s="189" t="str">
        <f>IFERROR(__xludf.DUMMYFUNCTION("""COMPUTED_VALUE"""),"TeamBlackie")</f>
        <v>TeamBlackie</v>
      </c>
      <c r="C162" s="190">
        <f>IF(ISNUMBER($A162)=TRUE,COUNTIFS(Spreadsheet!$H$9:$H653,B162,Spreadsheet!$V$9:$V653,"&gt;0"),"")</f>
        <v>0</v>
      </c>
      <c r="D162" s="190">
        <f>IF(ISNUMBER($A162)=TRUE,COUNTIFS(Spreadsheet!$H$9:$H653,B162,Spreadsheet!$W$9:$W653,"&gt;0"),"")</f>
        <v>0</v>
      </c>
      <c r="E162" s="191">
        <f>IF(ISNUMBER($A162)=TRUE,COUNTIFS(Spreadsheet!$H$9:$H653,B162,Spreadsheet!$K$9:$K653,"TRUE"),"")</f>
        <v>1</v>
      </c>
      <c r="F162" s="172"/>
      <c r="G162" s="189" t="str">
        <f>IFERROR(__xludf.DUMMYFUNCTION("""COMPUTED_VALUE"""),"nyisutter")</f>
        <v>nyisutter</v>
      </c>
      <c r="H162" s="192">
        <f>IFERROR(__xludf.DUMMYFUNCTION("""COMPUTED_VALUE"""),1.0)</f>
        <v>1</v>
      </c>
      <c r="I162" s="172"/>
      <c r="J162" s="189"/>
      <c r="K162" s="192"/>
      <c r="L162" s="194" t="str">
        <f t="shared" si="1"/>
        <v/>
      </c>
      <c r="M162" s="189"/>
      <c r="N162" s="192"/>
    </row>
    <row r="163">
      <c r="A163" s="193">
        <f t="shared" si="2"/>
        <v>156</v>
      </c>
      <c r="B163" s="189" t="str">
        <f>IFERROR(__xludf.DUMMYFUNCTION("""COMPUTED_VALUE"""),"TeamBlackie ")</f>
        <v>TeamBlackie </v>
      </c>
      <c r="C163" s="190">
        <f>IF(ISNUMBER($A163)=TRUE,COUNTIFS(Spreadsheet!$H$9:$H653,B163,Spreadsheet!$V$9:$V653,"&gt;0"),"")</f>
        <v>0</v>
      </c>
      <c r="D163" s="190">
        <f>IF(ISNUMBER($A163)=TRUE,COUNTIFS(Spreadsheet!$H$9:$H653,B163,Spreadsheet!$W$9:$W653,"&gt;0"),"")</f>
        <v>0</v>
      </c>
      <c r="E163" s="191">
        <f>IF(ISNUMBER($A163)=TRUE,COUNTIFS(Spreadsheet!$H$9:$H653,B163,Spreadsheet!$K$9:$K653,"TRUE"),"")</f>
        <v>5</v>
      </c>
      <c r="F163" s="172"/>
      <c r="G163" s="189" t="str">
        <f>IFERROR(__xludf.DUMMYFUNCTION("""COMPUTED_VALUE"""),"ol0n0lo")</f>
        <v>ol0n0lo</v>
      </c>
      <c r="H163" s="192">
        <f>IFERROR(__xludf.DUMMYFUNCTION("""COMPUTED_VALUE"""),1.0)</f>
        <v>1</v>
      </c>
      <c r="I163" s="172"/>
      <c r="J163" s="189"/>
      <c r="K163" s="192"/>
      <c r="L163" s="194" t="str">
        <f t="shared" si="1"/>
        <v/>
      </c>
      <c r="M163" s="189"/>
      <c r="N163" s="192"/>
    </row>
    <row r="164">
      <c r="A164" s="193">
        <f t="shared" si="2"/>
        <v>157</v>
      </c>
      <c r="B164" s="189" t="str">
        <f>IFERROR(__xludf.DUMMYFUNCTION("""COMPUTED_VALUE"""),"teamsturms")</f>
        <v>teamsturms</v>
      </c>
      <c r="C164" s="190">
        <f>IF(ISNUMBER($A164)=TRUE,COUNTIFS(Spreadsheet!$H$9:$H653,B164,Spreadsheet!$V$9:$V653,"&gt;0"),"")</f>
        <v>0</v>
      </c>
      <c r="D164" s="190">
        <f>IF(ISNUMBER($A164)=TRUE,COUNTIFS(Spreadsheet!$H$9:$H653,B164,Spreadsheet!$W$9:$W653,"&gt;0"),"")</f>
        <v>0</v>
      </c>
      <c r="E164" s="191">
        <f>IF(ISNUMBER($A164)=TRUE,COUNTIFS(Spreadsheet!$H$9:$H653,B164,Spreadsheet!$K$9:$K653,"TRUE"),"")</f>
        <v>1</v>
      </c>
      <c r="F164" s="172"/>
      <c r="G164" s="189" t="str">
        <f>IFERROR(__xludf.DUMMYFUNCTION("""COMPUTED_VALUE"""),"piesciuk")</f>
        <v>piesciuk</v>
      </c>
      <c r="H164" s="192">
        <f>IFERROR(__xludf.DUMMYFUNCTION("""COMPUTED_VALUE"""),1.0)</f>
        <v>1</v>
      </c>
      <c r="I164" s="172"/>
      <c r="J164" s="189"/>
      <c r="K164" s="192"/>
      <c r="L164" s="194" t="str">
        <f t="shared" si="1"/>
        <v/>
      </c>
      <c r="M164" s="189"/>
      <c r="N164" s="192"/>
    </row>
    <row r="165">
      <c r="A165" s="193">
        <f t="shared" si="2"/>
        <v>158</v>
      </c>
      <c r="B165" s="189" t="str">
        <f>IFERROR(__xludf.DUMMYFUNCTION("""COMPUTED_VALUE"""),"Theceoikjes")</f>
        <v>Theceoikjes</v>
      </c>
      <c r="C165" s="190">
        <f>IF(ISNUMBER($A165)=TRUE,COUNTIFS(Spreadsheet!$H$9:$H653,B165,Spreadsheet!$V$9:$V653,"&gt;0"),"")</f>
        <v>0</v>
      </c>
      <c r="D165" s="190">
        <f>IF(ISNUMBER($A165)=TRUE,COUNTIFS(Spreadsheet!$H$9:$H653,B165,Spreadsheet!$W$9:$W653,"&gt;0"),"")</f>
        <v>0</v>
      </c>
      <c r="E165" s="191">
        <f>IF(ISNUMBER($A165)=TRUE,COUNTIFS(Spreadsheet!$H$9:$H653,B165,Spreadsheet!$K$9:$K653,"TRUE"),"")</f>
        <v>1</v>
      </c>
      <c r="F165" s="172"/>
      <c r="G165" s="189" t="str">
        <f>IFERROR(__xludf.DUMMYFUNCTION("""COMPUTED_VALUE"""),"Pronkrug")</f>
        <v>Pronkrug</v>
      </c>
      <c r="H165" s="192">
        <f>IFERROR(__xludf.DUMMYFUNCTION("""COMPUTED_VALUE"""),1.0)</f>
        <v>1</v>
      </c>
      <c r="I165" s="172"/>
      <c r="J165" s="189"/>
      <c r="K165" s="192"/>
      <c r="L165" s="194" t="str">
        <f t="shared" si="1"/>
        <v/>
      </c>
      <c r="M165" s="189"/>
      <c r="N165" s="192"/>
    </row>
    <row r="166">
      <c r="A166" s="193">
        <f t="shared" si="2"/>
        <v>159</v>
      </c>
      <c r="B166" s="189" t="str">
        <f>IFERROR(__xludf.DUMMYFUNCTION("""COMPUTED_VALUE"""),"TheFrog")</f>
        <v>TheFrog</v>
      </c>
      <c r="C166" s="190">
        <f>IF(ISNUMBER($A166)=TRUE,COUNTIFS(Spreadsheet!$H$9:$H653,B166,Spreadsheet!$V$9:$V653,"&gt;0"),"")</f>
        <v>0</v>
      </c>
      <c r="D166" s="190">
        <f>IF(ISNUMBER($A166)=TRUE,COUNTIFS(Spreadsheet!$H$9:$H653,B166,Spreadsheet!$W$9:$W653,"&gt;0"),"")</f>
        <v>0</v>
      </c>
      <c r="E166" s="191">
        <f>IF(ISNUMBER($A166)=TRUE,COUNTIFS(Spreadsheet!$H$9:$H653,B166,Spreadsheet!$K$9:$K653,"TRUE"),"")</f>
        <v>2</v>
      </c>
      <c r="F166" s="172"/>
      <c r="G166" s="189" t="str">
        <f>IFERROR(__xludf.DUMMYFUNCTION("""COMPUTED_VALUE"""),"purplecourgette")</f>
        <v>purplecourgette</v>
      </c>
      <c r="H166" s="192">
        <f>IFERROR(__xludf.DUMMYFUNCTION("""COMPUTED_VALUE"""),1.0)</f>
        <v>1</v>
      </c>
      <c r="I166" s="172"/>
      <c r="J166" s="189"/>
      <c r="K166" s="192"/>
      <c r="L166" s="194" t="str">
        <f t="shared" si="1"/>
        <v/>
      </c>
      <c r="M166" s="189"/>
      <c r="N166" s="192"/>
    </row>
    <row r="167">
      <c r="A167" s="193">
        <f t="shared" si="2"/>
        <v>160</v>
      </c>
      <c r="B167" s="189" t="str">
        <f>IFERROR(__xludf.DUMMYFUNCTION("""COMPUTED_VALUE"""),"thelanes")</f>
        <v>thelanes</v>
      </c>
      <c r="C167" s="190">
        <f>IF(ISNUMBER($A167)=TRUE,COUNTIFS(Spreadsheet!$H$9:$H653,B167,Spreadsheet!$V$9:$V653,"&gt;0"),"")</f>
        <v>0</v>
      </c>
      <c r="D167" s="190">
        <f>IF(ISNUMBER($A167)=TRUE,COUNTIFS(Spreadsheet!$H$9:$H653,B167,Spreadsheet!$W$9:$W653,"&gt;0"),"")</f>
        <v>0</v>
      </c>
      <c r="E167" s="191">
        <f>IF(ISNUMBER($A167)=TRUE,COUNTIFS(Spreadsheet!$H$9:$H653,B167,Spreadsheet!$K$9:$K653,"TRUE"),"")</f>
        <v>2</v>
      </c>
      <c r="F167" s="172"/>
      <c r="G167" s="189" t="str">
        <f>IFERROR(__xludf.DUMMYFUNCTION("""COMPUTED_VALUE"""),"rgforsythe")</f>
        <v>rgforsythe</v>
      </c>
      <c r="H167" s="192">
        <f>IFERROR(__xludf.DUMMYFUNCTION("""COMPUTED_VALUE"""),1.0)</f>
        <v>1</v>
      </c>
      <c r="I167" s="172"/>
      <c r="J167" s="189"/>
      <c r="K167" s="192"/>
      <c r="L167" s="194" t="str">
        <f t="shared" si="1"/>
        <v/>
      </c>
      <c r="M167" s="189"/>
      <c r="N167" s="192"/>
    </row>
    <row r="168">
      <c r="A168" s="193">
        <f t="shared" si="2"/>
        <v>161</v>
      </c>
      <c r="B168" s="189" t="str">
        <f>IFERROR(__xludf.DUMMYFUNCTION("""COMPUTED_VALUE"""),"theLuckyFinders")</f>
        <v>theLuckyFinders</v>
      </c>
      <c r="C168" s="190">
        <f>IF(ISNUMBER($A168)=TRUE,COUNTIFS(Spreadsheet!$H$9:$H653,B168,Spreadsheet!$V$9:$V653,"&gt;0"),"")</f>
        <v>0</v>
      </c>
      <c r="D168" s="190">
        <f>IF(ISNUMBER($A168)=TRUE,COUNTIFS(Spreadsheet!$H$9:$H653,B168,Spreadsheet!$W$9:$W653,"&gt;0"),"")</f>
        <v>0</v>
      </c>
      <c r="E168" s="191">
        <f>IF(ISNUMBER($A168)=TRUE,COUNTIFS(Spreadsheet!$H$9:$H653,B168,Spreadsheet!$K$9:$K653,"TRUE"),"")</f>
        <v>13</v>
      </c>
      <c r="F168" s="172"/>
      <c r="G168" s="189" t="str">
        <f>IFERROR(__xludf.DUMMYFUNCTION("""COMPUTED_VALUE"""),"Rhaegal")</f>
        <v>Rhaegal</v>
      </c>
      <c r="H168" s="192">
        <f>IFERROR(__xludf.DUMMYFUNCTION("""COMPUTED_VALUE"""),1.0)</f>
        <v>1</v>
      </c>
      <c r="I168" s="172"/>
      <c r="J168" s="189"/>
      <c r="K168" s="192"/>
      <c r="L168" s="194" t="str">
        <f t="shared" si="1"/>
        <v/>
      </c>
      <c r="M168" s="189"/>
      <c r="N168" s="192"/>
    </row>
    <row r="169">
      <c r="A169" s="193">
        <f t="shared" si="2"/>
        <v>162</v>
      </c>
      <c r="B169" s="189" t="str">
        <f>IFERROR(__xludf.DUMMYFUNCTION("""COMPUTED_VALUE"""),"TheOneWhoScans")</f>
        <v>TheOneWhoScans</v>
      </c>
      <c r="C169" s="190">
        <f>IF(ISNUMBER($A169)=TRUE,COUNTIFS(Spreadsheet!$H$9:$H653,B169,Spreadsheet!$V$9:$V653,"&gt;0"),"")</f>
        <v>0</v>
      </c>
      <c r="D169" s="190">
        <f>IF(ISNUMBER($A169)=TRUE,COUNTIFS(Spreadsheet!$H$9:$H653,B169,Spreadsheet!$W$9:$W653,"&gt;0"),"")</f>
        <v>0</v>
      </c>
      <c r="E169" s="191">
        <f>IF(ISNUMBER($A169)=TRUE,COUNTIFS(Spreadsheet!$H$9:$H653,B169,Spreadsheet!$K$9:$K653,"TRUE"),"")</f>
        <v>1</v>
      </c>
      <c r="F169" s="172"/>
      <c r="G169" s="189" t="str">
        <f>IFERROR(__xludf.DUMMYFUNCTION("""COMPUTED_VALUE"""),"RTHawk")</f>
        <v>RTHawk</v>
      </c>
      <c r="H169" s="192">
        <f>IFERROR(__xludf.DUMMYFUNCTION("""COMPUTED_VALUE"""),1.0)</f>
        <v>1</v>
      </c>
      <c r="I169" s="172"/>
      <c r="J169" s="189"/>
      <c r="K169" s="192"/>
      <c r="L169" s="194" t="str">
        <f t="shared" si="1"/>
        <v/>
      </c>
      <c r="M169" s="189"/>
      <c r="N169" s="192"/>
    </row>
    <row r="170">
      <c r="A170" s="193">
        <f t="shared" si="2"/>
        <v>163</v>
      </c>
      <c r="B170" s="189" t="str">
        <f>IFERROR(__xludf.DUMMYFUNCTION("""COMPUTED_VALUE"""),"Thuishuis")</f>
        <v>Thuishuis</v>
      </c>
      <c r="C170" s="190">
        <f>IF(ISNUMBER($A170)=TRUE,COUNTIFS(Spreadsheet!$H$9:$H653,B170,Spreadsheet!$V$9:$V653,"&gt;0"),"")</f>
        <v>0</v>
      </c>
      <c r="D170" s="190">
        <f>IF(ISNUMBER($A170)=TRUE,COUNTIFS(Spreadsheet!$H$9:$H653,B170,Spreadsheet!$W$9:$W653,"&gt;0"),"")</f>
        <v>0</v>
      </c>
      <c r="E170" s="191">
        <f>IF(ISNUMBER($A170)=TRUE,COUNTIFS(Spreadsheet!$H$9:$H653,B170,Spreadsheet!$K$9:$K653,"TRUE"),"")</f>
        <v>1</v>
      </c>
      <c r="F170" s="172"/>
      <c r="G170" s="189" t="str">
        <f>IFERROR(__xludf.DUMMYFUNCTION("""COMPUTED_VALUE"""),"sidcup")</f>
        <v>sidcup</v>
      </c>
      <c r="H170" s="192">
        <f>IFERROR(__xludf.DUMMYFUNCTION("""COMPUTED_VALUE"""),1.0)</f>
        <v>1</v>
      </c>
      <c r="I170" s="172"/>
      <c r="J170" s="189"/>
      <c r="K170" s="192"/>
      <c r="L170" s="194" t="str">
        <f t="shared" si="1"/>
        <v/>
      </c>
      <c r="M170" s="189"/>
      <c r="N170" s="192"/>
    </row>
    <row r="171">
      <c r="A171" s="193">
        <f t="shared" si="2"/>
        <v>164</v>
      </c>
      <c r="B171" s="189" t="str">
        <f>IFERROR(__xludf.DUMMYFUNCTION("""COMPUTED_VALUE"""),"tissa1020FoxhoundCepheus7")</f>
        <v>tissa1020FoxhoundCepheus7</v>
      </c>
      <c r="C171" s="190">
        <f>IF(ISNUMBER($A171)=TRUE,COUNTIFS(Spreadsheet!$H$9:$H653,B171,Spreadsheet!$V$9:$V653,"&gt;0"),"")</f>
        <v>0</v>
      </c>
      <c r="D171" s="190">
        <f>IF(ISNUMBER($A171)=TRUE,COUNTIFS(Spreadsheet!$H$9:$H653,B171,Spreadsheet!$W$9:$W653,"&gt;0"),"")</f>
        <v>0</v>
      </c>
      <c r="E171" s="191">
        <f>IF(ISNUMBER($A171)=TRUE,COUNTIFS(Spreadsheet!$H$9:$H653,B171,Spreadsheet!$K$9:$K653,"TRUE"),"")</f>
        <v>1</v>
      </c>
      <c r="F171" s="172"/>
      <c r="G171" s="189" t="str">
        <f>IFERROR(__xludf.DUMMYFUNCTION("""COMPUTED_VALUE"""),"Sidekicks ")</f>
        <v>Sidekicks </v>
      </c>
      <c r="H171" s="192">
        <f>IFERROR(__xludf.DUMMYFUNCTION("""COMPUTED_VALUE"""),1.0)</f>
        <v>1</v>
      </c>
      <c r="I171" s="172"/>
      <c r="J171" s="189"/>
      <c r="K171" s="192"/>
      <c r="L171" s="194" t="str">
        <f t="shared" si="1"/>
        <v/>
      </c>
      <c r="M171" s="189"/>
      <c r="N171" s="192"/>
    </row>
    <row r="172">
      <c r="A172" s="193">
        <f t="shared" si="2"/>
        <v>165</v>
      </c>
      <c r="B172" s="189" t="str">
        <f>IFERROR(__xludf.DUMMYFUNCTION("""COMPUTED_VALUE"""),"Tornado")</f>
        <v>Tornado</v>
      </c>
      <c r="C172" s="190">
        <f>IF(ISNUMBER($A172)=TRUE,COUNTIFS(Spreadsheet!$H$9:$H653,B172,Spreadsheet!$V$9:$V653,"&gt;0"),"")</f>
        <v>0</v>
      </c>
      <c r="D172" s="190">
        <f>IF(ISNUMBER($A172)=TRUE,COUNTIFS(Spreadsheet!$H$9:$H653,B172,Spreadsheet!$W$9:$W653,"&gt;0"),"")</f>
        <v>0</v>
      </c>
      <c r="E172" s="191">
        <f>IF(ISNUMBER($A172)=TRUE,COUNTIFS(Spreadsheet!$H$9:$H653,B172,Spreadsheet!$K$9:$K653,"TRUE"),"")</f>
        <v>2</v>
      </c>
      <c r="F172" s="172"/>
      <c r="G172" s="189" t="str">
        <f>IFERROR(__xludf.DUMMYFUNCTION("""COMPUTED_VALUE"""),"Sivontim")</f>
        <v>Sivontim</v>
      </c>
      <c r="H172" s="192">
        <f>IFERROR(__xludf.DUMMYFUNCTION("""COMPUTED_VALUE"""),1.0)</f>
        <v>1</v>
      </c>
      <c r="I172" s="172"/>
      <c r="J172" s="189"/>
      <c r="K172" s="192"/>
      <c r="L172" s="194" t="str">
        <f t="shared" si="1"/>
        <v/>
      </c>
      <c r="M172" s="189"/>
      <c r="N172" s="192"/>
    </row>
    <row r="173">
      <c r="A173" s="193">
        <f t="shared" si="2"/>
        <v>166</v>
      </c>
      <c r="B173" s="189" t="str">
        <f>IFERROR(__xludf.DUMMYFUNCTION("""COMPUTED_VALUE"""),"Tossie")</f>
        <v>Tossie</v>
      </c>
      <c r="C173" s="190">
        <f>IF(ISNUMBER($A173)=TRUE,COUNTIFS(Spreadsheet!$H$9:$H653,B173,Spreadsheet!$V$9:$V653,"&gt;0"),"")</f>
        <v>0</v>
      </c>
      <c r="D173" s="190">
        <f>IF(ISNUMBER($A173)=TRUE,COUNTIFS(Spreadsheet!$H$9:$H653,B173,Spreadsheet!$W$9:$W653,"&gt;0"),"")</f>
        <v>0</v>
      </c>
      <c r="E173" s="191">
        <f>IF(ISNUMBER($A173)=TRUE,COUNTIFS(Spreadsheet!$H$9:$H653,B173,Spreadsheet!$K$9:$K653,"TRUE"),"")</f>
        <v>2</v>
      </c>
      <c r="F173" s="172"/>
      <c r="G173" s="189" t="str">
        <f>IFERROR(__xludf.DUMMYFUNCTION("""COMPUTED_VALUE"""),"SpaceCoastGeoStore")</f>
        <v>SpaceCoastGeoStore</v>
      </c>
      <c r="H173" s="192">
        <f>IFERROR(__xludf.DUMMYFUNCTION("""COMPUTED_VALUE"""),1.0)</f>
        <v>1</v>
      </c>
      <c r="I173" s="172"/>
      <c r="J173" s="189"/>
      <c r="K173" s="192"/>
      <c r="L173" s="194" t="str">
        <f t="shared" si="1"/>
        <v/>
      </c>
      <c r="M173" s="189"/>
      <c r="N173" s="192"/>
    </row>
    <row r="174">
      <c r="A174" s="193">
        <f t="shared" si="2"/>
        <v>167</v>
      </c>
      <c r="B174" s="189" t="str">
        <f>IFERROR(__xludf.DUMMYFUNCTION("""COMPUTED_VALUE"""),"Trappertje")</f>
        <v>Trappertje</v>
      </c>
      <c r="C174" s="190">
        <f>IF(ISNUMBER($A174)=TRUE,COUNTIFS(Spreadsheet!$H$9:$H653,B174,Spreadsheet!$V$9:$V653,"&gt;0"),"")</f>
        <v>0</v>
      </c>
      <c r="D174" s="190">
        <f>IF(ISNUMBER($A174)=TRUE,COUNTIFS(Spreadsheet!$H$9:$H653,B174,Spreadsheet!$W$9:$W653,"&gt;0"),"")</f>
        <v>0</v>
      </c>
      <c r="E174" s="191">
        <f>IF(ISNUMBER($A174)=TRUE,COUNTIFS(Spreadsheet!$H$9:$H653,B174,Spreadsheet!$K$9:$K653,"TRUE"),"")</f>
        <v>25</v>
      </c>
      <c r="F174" s="172"/>
      <c r="G174" s="189" t="str">
        <f>IFERROR(__xludf.DUMMYFUNCTION("""COMPUTED_VALUE"""),"struwel")</f>
        <v>struwel</v>
      </c>
      <c r="H174" s="192">
        <f>IFERROR(__xludf.DUMMYFUNCTION("""COMPUTED_VALUE"""),1.0)</f>
        <v>1</v>
      </c>
      <c r="I174" s="172"/>
      <c r="J174" s="189"/>
      <c r="K174" s="192"/>
      <c r="L174" s="194" t="str">
        <f t="shared" si="1"/>
        <v/>
      </c>
      <c r="M174" s="189"/>
      <c r="N174" s="192"/>
    </row>
    <row r="175">
      <c r="A175" s="193">
        <f t="shared" si="2"/>
        <v>168</v>
      </c>
      <c r="B175" s="189" t="str">
        <f>IFERROR(__xludf.DUMMYFUNCTION("""COMPUTED_VALUE"""),"Trunte2002")</f>
        <v>Trunte2002</v>
      </c>
      <c r="C175" s="190">
        <f>IF(ISNUMBER($A175)=TRUE,COUNTIFS(Spreadsheet!$H$9:$H653,B175,Spreadsheet!$V$9:$V653,"&gt;0"),"")</f>
        <v>0</v>
      </c>
      <c r="D175" s="190">
        <f>IF(ISNUMBER($A175)=TRUE,COUNTIFS(Spreadsheet!$H$9:$H653,B175,Spreadsheet!$W$9:$W653,"&gt;0"),"")</f>
        <v>0</v>
      </c>
      <c r="E175" s="191">
        <f>IF(ISNUMBER($A175)=TRUE,COUNTIFS(Spreadsheet!$H$9:$H653,B175,Spreadsheet!$K$9:$K653,"TRUE"),"")</f>
        <v>2</v>
      </c>
      <c r="F175" s="172"/>
      <c r="G175" s="189" t="str">
        <f>IFERROR(__xludf.DUMMYFUNCTION("""COMPUTED_VALUE"""),"taska1981")</f>
        <v>taska1981</v>
      </c>
      <c r="H175" s="192">
        <f>IFERROR(__xludf.DUMMYFUNCTION("""COMPUTED_VALUE"""),1.0)</f>
        <v>1</v>
      </c>
      <c r="I175" s="172"/>
      <c r="J175" s="189"/>
      <c r="K175" s="192"/>
      <c r="L175" s="194" t="str">
        <f t="shared" si="1"/>
        <v/>
      </c>
      <c r="M175" s="189"/>
      <c r="N175" s="192"/>
    </row>
    <row r="176">
      <c r="A176" s="193">
        <f t="shared" si="2"/>
        <v>169</v>
      </c>
      <c r="B176" s="189" t="str">
        <f>IFERROR(__xludf.DUMMYFUNCTION("""COMPUTED_VALUE"""),"TURTLE")</f>
        <v>TURTLE</v>
      </c>
      <c r="C176" s="190">
        <f>IF(ISNUMBER($A176)=TRUE,COUNTIFS(Spreadsheet!$H$9:$H653,B176,Spreadsheet!$V$9:$V653,"&gt;0"),"")</f>
        <v>0</v>
      </c>
      <c r="D176" s="190">
        <f>IF(ISNUMBER($A176)=TRUE,COUNTIFS(Spreadsheet!$H$9:$H653,B176,Spreadsheet!$W$9:$W653,"&gt;0"),"")</f>
        <v>0</v>
      </c>
      <c r="E176" s="191">
        <f>IF(ISNUMBER($A176)=TRUE,COUNTIFS(Spreadsheet!$H$9:$H653,B176,Spreadsheet!$K$9:$K653,"TRUE"),"")</f>
        <v>1</v>
      </c>
      <c r="F176" s="172"/>
      <c r="G176" s="189" t="str">
        <f>IFERROR(__xludf.DUMMYFUNCTION("""COMPUTED_VALUE"""),"TeamBlackie")</f>
        <v>TeamBlackie</v>
      </c>
      <c r="H176" s="192">
        <f>IFERROR(__xludf.DUMMYFUNCTION("""COMPUTED_VALUE"""),1.0)</f>
        <v>1</v>
      </c>
      <c r="I176" s="172"/>
      <c r="J176" s="189"/>
      <c r="K176" s="192"/>
      <c r="L176" s="194" t="str">
        <f t="shared" si="1"/>
        <v/>
      </c>
      <c r="M176" s="189"/>
      <c r="N176" s="192"/>
    </row>
    <row r="177">
      <c r="A177" s="193">
        <f t="shared" si="2"/>
        <v>170</v>
      </c>
      <c r="B177" s="189" t="str">
        <f>IFERROR(__xludf.DUMMYFUNCTION("""COMPUTED_VALUE"""),"TwoHoots")</f>
        <v>TwoHoots</v>
      </c>
      <c r="C177" s="190">
        <f>IF(ISNUMBER($A177)=TRUE,COUNTIFS(Spreadsheet!$H$9:$H653,B177,Spreadsheet!$V$9:$V653,"&gt;0"),"")</f>
        <v>0</v>
      </c>
      <c r="D177" s="190">
        <f>IF(ISNUMBER($A177)=TRUE,COUNTIFS(Spreadsheet!$H$9:$H653,B177,Spreadsheet!$W$9:$W653,"&gt;0"),"")</f>
        <v>0</v>
      </c>
      <c r="E177" s="191">
        <f>IF(ISNUMBER($A177)=TRUE,COUNTIFS(Spreadsheet!$H$9:$H653,B177,Spreadsheet!$K$9:$K653,"TRUE"),"")</f>
        <v>1</v>
      </c>
      <c r="F177" s="172"/>
      <c r="G177" s="189" t="str">
        <f>IFERROR(__xludf.DUMMYFUNCTION("""COMPUTED_VALUE"""),"teamsturms")</f>
        <v>teamsturms</v>
      </c>
      <c r="H177" s="192">
        <f>IFERROR(__xludf.DUMMYFUNCTION("""COMPUTED_VALUE"""),1.0)</f>
        <v>1</v>
      </c>
      <c r="I177" s="172"/>
      <c r="J177" s="189"/>
      <c r="K177" s="192"/>
      <c r="L177" s="194" t="str">
        <f t="shared" si="1"/>
        <v/>
      </c>
      <c r="M177" s="189"/>
      <c r="N177" s="192"/>
    </row>
    <row r="178">
      <c r="A178" s="193">
        <f t="shared" si="2"/>
        <v>171</v>
      </c>
      <c r="B178" s="189" t="str">
        <f>IFERROR(__xludf.DUMMYFUNCTION("""COMPUTED_VALUE"""),"Vanduo62")</f>
        <v>Vanduo62</v>
      </c>
      <c r="C178" s="190">
        <f>IF(ISNUMBER($A178)=TRUE,COUNTIFS(Spreadsheet!$H$9:$H653,B178,Spreadsheet!$V$9:$V653,"&gt;0"),"")</f>
        <v>0</v>
      </c>
      <c r="D178" s="190">
        <f>IF(ISNUMBER($A178)=TRUE,COUNTIFS(Spreadsheet!$H$9:$H653,B178,Spreadsheet!$W$9:$W653,"&gt;0"),"")</f>
        <v>0</v>
      </c>
      <c r="E178" s="191">
        <f>IF(ISNUMBER($A178)=TRUE,COUNTIFS(Spreadsheet!$H$9:$H653,B178,Spreadsheet!$K$9:$K653,"TRUE"),"")</f>
        <v>2</v>
      </c>
      <c r="F178" s="172"/>
      <c r="G178" s="189" t="str">
        <f>IFERROR(__xludf.DUMMYFUNCTION("""COMPUTED_VALUE"""),"Theceoikjes")</f>
        <v>Theceoikjes</v>
      </c>
      <c r="H178" s="192">
        <f>IFERROR(__xludf.DUMMYFUNCTION("""COMPUTED_VALUE"""),1.0)</f>
        <v>1</v>
      </c>
      <c r="I178" s="172"/>
      <c r="J178" s="189"/>
      <c r="K178" s="192"/>
      <c r="L178" s="194" t="str">
        <f t="shared" si="1"/>
        <v/>
      </c>
      <c r="M178" s="189"/>
      <c r="N178" s="192"/>
    </row>
    <row r="179">
      <c r="A179" s="193">
        <f t="shared" si="2"/>
        <v>172</v>
      </c>
      <c r="B179" s="189" t="str">
        <f>IFERROR(__xludf.DUMMYFUNCTION("""COMPUTED_VALUE"""),"Vezliukai")</f>
        <v>Vezliukai</v>
      </c>
      <c r="C179" s="190">
        <f>IF(ISNUMBER($A179)=TRUE,COUNTIFS(Spreadsheet!$H$9:$H653,B179,Spreadsheet!$V$9:$V653,"&gt;0"),"")</f>
        <v>0</v>
      </c>
      <c r="D179" s="190">
        <f>IF(ISNUMBER($A179)=TRUE,COUNTIFS(Spreadsheet!$H$9:$H653,B179,Spreadsheet!$W$9:$W653,"&gt;0"),"")</f>
        <v>0</v>
      </c>
      <c r="E179" s="191">
        <f>IF(ISNUMBER($A179)=TRUE,COUNTIFS(Spreadsheet!$H$9:$H653,B179,Spreadsheet!$K$9:$K653,"TRUE"),"")</f>
        <v>3</v>
      </c>
      <c r="F179" s="172"/>
      <c r="G179" s="189" t="str">
        <f>IFERROR(__xludf.DUMMYFUNCTION("""COMPUTED_VALUE"""),"TheOneWhoScans")</f>
        <v>TheOneWhoScans</v>
      </c>
      <c r="H179" s="192">
        <f>IFERROR(__xludf.DUMMYFUNCTION("""COMPUTED_VALUE"""),1.0)</f>
        <v>1</v>
      </c>
      <c r="I179" s="172"/>
      <c r="J179" s="189"/>
      <c r="K179" s="192"/>
      <c r="L179" s="194" t="str">
        <f t="shared" si="1"/>
        <v/>
      </c>
      <c r="M179" s="189"/>
      <c r="N179" s="192"/>
    </row>
    <row r="180">
      <c r="A180" s="193">
        <f t="shared" si="2"/>
        <v>173</v>
      </c>
      <c r="B180" s="189" t="str">
        <f>IFERROR(__xludf.DUMMYFUNCTION("""COMPUTED_VALUE"""),"VLoopSouth")</f>
        <v>VLoopSouth</v>
      </c>
      <c r="C180" s="190">
        <f>IF(ISNUMBER($A180)=TRUE,COUNTIFS(Spreadsheet!$H$9:$H653,B180,Spreadsheet!$V$9:$V653,"&gt;0"),"")</f>
        <v>0</v>
      </c>
      <c r="D180" s="190">
        <f>IF(ISNUMBER($A180)=TRUE,COUNTIFS(Spreadsheet!$H$9:$H653,B180,Spreadsheet!$W$9:$W653,"&gt;0"),"")</f>
        <v>0</v>
      </c>
      <c r="E180" s="191">
        <f>IF(ISNUMBER($A180)=TRUE,COUNTIFS(Spreadsheet!$H$9:$H653,B180,Spreadsheet!$K$9:$K653,"TRUE"),"")</f>
        <v>1</v>
      </c>
      <c r="F180" s="172"/>
      <c r="G180" s="189" t="str">
        <f>IFERROR(__xludf.DUMMYFUNCTION("""COMPUTED_VALUE"""),"Thuishuis")</f>
        <v>Thuishuis</v>
      </c>
      <c r="H180" s="192">
        <f>IFERROR(__xludf.DUMMYFUNCTION("""COMPUTED_VALUE"""),1.0)</f>
        <v>1</v>
      </c>
      <c r="I180" s="172"/>
      <c r="J180" s="189"/>
      <c r="K180" s="192"/>
      <c r="L180" s="194" t="str">
        <f t="shared" si="1"/>
        <v/>
      </c>
      <c r="M180" s="189"/>
      <c r="N180" s="192"/>
    </row>
    <row r="181">
      <c r="A181" s="193">
        <f t="shared" si="2"/>
        <v>174</v>
      </c>
      <c r="B181" s="189" t="str">
        <f>IFERROR(__xludf.DUMMYFUNCTION("""COMPUTED_VALUE"""),"Vonney")</f>
        <v>Vonney</v>
      </c>
      <c r="C181" s="190">
        <f>IF(ISNUMBER($A181)=TRUE,COUNTIFS(Spreadsheet!$H$9:$H653,B181,Spreadsheet!$V$9:$V653,"&gt;0"),"")</f>
        <v>0</v>
      </c>
      <c r="D181" s="190">
        <f>IF(ISNUMBER($A181)=TRUE,COUNTIFS(Spreadsheet!$H$9:$H653,B181,Spreadsheet!$W$9:$W653,"&gt;0"),"")</f>
        <v>0</v>
      </c>
      <c r="E181" s="191">
        <f>IF(ISNUMBER($A181)=TRUE,COUNTIFS(Spreadsheet!$H$9:$H653,B181,Spreadsheet!$K$9:$K653,"TRUE"),"")</f>
        <v>3</v>
      </c>
      <c r="F181" s="172"/>
      <c r="G181" s="189" t="str">
        <f>IFERROR(__xludf.DUMMYFUNCTION("""COMPUTED_VALUE"""),"tissa1020FoxhoundCepheus7")</f>
        <v>tissa1020FoxhoundCepheus7</v>
      </c>
      <c r="H181" s="192">
        <f>IFERROR(__xludf.DUMMYFUNCTION("""COMPUTED_VALUE"""),1.0)</f>
        <v>1</v>
      </c>
      <c r="I181" s="172"/>
      <c r="J181" s="189"/>
      <c r="K181" s="192"/>
      <c r="L181" s="194" t="str">
        <f t="shared" si="1"/>
        <v/>
      </c>
      <c r="M181" s="189"/>
      <c r="N181" s="192"/>
    </row>
    <row r="182">
      <c r="A182" s="193">
        <f t="shared" si="2"/>
        <v>175</v>
      </c>
      <c r="B182" s="189" t="str">
        <f>IFERROR(__xludf.DUMMYFUNCTION("""COMPUTED_VALUE"""),"Warriors")</f>
        <v>Warriors</v>
      </c>
      <c r="C182" s="190">
        <f>IF(ISNUMBER($A182)=TRUE,COUNTIFS(Spreadsheet!$H$9:$H653,B182,Spreadsheet!$V$9:$V653,"&gt;0"),"")</f>
        <v>0</v>
      </c>
      <c r="D182" s="190">
        <f>IF(ISNUMBER($A182)=TRUE,COUNTIFS(Spreadsheet!$H$9:$H653,B182,Spreadsheet!$W$9:$W653,"&gt;0"),"")</f>
        <v>0</v>
      </c>
      <c r="E182" s="191">
        <f>IF(ISNUMBER($A182)=TRUE,COUNTIFS(Spreadsheet!$H$9:$H653,B182,Spreadsheet!$K$9:$K653,"TRUE"),"")</f>
        <v>1</v>
      </c>
      <c r="F182" s="172"/>
      <c r="G182" s="189" t="str">
        <f>IFERROR(__xludf.DUMMYFUNCTION("""COMPUTED_VALUE"""),"TURTLE")</f>
        <v>TURTLE</v>
      </c>
      <c r="H182" s="192">
        <f>IFERROR(__xludf.DUMMYFUNCTION("""COMPUTED_VALUE"""),1.0)</f>
        <v>1</v>
      </c>
      <c r="I182" s="172"/>
      <c r="J182" s="189"/>
      <c r="K182" s="192"/>
      <c r="L182" s="194" t="str">
        <f t="shared" si="1"/>
        <v/>
      </c>
      <c r="M182" s="189"/>
      <c r="N182" s="192"/>
    </row>
    <row r="183">
      <c r="A183" s="193">
        <f t="shared" si="2"/>
        <v>176</v>
      </c>
      <c r="B183" s="189" t="str">
        <f>IFERROR(__xludf.DUMMYFUNCTION("""COMPUTED_VALUE"""),"Warriors ")</f>
        <v>Warriors </v>
      </c>
      <c r="C183" s="190">
        <f>IF(ISNUMBER($A183)=TRUE,COUNTIFS(Spreadsheet!$H$9:$H653,B183,Spreadsheet!$V$9:$V653,"&gt;0"),"")</f>
        <v>0</v>
      </c>
      <c r="D183" s="190">
        <f>IF(ISNUMBER($A183)=TRUE,COUNTIFS(Spreadsheet!$H$9:$H653,B183,Spreadsheet!$W$9:$W653,"&gt;0"),"")</f>
        <v>0</v>
      </c>
      <c r="E183" s="191">
        <f>IF(ISNUMBER($A183)=TRUE,COUNTIFS(Spreadsheet!$H$9:$H653,B183,Spreadsheet!$K$9:$K653,"TRUE"),"")</f>
        <v>2</v>
      </c>
      <c r="F183" s="172"/>
      <c r="G183" s="189" t="str">
        <f>IFERROR(__xludf.DUMMYFUNCTION("""COMPUTED_VALUE"""),"TwoHoots")</f>
        <v>TwoHoots</v>
      </c>
      <c r="H183" s="192">
        <f>IFERROR(__xludf.DUMMYFUNCTION("""COMPUTED_VALUE"""),1.0)</f>
        <v>1</v>
      </c>
      <c r="I183" s="172"/>
      <c r="J183" s="189"/>
      <c r="K183" s="192"/>
      <c r="L183" s="194" t="str">
        <f t="shared" si="1"/>
        <v/>
      </c>
      <c r="M183" s="189"/>
      <c r="N183" s="192"/>
    </row>
    <row r="184">
      <c r="A184" s="193">
        <f t="shared" si="2"/>
        <v>177</v>
      </c>
      <c r="B184" s="189" t="str">
        <f>IFERROR(__xludf.DUMMYFUNCTION("""COMPUTED_VALUE"""),"Wawie")</f>
        <v>Wawie</v>
      </c>
      <c r="C184" s="190">
        <f>IF(ISNUMBER($A184)=TRUE,COUNTIFS(Spreadsheet!$H$9:$H653,B184,Spreadsheet!$V$9:$V653,"&gt;0"),"")</f>
        <v>0</v>
      </c>
      <c r="D184" s="190">
        <f>IF(ISNUMBER($A184)=TRUE,COUNTIFS(Spreadsheet!$H$9:$H653,B184,Spreadsheet!$W$9:$W653,"&gt;0"),"")</f>
        <v>0</v>
      </c>
      <c r="E184" s="191">
        <f>IF(ISNUMBER($A184)=TRUE,COUNTIFS(Spreadsheet!$H$9:$H653,B184,Spreadsheet!$K$9:$K653,"TRUE"),"")</f>
        <v>34</v>
      </c>
      <c r="F184" s="172"/>
      <c r="G184" s="189" t="str">
        <f>IFERROR(__xludf.DUMMYFUNCTION("""COMPUTED_VALUE"""),"VLoopSouth")</f>
        <v>VLoopSouth</v>
      </c>
      <c r="H184" s="192">
        <f>IFERROR(__xludf.DUMMYFUNCTION("""COMPUTED_VALUE"""),1.0)</f>
        <v>1</v>
      </c>
      <c r="I184" s="172"/>
      <c r="J184" s="189"/>
      <c r="K184" s="192"/>
      <c r="L184" s="194" t="str">
        <f t="shared" si="1"/>
        <v/>
      </c>
      <c r="M184" s="189"/>
      <c r="N184" s="192"/>
    </row>
    <row r="185">
      <c r="A185" s="193">
        <f t="shared" si="2"/>
        <v>178</v>
      </c>
      <c r="B185" s="189" t="str">
        <f>IFERROR(__xludf.DUMMYFUNCTION("""COMPUTED_VALUE"""),"wemissmo")</f>
        <v>wemissmo</v>
      </c>
      <c r="C185" s="190">
        <f>IF(ISNUMBER($A185)=TRUE,COUNTIFS(Spreadsheet!$H$9:$H653,B185,Spreadsheet!$V$9:$V653,"&gt;0"),"")</f>
        <v>0</v>
      </c>
      <c r="D185" s="190">
        <f>IF(ISNUMBER($A185)=TRUE,COUNTIFS(Spreadsheet!$H$9:$H653,B185,Spreadsheet!$W$9:$W653,"&gt;0"),"")</f>
        <v>0</v>
      </c>
      <c r="E185" s="191">
        <f>IF(ISNUMBER($A185)=TRUE,COUNTIFS(Spreadsheet!$H$9:$H653,B185,Spreadsheet!$K$9:$K653,"TRUE"),"")</f>
        <v>1</v>
      </c>
      <c r="F185" s="172"/>
      <c r="G185" s="189" t="str">
        <f>IFERROR(__xludf.DUMMYFUNCTION("""COMPUTED_VALUE"""),"Warriors")</f>
        <v>Warriors</v>
      </c>
      <c r="H185" s="192">
        <f>IFERROR(__xludf.DUMMYFUNCTION("""COMPUTED_VALUE"""),1.0)</f>
        <v>1</v>
      </c>
      <c r="I185" s="172"/>
      <c r="J185" s="189"/>
      <c r="K185" s="192"/>
      <c r="L185" s="194" t="str">
        <f t="shared" si="1"/>
        <v/>
      </c>
      <c r="M185" s="189"/>
      <c r="N185" s="192"/>
    </row>
    <row r="186">
      <c r="A186" s="193">
        <f t="shared" si="2"/>
        <v>179</v>
      </c>
      <c r="B186" s="189" t="str">
        <f>IFERROR(__xludf.DUMMYFUNCTION("""COMPUTED_VALUE"""),"WVKiwi")</f>
        <v>WVKiwi</v>
      </c>
      <c r="C186" s="190">
        <f>IF(ISNUMBER($A186)=TRUE,COUNTIFS(Spreadsheet!$H$9:$H653,B186,Spreadsheet!$V$9:$V653,"&gt;0"),"")</f>
        <v>0</v>
      </c>
      <c r="D186" s="190">
        <f>IF(ISNUMBER($A186)=TRUE,COUNTIFS(Spreadsheet!$H$9:$H653,B186,Spreadsheet!$W$9:$W653,"&gt;0"),"")</f>
        <v>0</v>
      </c>
      <c r="E186" s="191">
        <f>IF(ISNUMBER($A186)=TRUE,COUNTIFS(Spreadsheet!$H$9:$H653,B186,Spreadsheet!$K$9:$K653,"TRUE"),"")</f>
        <v>1</v>
      </c>
      <c r="F186" s="172"/>
      <c r="G186" s="189" t="str">
        <f>IFERROR(__xludf.DUMMYFUNCTION("""COMPUTED_VALUE"""),"wemissmo")</f>
        <v>wemissmo</v>
      </c>
      <c r="H186" s="192">
        <f>IFERROR(__xludf.DUMMYFUNCTION("""COMPUTED_VALUE"""),1.0)</f>
        <v>1</v>
      </c>
      <c r="I186" s="172"/>
      <c r="J186" s="189"/>
      <c r="K186" s="192"/>
      <c r="L186" s="194" t="str">
        <f t="shared" si="1"/>
        <v/>
      </c>
      <c r="M186" s="189"/>
      <c r="N186" s="192"/>
    </row>
    <row r="187">
      <c r="A187" s="193">
        <f t="shared" si="2"/>
        <v>180</v>
      </c>
      <c r="B187" s="189" t="str">
        <f>IFERROR(__xludf.DUMMYFUNCTION("""COMPUTED_VALUE"""),"xptwo")</f>
        <v>xptwo</v>
      </c>
      <c r="C187" s="190">
        <f>IF(ISNUMBER($A187)=TRUE,COUNTIFS(Spreadsheet!$H$9:$H653,B187,Spreadsheet!$V$9:$V653,"&gt;0"),"")</f>
        <v>0</v>
      </c>
      <c r="D187" s="190">
        <f>IF(ISNUMBER($A187)=TRUE,COUNTIFS(Spreadsheet!$H$9:$H653,B187,Spreadsheet!$W$9:$W653,"&gt;0"),"")</f>
        <v>0</v>
      </c>
      <c r="E187" s="191">
        <f>IF(ISNUMBER($A187)=TRUE,COUNTIFS(Spreadsheet!$H$9:$H653,B187,Spreadsheet!$K$9:$K653,"TRUE"),"")</f>
        <v>2</v>
      </c>
      <c r="F187" s="172"/>
      <c r="G187" s="189" t="str">
        <f>IFERROR(__xludf.DUMMYFUNCTION("""COMPUTED_VALUE"""),"WVKiwi")</f>
        <v>WVKiwi</v>
      </c>
      <c r="H187" s="192">
        <f>IFERROR(__xludf.DUMMYFUNCTION("""COMPUTED_VALUE"""),1.0)</f>
        <v>1</v>
      </c>
      <c r="I187" s="172"/>
      <c r="J187" s="189"/>
      <c r="K187" s="192"/>
      <c r="L187" s="194" t="str">
        <f t="shared" si="1"/>
        <v/>
      </c>
      <c r="M187" s="189"/>
      <c r="N187" s="192"/>
    </row>
    <row r="188">
      <c r="A188" s="193">
        <f t="shared" si="2"/>
        <v>181</v>
      </c>
      <c r="B188" s="189" t="str">
        <f>IFERROR(__xludf.DUMMYFUNCTION("""COMPUTED_VALUE"""),"YankaBucs")</f>
        <v>YankaBucs</v>
      </c>
      <c r="C188" s="190">
        <f>IF(ISNUMBER($A188)=TRUE,COUNTIFS(Spreadsheet!$H$9:$H653,B188,Spreadsheet!$V$9:$V653,"&gt;0"),"")</f>
        <v>0</v>
      </c>
      <c r="D188" s="190">
        <f>IF(ISNUMBER($A188)=TRUE,COUNTIFS(Spreadsheet!$H$9:$H653,B188,Spreadsheet!$W$9:$W653,"&gt;0"),"")</f>
        <v>0</v>
      </c>
      <c r="E188" s="191">
        <f>IF(ISNUMBER($A188)=TRUE,COUNTIFS(Spreadsheet!$H$9:$H653,B188,Spreadsheet!$K$9:$K653,"TRUE"),"")</f>
        <v>1</v>
      </c>
      <c r="F188" s="172"/>
      <c r="G188" s="189" t="str">
        <f>IFERROR(__xludf.DUMMYFUNCTION("""COMPUTED_VALUE"""),"YankaBucs")</f>
        <v>YankaBucs</v>
      </c>
      <c r="H188" s="192">
        <f>IFERROR(__xludf.DUMMYFUNCTION("""COMPUTED_VALUE"""),1.0)</f>
        <v>1</v>
      </c>
      <c r="I188" s="172"/>
      <c r="J188" s="189"/>
      <c r="K188" s="192"/>
      <c r="L188" s="194" t="str">
        <f t="shared" si="1"/>
        <v/>
      </c>
      <c r="M188" s="189"/>
      <c r="N188" s="192"/>
    </row>
    <row r="189">
      <c r="A189" s="193" t="str">
        <f t="shared" si="2"/>
        <v/>
      </c>
      <c r="B189" s="189"/>
      <c r="C189" s="190" t="str">
        <f>IF(ISNUMBER($A189)=TRUE,COUNTIFS(Spreadsheet!$H$9:$H653,B189,Spreadsheet!$V$9:$V653,"&gt;0"),"")</f>
        <v/>
      </c>
      <c r="D189" s="190" t="str">
        <f>IF(ISNUMBER($A189)=TRUE,COUNTIFS(Spreadsheet!$H$9:$H653,B189,Spreadsheet!$W$9:$W653,"&gt;0"),"")</f>
        <v/>
      </c>
      <c r="E189" s="191" t="str">
        <f>IF(ISNUMBER($A189)=TRUE,COUNTIFS(Spreadsheet!$H$9:$H653,B189,Spreadsheet!$K$9:$K653,"TRUE"),"")</f>
        <v/>
      </c>
      <c r="F189" s="172"/>
      <c r="G189" s="189"/>
      <c r="H189" s="192"/>
      <c r="I189" s="172"/>
      <c r="J189" s="189"/>
      <c r="K189" s="192"/>
      <c r="L189" s="194" t="str">
        <f t="shared" si="1"/>
        <v/>
      </c>
      <c r="M189" s="189"/>
      <c r="N189" s="192"/>
    </row>
    <row r="190">
      <c r="A190" s="193" t="str">
        <f t="shared" si="2"/>
        <v/>
      </c>
      <c r="B190" s="189"/>
      <c r="C190" s="190" t="str">
        <f>IF(ISNUMBER($A190)=TRUE,COUNTIFS(Spreadsheet!$H$9:$H653,B190,Spreadsheet!$V$9:$V653,"&gt;0"),"")</f>
        <v/>
      </c>
      <c r="D190" s="190" t="str">
        <f>IF(ISNUMBER($A190)=TRUE,COUNTIFS(Spreadsheet!$H$9:$H653,B190,Spreadsheet!$W$9:$W653,"&gt;0"),"")</f>
        <v/>
      </c>
      <c r="E190" s="191" t="str">
        <f>IF(ISNUMBER($A190)=TRUE,COUNTIFS(Spreadsheet!$H$9:$H653,B190,Spreadsheet!$K$9:$K653,"TRUE"),"")</f>
        <v/>
      </c>
      <c r="F190" s="172"/>
      <c r="G190" s="189"/>
      <c r="H190" s="192"/>
      <c r="I190" s="172"/>
      <c r="J190" s="189"/>
      <c r="K190" s="192"/>
      <c r="L190" s="194" t="str">
        <f t="shared" si="1"/>
        <v/>
      </c>
      <c r="M190" s="189"/>
      <c r="N190" s="192"/>
    </row>
    <row r="191">
      <c r="A191" s="193" t="str">
        <f t="shared" si="2"/>
        <v/>
      </c>
      <c r="B191" s="189"/>
      <c r="C191" s="190" t="str">
        <f>IF(ISNUMBER($A191)=TRUE,COUNTIFS(Spreadsheet!$H$9:$H653,B191,Spreadsheet!$V$9:$V653,"&gt;0"),"")</f>
        <v/>
      </c>
      <c r="D191" s="190" t="str">
        <f>IF(ISNUMBER($A191)=TRUE,COUNTIFS(Spreadsheet!$H$9:$H653,B191,Spreadsheet!$W$9:$W653,"&gt;0"),"")</f>
        <v/>
      </c>
      <c r="E191" s="191" t="str">
        <f>IF(ISNUMBER($A191)=TRUE,COUNTIFS(Spreadsheet!$H$9:$H653,B191,Spreadsheet!$K$9:$K653,"TRUE"),"")</f>
        <v/>
      </c>
      <c r="F191" s="172"/>
      <c r="G191" s="189"/>
      <c r="H191" s="192"/>
      <c r="I191" s="172"/>
      <c r="J191" s="189"/>
      <c r="K191" s="192"/>
      <c r="L191" s="194" t="str">
        <f t="shared" si="1"/>
        <v/>
      </c>
      <c r="M191" s="189"/>
      <c r="N191" s="192"/>
    </row>
    <row r="192">
      <c r="A192" s="193" t="str">
        <f t="shared" si="2"/>
        <v/>
      </c>
      <c r="B192" s="189"/>
      <c r="C192" s="190" t="str">
        <f>IF(ISNUMBER($A192)=TRUE,COUNTIFS(Spreadsheet!$H$9:$H653,B192,Spreadsheet!$V$9:$V653,"&gt;0"),"")</f>
        <v/>
      </c>
      <c r="D192" s="190" t="str">
        <f>IF(ISNUMBER($A192)=TRUE,COUNTIFS(Spreadsheet!$H$9:$H653,B192,Spreadsheet!$W$9:$W653,"&gt;0"),"")</f>
        <v/>
      </c>
      <c r="E192" s="191" t="str">
        <f>IF(ISNUMBER($A192)=TRUE,COUNTIFS(Spreadsheet!$H$9:$H653,B192,Spreadsheet!$K$9:$K653,"TRUE"),"")</f>
        <v/>
      </c>
      <c r="F192" s="172"/>
      <c r="G192" s="189"/>
      <c r="H192" s="192"/>
      <c r="I192" s="172"/>
      <c r="J192" s="189"/>
      <c r="K192" s="192"/>
      <c r="L192" s="194" t="str">
        <f t="shared" si="1"/>
        <v/>
      </c>
      <c r="M192" s="189"/>
      <c r="N192" s="192"/>
    </row>
    <row r="193">
      <c r="A193" s="193" t="str">
        <f t="shared" si="2"/>
        <v/>
      </c>
      <c r="B193" s="189"/>
      <c r="C193" s="190" t="str">
        <f>IF(ISNUMBER($A193)=TRUE,COUNTIFS(Spreadsheet!$H$9:$H653,B193,Spreadsheet!$V$9:$V653,"&gt;0"),"")</f>
        <v/>
      </c>
      <c r="D193" s="190" t="str">
        <f>IF(ISNUMBER($A193)=TRUE,COUNTIFS(Spreadsheet!$H$9:$H653,B193,Spreadsheet!$W$9:$W653,"&gt;0"),"")</f>
        <v/>
      </c>
      <c r="E193" s="191" t="str">
        <f>IF(ISNUMBER($A193)=TRUE,COUNTIFS(Spreadsheet!$H$9:$H653,B193,Spreadsheet!$K$9:$K653,"TRUE"),"")</f>
        <v/>
      </c>
      <c r="F193" s="172"/>
      <c r="G193" s="189"/>
      <c r="H193" s="192"/>
      <c r="I193" s="172"/>
      <c r="J193" s="189"/>
      <c r="K193" s="192"/>
      <c r="L193" s="194" t="str">
        <f t="shared" si="1"/>
        <v/>
      </c>
      <c r="M193" s="189"/>
      <c r="N193" s="192"/>
    </row>
    <row r="194">
      <c r="A194" s="193" t="str">
        <f t="shared" si="2"/>
        <v/>
      </c>
      <c r="B194" s="189"/>
      <c r="C194" s="190" t="str">
        <f>IF(ISNUMBER($A194)=TRUE,COUNTIFS(Spreadsheet!$H$9:$H653,B194,Spreadsheet!$V$9:$V653,"&gt;0"),"")</f>
        <v/>
      </c>
      <c r="D194" s="190" t="str">
        <f>IF(ISNUMBER($A194)=TRUE,COUNTIFS(Spreadsheet!$H$9:$H653,B194,Spreadsheet!$W$9:$W653,"&gt;0"),"")</f>
        <v/>
      </c>
      <c r="E194" s="191" t="str">
        <f>IF(ISNUMBER($A194)=TRUE,COUNTIFS(Spreadsheet!$H$9:$H653,B194,Spreadsheet!$K$9:$K653,"TRUE"),"")</f>
        <v/>
      </c>
      <c r="F194" s="172"/>
      <c r="G194" s="189"/>
      <c r="H194" s="192"/>
      <c r="I194" s="172"/>
      <c r="J194" s="189"/>
      <c r="K194" s="192"/>
      <c r="L194" s="194" t="str">
        <f t="shared" si="1"/>
        <v/>
      </c>
      <c r="M194" s="189"/>
      <c r="N194" s="192"/>
    </row>
    <row r="195">
      <c r="A195" s="193" t="str">
        <f t="shared" si="2"/>
        <v/>
      </c>
      <c r="B195" s="189"/>
      <c r="C195" s="190" t="str">
        <f>IF(ISNUMBER($A195)=TRUE,COUNTIFS(Spreadsheet!$H$9:$H653,B195,Spreadsheet!$V$9:$V653,"&gt;0"),"")</f>
        <v/>
      </c>
      <c r="D195" s="190" t="str">
        <f>IF(ISNUMBER($A195)=TRUE,COUNTIFS(Spreadsheet!$H$9:$H653,B195,Spreadsheet!$W$9:$W653,"&gt;0"),"")</f>
        <v/>
      </c>
      <c r="E195" s="191" t="str">
        <f>IF(ISNUMBER($A195)=TRUE,COUNTIFS(Spreadsheet!$H$9:$H653,B195,Spreadsheet!$K$9:$K653,"TRUE"),"")</f>
        <v/>
      </c>
      <c r="F195" s="172"/>
      <c r="G195" s="189"/>
      <c r="H195" s="192"/>
      <c r="I195" s="172"/>
      <c r="J195" s="189"/>
      <c r="K195" s="192"/>
      <c r="L195" s="194" t="str">
        <f t="shared" si="1"/>
        <v/>
      </c>
      <c r="M195" s="189"/>
      <c r="N195" s="192"/>
    </row>
    <row r="196">
      <c r="A196" s="193" t="str">
        <f t="shared" si="2"/>
        <v/>
      </c>
      <c r="B196" s="189"/>
      <c r="C196" s="190" t="str">
        <f>IF(ISNUMBER($A196)=TRUE,COUNTIFS(Spreadsheet!$H$9:$H653,B196,Spreadsheet!$V$9:$V653,"&gt;0"),"")</f>
        <v/>
      </c>
      <c r="D196" s="190" t="str">
        <f>IF(ISNUMBER($A196)=TRUE,COUNTIFS(Spreadsheet!$H$9:$H653,B196,Spreadsheet!$W$9:$W653,"&gt;0"),"")</f>
        <v/>
      </c>
      <c r="E196" s="191" t="str">
        <f>IF(ISNUMBER($A196)=TRUE,COUNTIFS(Spreadsheet!$H$9:$H653,B196,Spreadsheet!$K$9:$K653,"TRUE"),"")</f>
        <v/>
      </c>
      <c r="F196" s="172"/>
      <c r="G196" s="189"/>
      <c r="H196" s="192"/>
      <c r="I196" s="172"/>
      <c r="J196" s="189"/>
      <c r="K196" s="192"/>
      <c r="L196" s="194" t="str">
        <f t="shared" si="1"/>
        <v/>
      </c>
      <c r="M196" s="189"/>
      <c r="N196" s="192"/>
    </row>
    <row r="197">
      <c r="A197" s="193" t="str">
        <f t="shared" si="2"/>
        <v/>
      </c>
      <c r="B197" s="189"/>
      <c r="C197" s="190" t="str">
        <f>IF(ISNUMBER($A197)=TRUE,COUNTIFS(Spreadsheet!$H$9:$H653,B197,Spreadsheet!$V$9:$V653,"&gt;0"),"")</f>
        <v/>
      </c>
      <c r="D197" s="190" t="str">
        <f>IF(ISNUMBER($A197)=TRUE,COUNTIFS(Spreadsheet!$H$9:$H653,B197,Spreadsheet!$W$9:$W653,"&gt;0"),"")</f>
        <v/>
      </c>
      <c r="E197" s="191" t="str">
        <f>IF(ISNUMBER($A197)=TRUE,COUNTIFS(Spreadsheet!$H$9:$H653,B197,Spreadsheet!$K$9:$K653,"TRUE"),"")</f>
        <v/>
      </c>
      <c r="F197" s="172"/>
      <c r="G197" s="189"/>
      <c r="H197" s="192"/>
      <c r="I197" s="172"/>
      <c r="J197" s="189"/>
      <c r="K197" s="192"/>
      <c r="L197" s="194" t="str">
        <f t="shared" si="1"/>
        <v/>
      </c>
      <c r="M197" s="189"/>
      <c r="N197" s="192"/>
    </row>
    <row r="198">
      <c r="A198" s="193" t="str">
        <f t="shared" si="2"/>
        <v/>
      </c>
      <c r="B198" s="189"/>
      <c r="C198" s="190" t="str">
        <f>IF(ISNUMBER($A198)=TRUE,COUNTIFS(Spreadsheet!$H$9:$H653,B198,Spreadsheet!$V$9:$V653,"&gt;0"),"")</f>
        <v/>
      </c>
      <c r="D198" s="190" t="str">
        <f>IF(ISNUMBER($A198)=TRUE,COUNTIFS(Spreadsheet!$H$9:$H653,B198,Spreadsheet!$W$9:$W653,"&gt;0"),"")</f>
        <v/>
      </c>
      <c r="E198" s="191" t="str">
        <f>IF(ISNUMBER($A198)=TRUE,COUNTIFS(Spreadsheet!$H$9:$H653,B198,Spreadsheet!$K$9:$K653,"TRUE"),"")</f>
        <v/>
      </c>
      <c r="F198" s="172"/>
      <c r="G198" s="189"/>
      <c r="H198" s="192"/>
      <c r="I198" s="172"/>
      <c r="J198" s="189"/>
      <c r="K198" s="192"/>
      <c r="L198" s="194" t="str">
        <f t="shared" si="1"/>
        <v/>
      </c>
      <c r="M198" s="189"/>
      <c r="N198" s="192"/>
    </row>
    <row r="199">
      <c r="A199" s="193" t="str">
        <f t="shared" si="2"/>
        <v/>
      </c>
      <c r="B199" s="189"/>
      <c r="C199" s="190" t="str">
        <f>IF(ISNUMBER($A199)=TRUE,COUNTIFS(Spreadsheet!$H$9:$H653,B199,Spreadsheet!$V$9:$V653,"&gt;0"),"")</f>
        <v/>
      </c>
      <c r="D199" s="190" t="str">
        <f>IF(ISNUMBER($A199)=TRUE,COUNTIFS(Spreadsheet!$H$9:$H653,B199,Spreadsheet!$W$9:$W653,"&gt;0"),"")</f>
        <v/>
      </c>
      <c r="E199" s="191" t="str">
        <f>IF(ISNUMBER($A199)=TRUE,COUNTIFS(Spreadsheet!$H$9:$H653,B199,Spreadsheet!$K$9:$K653,"TRUE"),"")</f>
        <v/>
      </c>
      <c r="F199" s="172"/>
      <c r="G199" s="189"/>
      <c r="H199" s="192"/>
      <c r="I199" s="172"/>
      <c r="J199" s="189"/>
      <c r="K199" s="192"/>
      <c r="L199" s="194" t="str">
        <f t="shared" si="1"/>
        <v/>
      </c>
      <c r="M199" s="189"/>
      <c r="N199" s="192"/>
    </row>
    <row r="200">
      <c r="A200" s="193" t="str">
        <f t="shared" si="2"/>
        <v/>
      </c>
      <c r="B200" s="189"/>
      <c r="C200" s="190" t="str">
        <f>IF(ISNUMBER($A200)=TRUE,COUNTIFS(Spreadsheet!$H$9:$H653,B200,Spreadsheet!$V$9:$V653,"&gt;0"),"")</f>
        <v/>
      </c>
      <c r="D200" s="190" t="str">
        <f>IF(ISNUMBER($A200)=TRUE,COUNTIFS(Spreadsheet!$H$9:$H653,B200,Spreadsheet!$W$9:$W653,"&gt;0"),"")</f>
        <v/>
      </c>
      <c r="E200" s="191" t="str">
        <f>IF(ISNUMBER($A200)=TRUE,COUNTIFS(Spreadsheet!$H$9:$H653,B200,Spreadsheet!$K$9:$K653,"TRUE"),"")</f>
        <v/>
      </c>
      <c r="F200" s="172"/>
      <c r="G200" s="189"/>
      <c r="H200" s="192"/>
      <c r="I200" s="172"/>
      <c r="J200" s="189"/>
      <c r="K200" s="192"/>
      <c r="L200" s="194" t="str">
        <f t="shared" si="1"/>
        <v/>
      </c>
      <c r="M200" s="189"/>
      <c r="N200" s="192"/>
    </row>
    <row r="201">
      <c r="A201" s="197"/>
      <c r="B201" s="197"/>
      <c r="C201" s="197"/>
      <c r="D201" s="197"/>
      <c r="E201" s="197"/>
      <c r="F201" s="175"/>
      <c r="G201" s="197"/>
      <c r="H201" s="197"/>
      <c r="I201" s="175"/>
      <c r="J201" s="197"/>
      <c r="K201" s="197"/>
      <c r="L201" s="197"/>
      <c r="M201" s="197"/>
      <c r="N201" s="197"/>
    </row>
    <row r="202">
      <c r="A202" s="197"/>
      <c r="B202" s="197"/>
      <c r="C202" s="197"/>
      <c r="D202" s="197"/>
      <c r="E202" s="197"/>
      <c r="F202" s="175"/>
      <c r="G202" s="197"/>
      <c r="H202" s="197"/>
      <c r="I202" s="175"/>
      <c r="J202" s="197"/>
      <c r="K202" s="197"/>
      <c r="L202" s="197"/>
      <c r="M202" s="197"/>
      <c r="N202" s="197"/>
    </row>
    <row r="203">
      <c r="A203" s="197"/>
      <c r="B203" s="197"/>
      <c r="C203" s="197"/>
      <c r="D203" s="197"/>
      <c r="E203" s="197"/>
      <c r="F203" s="175"/>
      <c r="G203" s="197"/>
      <c r="H203" s="197"/>
      <c r="I203" s="175"/>
      <c r="J203" s="197"/>
      <c r="K203" s="197"/>
      <c r="L203" s="197"/>
      <c r="M203" s="197"/>
      <c r="N203" s="197"/>
    </row>
    <row r="204">
      <c r="A204" s="197"/>
      <c r="B204" s="197"/>
      <c r="C204" s="197"/>
      <c r="D204" s="197"/>
      <c r="E204" s="197"/>
      <c r="F204" s="175"/>
      <c r="G204" s="197"/>
      <c r="H204" s="197"/>
      <c r="I204" s="175"/>
      <c r="J204" s="197"/>
      <c r="K204" s="197"/>
      <c r="L204" s="197"/>
      <c r="M204" s="197"/>
      <c r="N204" s="197"/>
    </row>
    <row r="205">
      <c r="A205" s="197"/>
      <c r="B205" s="197"/>
      <c r="C205" s="197"/>
      <c r="D205" s="197"/>
      <c r="E205" s="197"/>
      <c r="F205" s="175"/>
      <c r="G205" s="197"/>
      <c r="H205" s="197"/>
      <c r="I205" s="175"/>
      <c r="J205" s="197"/>
      <c r="K205" s="197"/>
      <c r="L205" s="197"/>
      <c r="M205" s="197"/>
      <c r="N205" s="197"/>
    </row>
    <row r="206">
      <c r="A206" s="197"/>
      <c r="B206" s="197"/>
      <c r="C206" s="197"/>
      <c r="D206" s="197"/>
      <c r="E206" s="197"/>
      <c r="F206" s="175"/>
      <c r="G206" s="197"/>
      <c r="H206" s="197"/>
      <c r="I206" s="175"/>
      <c r="J206" s="197"/>
      <c r="K206" s="197"/>
      <c r="L206" s="197"/>
      <c r="M206" s="197"/>
      <c r="N206" s="197"/>
    </row>
    <row r="207">
      <c r="A207" s="197"/>
      <c r="B207" s="197"/>
      <c r="C207" s="197"/>
      <c r="D207" s="197"/>
      <c r="E207" s="197"/>
      <c r="F207" s="175"/>
      <c r="G207" s="197"/>
      <c r="H207" s="197"/>
      <c r="I207" s="175"/>
      <c r="J207" s="197"/>
      <c r="K207" s="197"/>
      <c r="L207" s="197"/>
      <c r="M207" s="197"/>
      <c r="N207" s="197"/>
    </row>
    <row r="208">
      <c r="A208" s="197"/>
      <c r="B208" s="197"/>
      <c r="C208" s="197"/>
      <c r="D208" s="197"/>
      <c r="E208" s="197"/>
      <c r="F208" s="175"/>
      <c r="G208" s="197"/>
      <c r="H208" s="197"/>
      <c r="I208" s="175"/>
      <c r="J208" s="197"/>
      <c r="K208" s="197"/>
      <c r="L208" s="197"/>
      <c r="M208" s="197"/>
      <c r="N208" s="197"/>
    </row>
    <row r="209">
      <c r="A209" s="197"/>
      <c r="B209" s="197"/>
      <c r="C209" s="197"/>
      <c r="D209" s="197"/>
      <c r="E209" s="197"/>
      <c r="F209" s="175"/>
      <c r="G209" s="197"/>
      <c r="H209" s="197"/>
      <c r="I209" s="175"/>
      <c r="J209" s="197"/>
      <c r="K209" s="197"/>
      <c r="L209" s="197"/>
      <c r="M209" s="197"/>
      <c r="N209" s="197"/>
    </row>
    <row r="210">
      <c r="A210" s="197"/>
      <c r="B210" s="197"/>
      <c r="C210" s="197"/>
      <c r="D210" s="197"/>
      <c r="E210" s="197"/>
      <c r="F210" s="175"/>
      <c r="G210" s="197"/>
      <c r="H210" s="197"/>
      <c r="I210" s="175"/>
      <c r="J210" s="197"/>
      <c r="K210" s="197"/>
      <c r="L210" s="197"/>
      <c r="M210" s="197"/>
      <c r="N210" s="197"/>
    </row>
    <row r="211">
      <c r="A211" s="197"/>
      <c r="B211" s="197"/>
      <c r="C211" s="197"/>
      <c r="D211" s="197"/>
      <c r="E211" s="197"/>
      <c r="F211" s="175"/>
      <c r="G211" s="197"/>
      <c r="H211" s="197"/>
      <c r="I211" s="175"/>
      <c r="J211" s="197"/>
      <c r="K211" s="197"/>
      <c r="L211" s="197"/>
      <c r="M211" s="197"/>
      <c r="N211" s="197"/>
    </row>
    <row r="212">
      <c r="A212" s="197"/>
      <c r="B212" s="197"/>
      <c r="C212" s="197"/>
      <c r="D212" s="197"/>
      <c r="E212" s="197"/>
      <c r="F212" s="175"/>
      <c r="G212" s="197"/>
      <c r="H212" s="197"/>
      <c r="I212" s="175"/>
      <c r="J212" s="197"/>
      <c r="K212" s="197"/>
      <c r="L212" s="197"/>
      <c r="M212" s="197"/>
      <c r="N212" s="197"/>
    </row>
    <row r="213">
      <c r="A213" s="197"/>
      <c r="B213" s="197"/>
      <c r="C213" s="197"/>
      <c r="D213" s="197"/>
      <c r="E213" s="197"/>
      <c r="F213" s="175"/>
      <c r="G213" s="197"/>
      <c r="H213" s="197"/>
      <c r="I213" s="175"/>
      <c r="J213" s="197"/>
      <c r="K213" s="197"/>
      <c r="L213" s="197"/>
      <c r="M213" s="197"/>
      <c r="N213" s="197"/>
    </row>
    <row r="214">
      <c r="A214" s="197"/>
      <c r="B214" s="197"/>
      <c r="C214" s="197"/>
      <c r="D214" s="197"/>
      <c r="E214" s="197"/>
      <c r="F214" s="175"/>
      <c r="G214" s="197"/>
      <c r="H214" s="197"/>
      <c r="I214" s="175"/>
      <c r="J214" s="197"/>
      <c r="K214" s="197"/>
      <c r="L214" s="197"/>
      <c r="M214" s="197"/>
      <c r="N214" s="197"/>
    </row>
    <row r="215">
      <c r="A215" s="197"/>
      <c r="B215" s="197"/>
      <c r="C215" s="197"/>
      <c r="D215" s="197"/>
      <c r="E215" s="197"/>
      <c r="F215" s="175"/>
      <c r="G215" s="197"/>
      <c r="H215" s="197"/>
      <c r="I215" s="175"/>
      <c r="J215" s="197"/>
      <c r="K215" s="197"/>
      <c r="L215" s="197"/>
      <c r="M215" s="197"/>
      <c r="N215" s="197"/>
    </row>
    <row r="216">
      <c r="A216" s="197"/>
      <c r="B216" s="197"/>
      <c r="C216" s="197"/>
      <c r="D216" s="197"/>
      <c r="E216" s="197"/>
      <c r="F216" s="175"/>
      <c r="G216" s="197"/>
      <c r="H216" s="197"/>
      <c r="I216" s="175"/>
      <c r="J216" s="197"/>
      <c r="K216" s="197"/>
      <c r="L216" s="197"/>
      <c r="M216" s="197"/>
      <c r="N216" s="197"/>
    </row>
    <row r="217">
      <c r="A217" s="197"/>
      <c r="B217" s="197"/>
      <c r="C217" s="197"/>
      <c r="D217" s="197"/>
      <c r="E217" s="197"/>
      <c r="F217" s="175"/>
      <c r="G217" s="197"/>
      <c r="H217" s="197"/>
      <c r="I217" s="175"/>
      <c r="J217" s="197"/>
      <c r="K217" s="197"/>
      <c r="L217" s="197"/>
      <c r="M217" s="197"/>
      <c r="N217" s="197"/>
    </row>
    <row r="218">
      <c r="A218" s="197"/>
      <c r="B218" s="197"/>
      <c r="C218" s="197"/>
      <c r="D218" s="197"/>
      <c r="E218" s="197"/>
      <c r="F218" s="175"/>
      <c r="G218" s="197"/>
      <c r="H218" s="197"/>
      <c r="I218" s="175"/>
      <c r="J218" s="197"/>
      <c r="K218" s="197"/>
      <c r="L218" s="197"/>
      <c r="M218" s="197"/>
      <c r="N218" s="197"/>
    </row>
    <row r="219">
      <c r="A219" s="197"/>
      <c r="B219" s="197"/>
      <c r="C219" s="197"/>
      <c r="D219" s="197"/>
      <c r="E219" s="197"/>
      <c r="F219" s="175"/>
      <c r="G219" s="197"/>
      <c r="H219" s="197"/>
      <c r="I219" s="175"/>
      <c r="J219" s="197"/>
      <c r="K219" s="197"/>
      <c r="L219" s="197"/>
      <c r="M219" s="197"/>
      <c r="N219" s="197"/>
    </row>
    <row r="220">
      <c r="A220" s="197"/>
      <c r="B220" s="197"/>
      <c r="C220" s="197"/>
      <c r="D220" s="197"/>
      <c r="E220" s="197"/>
      <c r="F220" s="175"/>
      <c r="G220" s="197"/>
      <c r="H220" s="197"/>
      <c r="I220" s="175"/>
      <c r="J220" s="197"/>
      <c r="K220" s="197"/>
      <c r="L220" s="197"/>
      <c r="M220" s="197"/>
      <c r="N220" s="197"/>
    </row>
    <row r="221">
      <c r="A221" s="197"/>
      <c r="B221" s="197"/>
      <c r="C221" s="197"/>
      <c r="D221" s="197"/>
      <c r="E221" s="197"/>
      <c r="F221" s="175"/>
      <c r="G221" s="197"/>
      <c r="H221" s="197"/>
      <c r="I221" s="175"/>
      <c r="J221" s="197"/>
      <c r="K221" s="197"/>
      <c r="L221" s="197"/>
      <c r="M221" s="197"/>
      <c r="N221" s="197"/>
    </row>
    <row r="222">
      <c r="A222" s="197"/>
      <c r="B222" s="197"/>
      <c r="C222" s="197"/>
      <c r="D222" s="197"/>
      <c r="E222" s="197"/>
      <c r="F222" s="175"/>
      <c r="G222" s="197"/>
      <c r="H222" s="197"/>
      <c r="I222" s="175"/>
      <c r="J222" s="197"/>
      <c r="K222" s="197"/>
      <c r="L222" s="197"/>
      <c r="M222" s="197"/>
      <c r="N222" s="197"/>
    </row>
    <row r="223">
      <c r="A223" s="197"/>
      <c r="B223" s="197"/>
      <c r="C223" s="197"/>
      <c r="D223" s="197"/>
      <c r="E223" s="197"/>
      <c r="F223" s="175"/>
      <c r="G223" s="197"/>
      <c r="H223" s="197"/>
      <c r="I223" s="175"/>
      <c r="J223" s="197"/>
      <c r="K223" s="197"/>
      <c r="L223" s="197"/>
      <c r="M223" s="197"/>
      <c r="N223" s="197"/>
    </row>
    <row r="224">
      <c r="A224" s="197"/>
      <c r="B224" s="197"/>
      <c r="C224" s="197"/>
      <c r="D224" s="197"/>
      <c r="E224" s="197"/>
      <c r="F224" s="175"/>
      <c r="G224" s="197"/>
      <c r="H224" s="197"/>
      <c r="I224" s="175"/>
      <c r="J224" s="197"/>
      <c r="K224" s="197"/>
      <c r="L224" s="197"/>
      <c r="M224" s="197"/>
      <c r="N224" s="197"/>
    </row>
    <row r="225">
      <c r="A225" s="197"/>
      <c r="B225" s="197"/>
      <c r="C225" s="197"/>
      <c r="D225" s="197"/>
      <c r="E225" s="197"/>
      <c r="F225" s="175"/>
      <c r="G225" s="197"/>
      <c r="H225" s="197"/>
      <c r="I225" s="175"/>
      <c r="J225" s="197"/>
      <c r="K225" s="197"/>
      <c r="L225" s="197"/>
      <c r="M225" s="197"/>
      <c r="N225" s="197"/>
    </row>
    <row r="226">
      <c r="A226" s="197"/>
      <c r="B226" s="197"/>
      <c r="C226" s="197"/>
      <c r="D226" s="197"/>
      <c r="E226" s="197"/>
      <c r="F226" s="175"/>
      <c r="G226" s="197"/>
      <c r="H226" s="197"/>
      <c r="I226" s="175"/>
      <c r="J226" s="197"/>
      <c r="K226" s="197"/>
      <c r="L226" s="197"/>
      <c r="M226" s="197"/>
      <c r="N226" s="197"/>
    </row>
    <row r="227">
      <c r="A227" s="197"/>
      <c r="B227" s="197"/>
      <c r="C227" s="197"/>
      <c r="D227" s="197"/>
      <c r="E227" s="197"/>
      <c r="F227" s="175"/>
      <c r="G227" s="197"/>
      <c r="H227" s="197"/>
      <c r="I227" s="175"/>
      <c r="J227" s="197"/>
      <c r="K227" s="197"/>
      <c r="L227" s="197"/>
      <c r="M227" s="197"/>
      <c r="N227" s="197"/>
    </row>
    <row r="228">
      <c r="A228" s="197"/>
      <c r="B228" s="197"/>
      <c r="C228" s="197"/>
      <c r="D228" s="197"/>
      <c r="E228" s="197"/>
      <c r="F228" s="175"/>
      <c r="G228" s="197"/>
      <c r="H228" s="197"/>
      <c r="I228" s="175"/>
      <c r="J228" s="197"/>
      <c r="K228" s="197"/>
      <c r="L228" s="197"/>
      <c r="M228" s="197"/>
      <c r="N228" s="197"/>
    </row>
    <row r="229">
      <c r="A229" s="197"/>
      <c r="B229" s="197"/>
      <c r="C229" s="197"/>
      <c r="D229" s="197"/>
      <c r="E229" s="197"/>
      <c r="F229" s="175"/>
      <c r="G229" s="197"/>
      <c r="H229" s="197"/>
      <c r="I229" s="175"/>
      <c r="J229" s="197"/>
      <c r="K229" s="197"/>
      <c r="L229" s="197"/>
      <c r="M229" s="197"/>
      <c r="N229" s="197"/>
    </row>
    <row r="230">
      <c r="A230" s="197"/>
      <c r="B230" s="197"/>
      <c r="C230" s="197"/>
      <c r="D230" s="197"/>
      <c r="E230" s="197"/>
      <c r="F230" s="175"/>
      <c r="G230" s="197"/>
      <c r="H230" s="197"/>
      <c r="I230" s="175"/>
      <c r="J230" s="197"/>
      <c r="K230" s="197"/>
      <c r="L230" s="197"/>
      <c r="M230" s="197"/>
      <c r="N230" s="197"/>
    </row>
    <row r="231">
      <c r="A231" s="197"/>
      <c r="B231" s="197"/>
      <c r="C231" s="197"/>
      <c r="D231" s="197"/>
      <c r="E231" s="197"/>
      <c r="F231" s="175"/>
      <c r="G231" s="197"/>
      <c r="H231" s="197"/>
      <c r="I231" s="175"/>
      <c r="J231" s="197"/>
      <c r="K231" s="197"/>
      <c r="L231" s="197"/>
      <c r="M231" s="197"/>
      <c r="N231" s="197"/>
    </row>
    <row r="232">
      <c r="A232" s="197"/>
      <c r="B232" s="197"/>
      <c r="C232" s="197"/>
      <c r="D232" s="197"/>
      <c r="E232" s="197"/>
      <c r="F232" s="175"/>
      <c r="G232" s="197"/>
      <c r="H232" s="197"/>
      <c r="I232" s="175"/>
      <c r="J232" s="197"/>
      <c r="K232" s="197"/>
      <c r="L232" s="197"/>
      <c r="M232" s="197"/>
      <c r="N232" s="197"/>
    </row>
    <row r="233">
      <c r="A233" s="197"/>
      <c r="B233" s="197"/>
      <c r="C233" s="197"/>
      <c r="D233" s="197"/>
      <c r="E233" s="197"/>
      <c r="F233" s="175"/>
      <c r="G233" s="197"/>
      <c r="H233" s="197"/>
      <c r="I233" s="175"/>
      <c r="J233" s="197"/>
      <c r="K233" s="197"/>
      <c r="L233" s="197"/>
      <c r="M233" s="197"/>
      <c r="N233" s="197"/>
    </row>
    <row r="234">
      <c r="A234" s="197"/>
      <c r="B234" s="197"/>
      <c r="C234" s="197"/>
      <c r="D234" s="197"/>
      <c r="E234" s="197"/>
      <c r="F234" s="175"/>
      <c r="G234" s="197"/>
      <c r="H234" s="197"/>
      <c r="I234" s="175"/>
      <c r="J234" s="197"/>
      <c r="K234" s="197"/>
      <c r="L234" s="197"/>
      <c r="M234" s="197"/>
      <c r="N234" s="197"/>
    </row>
    <row r="235">
      <c r="A235" s="197"/>
      <c r="B235" s="197"/>
      <c r="C235" s="197"/>
      <c r="D235" s="197"/>
      <c r="E235" s="197"/>
      <c r="F235" s="175"/>
      <c r="G235" s="197"/>
      <c r="H235" s="197"/>
      <c r="I235" s="175"/>
      <c r="J235" s="197"/>
      <c r="K235" s="197"/>
      <c r="L235" s="197"/>
      <c r="M235" s="197"/>
      <c r="N235" s="197"/>
    </row>
    <row r="236">
      <c r="A236" s="197"/>
      <c r="B236" s="197"/>
      <c r="C236" s="197"/>
      <c r="D236" s="197"/>
      <c r="E236" s="197"/>
      <c r="F236" s="175"/>
      <c r="G236" s="197"/>
      <c r="H236" s="197"/>
      <c r="I236" s="175"/>
      <c r="J236" s="197"/>
      <c r="K236" s="197"/>
      <c r="L236" s="197"/>
      <c r="M236" s="197"/>
      <c r="N236" s="197"/>
    </row>
    <row r="237">
      <c r="A237" s="197"/>
      <c r="B237" s="197"/>
      <c r="C237" s="197"/>
      <c r="D237" s="197"/>
      <c r="E237" s="197"/>
      <c r="F237" s="175"/>
      <c r="G237" s="197"/>
      <c r="H237" s="197"/>
      <c r="I237" s="175"/>
      <c r="J237" s="197"/>
      <c r="K237" s="197"/>
      <c r="L237" s="197"/>
      <c r="M237" s="197"/>
      <c r="N237" s="197"/>
    </row>
    <row r="238">
      <c r="A238" s="197"/>
      <c r="B238" s="197"/>
      <c r="C238" s="197"/>
      <c r="D238" s="197"/>
      <c r="E238" s="197"/>
      <c r="F238" s="175"/>
      <c r="G238" s="197"/>
      <c r="H238" s="197"/>
      <c r="I238" s="175"/>
      <c r="J238" s="197"/>
      <c r="K238" s="197"/>
      <c r="L238" s="197"/>
      <c r="M238" s="197"/>
      <c r="N238" s="197"/>
    </row>
    <row r="239">
      <c r="A239" s="197"/>
      <c r="B239" s="197"/>
      <c r="C239" s="197"/>
      <c r="D239" s="197"/>
      <c r="E239" s="197"/>
      <c r="F239" s="175"/>
      <c r="G239" s="197"/>
      <c r="H239" s="197"/>
      <c r="I239" s="175"/>
      <c r="J239" s="197"/>
      <c r="K239" s="197"/>
      <c r="L239" s="197"/>
      <c r="M239" s="197"/>
      <c r="N239" s="197"/>
    </row>
    <row r="240">
      <c r="A240" s="197"/>
      <c r="B240" s="197"/>
      <c r="C240" s="197"/>
      <c r="D240" s="197"/>
      <c r="E240" s="197"/>
      <c r="F240" s="175"/>
      <c r="G240" s="197"/>
      <c r="H240" s="197"/>
      <c r="I240" s="175"/>
      <c r="J240" s="197"/>
      <c r="K240" s="197"/>
      <c r="L240" s="197"/>
      <c r="M240" s="197"/>
      <c r="N240" s="197"/>
    </row>
    <row r="241">
      <c r="A241" s="197"/>
      <c r="B241" s="197"/>
      <c r="C241" s="197"/>
      <c r="D241" s="197"/>
      <c r="E241" s="197"/>
      <c r="F241" s="175"/>
      <c r="G241" s="197"/>
      <c r="H241" s="197"/>
      <c r="I241" s="175"/>
      <c r="J241" s="197"/>
      <c r="K241" s="197"/>
      <c r="L241" s="197"/>
      <c r="M241" s="197"/>
      <c r="N241" s="197"/>
    </row>
    <row r="242">
      <c r="A242" s="197"/>
      <c r="B242" s="197"/>
      <c r="C242" s="197"/>
      <c r="D242" s="197"/>
      <c r="E242" s="197"/>
      <c r="F242" s="175"/>
      <c r="G242" s="197"/>
      <c r="H242" s="197"/>
      <c r="I242" s="175"/>
      <c r="J242" s="197"/>
      <c r="K242" s="197"/>
      <c r="L242" s="197"/>
      <c r="M242" s="197"/>
      <c r="N242" s="197"/>
    </row>
    <row r="243">
      <c r="A243" s="197"/>
      <c r="B243" s="197"/>
      <c r="C243" s="197"/>
      <c r="D243" s="197"/>
      <c r="E243" s="197"/>
      <c r="F243" s="175"/>
      <c r="G243" s="197"/>
      <c r="H243" s="197"/>
      <c r="I243" s="175"/>
      <c r="J243" s="197"/>
      <c r="K243" s="197"/>
      <c r="L243" s="197"/>
      <c r="M243" s="197"/>
      <c r="N243" s="197"/>
    </row>
    <row r="244">
      <c r="A244" s="197"/>
      <c r="B244" s="197"/>
      <c r="C244" s="197"/>
      <c r="D244" s="197"/>
      <c r="E244" s="197"/>
      <c r="F244" s="175"/>
      <c r="G244" s="197"/>
      <c r="H244" s="197"/>
      <c r="I244" s="175"/>
      <c r="J244" s="197"/>
      <c r="K244" s="197"/>
      <c r="L244" s="197"/>
      <c r="M244" s="197"/>
      <c r="N244" s="197"/>
    </row>
    <row r="245">
      <c r="A245" s="197"/>
      <c r="B245" s="197"/>
      <c r="C245" s="197"/>
      <c r="D245" s="197"/>
      <c r="E245" s="197"/>
      <c r="F245" s="175"/>
      <c r="G245" s="197"/>
      <c r="H245" s="197"/>
      <c r="I245" s="175"/>
      <c r="J245" s="197"/>
      <c r="K245" s="197"/>
      <c r="L245" s="197"/>
      <c r="M245" s="197"/>
      <c r="N245" s="197"/>
    </row>
    <row r="246">
      <c r="A246" s="197"/>
      <c r="B246" s="197"/>
      <c r="C246" s="197"/>
      <c r="D246" s="197"/>
      <c r="E246" s="197"/>
      <c r="F246" s="175"/>
      <c r="G246" s="197"/>
      <c r="H246" s="197"/>
      <c r="I246" s="175"/>
      <c r="J246" s="197"/>
      <c r="K246" s="197"/>
      <c r="L246" s="197"/>
      <c r="M246" s="197"/>
      <c r="N246" s="197"/>
    </row>
    <row r="247">
      <c r="A247" s="197"/>
      <c r="B247" s="197"/>
      <c r="C247" s="197"/>
      <c r="D247" s="197"/>
      <c r="E247" s="197"/>
      <c r="F247" s="175"/>
      <c r="G247" s="197"/>
      <c r="H247" s="197"/>
      <c r="I247" s="175"/>
      <c r="J247" s="197"/>
      <c r="K247" s="197"/>
      <c r="L247" s="197"/>
      <c r="M247" s="197"/>
      <c r="N247" s="197"/>
    </row>
    <row r="248">
      <c r="A248" s="197"/>
      <c r="B248" s="197"/>
      <c r="C248" s="197"/>
      <c r="D248" s="197"/>
      <c r="E248" s="197"/>
      <c r="F248" s="175"/>
      <c r="G248" s="197"/>
      <c r="H248" s="197"/>
      <c r="I248" s="175"/>
      <c r="J248" s="197"/>
      <c r="K248" s="197"/>
      <c r="L248" s="197"/>
      <c r="M248" s="197"/>
      <c r="N248" s="197"/>
    </row>
    <row r="249">
      <c r="A249" s="197"/>
      <c r="B249" s="197"/>
      <c r="C249" s="197"/>
      <c r="D249" s="197"/>
      <c r="E249" s="197"/>
      <c r="F249" s="175"/>
      <c r="G249" s="197"/>
      <c r="H249" s="197"/>
      <c r="I249" s="175"/>
      <c r="J249" s="197"/>
      <c r="K249" s="197"/>
      <c r="L249" s="197"/>
      <c r="M249" s="197"/>
      <c r="N249" s="197"/>
    </row>
    <row r="250">
      <c r="A250" s="197"/>
      <c r="B250" s="197"/>
      <c r="C250" s="197"/>
      <c r="D250" s="197"/>
      <c r="E250" s="197"/>
      <c r="F250" s="175"/>
      <c r="G250" s="197"/>
      <c r="H250" s="197"/>
      <c r="I250" s="175"/>
      <c r="J250" s="197"/>
      <c r="K250" s="197"/>
      <c r="L250" s="197"/>
      <c r="M250" s="197"/>
      <c r="N250" s="197"/>
    </row>
    <row r="251">
      <c r="A251" s="197"/>
      <c r="B251" s="197"/>
      <c r="C251" s="197"/>
      <c r="D251" s="197"/>
      <c r="E251" s="197"/>
      <c r="F251" s="175"/>
      <c r="G251" s="197"/>
      <c r="H251" s="197"/>
      <c r="I251" s="175"/>
      <c r="J251" s="197"/>
      <c r="K251" s="197"/>
      <c r="L251" s="197"/>
      <c r="M251" s="197"/>
      <c r="N251" s="197"/>
    </row>
    <row r="252">
      <c r="A252" s="197"/>
      <c r="B252" s="197"/>
      <c r="C252" s="197"/>
      <c r="D252" s="197"/>
      <c r="E252" s="197"/>
      <c r="F252" s="175"/>
      <c r="G252" s="197"/>
      <c r="H252" s="197"/>
      <c r="I252" s="175"/>
      <c r="J252" s="197"/>
      <c r="K252" s="197"/>
      <c r="L252" s="197"/>
      <c r="M252" s="197"/>
      <c r="N252" s="197"/>
    </row>
    <row r="253">
      <c r="A253" s="197"/>
      <c r="B253" s="197"/>
      <c r="C253" s="197"/>
      <c r="D253" s="197"/>
      <c r="E253" s="197"/>
      <c r="F253" s="175"/>
      <c r="G253" s="197"/>
      <c r="H253" s="197"/>
      <c r="I253" s="175"/>
      <c r="J253" s="197"/>
      <c r="K253" s="197"/>
      <c r="L253" s="197"/>
      <c r="M253" s="197"/>
      <c r="N253" s="197"/>
    </row>
    <row r="254">
      <c r="A254" s="197"/>
      <c r="B254" s="197"/>
      <c r="C254" s="197"/>
      <c r="D254" s="197"/>
      <c r="E254" s="197"/>
      <c r="F254" s="175"/>
      <c r="G254" s="197"/>
      <c r="H254" s="197"/>
      <c r="I254" s="175"/>
      <c r="J254" s="197"/>
      <c r="K254" s="197"/>
      <c r="L254" s="197"/>
      <c r="M254" s="197"/>
      <c r="N254" s="197"/>
    </row>
    <row r="255">
      <c r="A255" s="197"/>
      <c r="B255" s="197"/>
      <c r="C255" s="197"/>
      <c r="D255" s="197"/>
      <c r="E255" s="197"/>
      <c r="F255" s="175"/>
      <c r="G255" s="197"/>
      <c r="H255" s="197"/>
      <c r="I255" s="175"/>
      <c r="J255" s="197"/>
      <c r="K255" s="197"/>
      <c r="L255" s="197"/>
      <c r="M255" s="197"/>
      <c r="N255" s="197"/>
    </row>
    <row r="256">
      <c r="A256" s="197"/>
      <c r="B256" s="197"/>
      <c r="C256" s="197"/>
      <c r="D256" s="197"/>
      <c r="E256" s="197"/>
      <c r="F256" s="175"/>
      <c r="G256" s="197"/>
      <c r="H256" s="197"/>
      <c r="I256" s="175"/>
      <c r="J256" s="197"/>
      <c r="K256" s="197"/>
      <c r="L256" s="197"/>
      <c r="M256" s="197"/>
      <c r="N256" s="197"/>
    </row>
    <row r="257">
      <c r="A257" s="197"/>
      <c r="B257" s="197"/>
      <c r="C257" s="197"/>
      <c r="D257" s="197"/>
      <c r="E257" s="197"/>
      <c r="F257" s="175"/>
      <c r="G257" s="197"/>
      <c r="H257" s="197"/>
      <c r="I257" s="175"/>
      <c r="J257" s="197"/>
      <c r="K257" s="197"/>
      <c r="L257" s="197"/>
      <c r="M257" s="197"/>
      <c r="N257" s="197"/>
    </row>
    <row r="258">
      <c r="A258" s="197"/>
      <c r="B258" s="197"/>
      <c r="C258" s="197"/>
      <c r="D258" s="197"/>
      <c r="E258" s="197"/>
      <c r="F258" s="175"/>
      <c r="G258" s="197"/>
      <c r="H258" s="197"/>
      <c r="I258" s="175"/>
      <c r="J258" s="197"/>
      <c r="K258" s="197"/>
      <c r="L258" s="197"/>
      <c r="M258" s="197"/>
      <c r="N258" s="197"/>
    </row>
    <row r="259">
      <c r="A259" s="197"/>
      <c r="B259" s="197"/>
      <c r="C259" s="197"/>
      <c r="D259" s="197"/>
      <c r="E259" s="197"/>
      <c r="F259" s="175"/>
      <c r="G259" s="197"/>
      <c r="H259" s="197"/>
      <c r="I259" s="175"/>
      <c r="J259" s="197"/>
      <c r="K259" s="197"/>
      <c r="L259" s="197"/>
      <c r="M259" s="197"/>
      <c r="N259" s="197"/>
    </row>
    <row r="260">
      <c r="A260" s="197"/>
      <c r="B260" s="197"/>
      <c r="C260" s="197"/>
      <c r="D260" s="197"/>
      <c r="E260" s="197"/>
      <c r="F260" s="175"/>
      <c r="G260" s="197"/>
      <c r="H260" s="197"/>
      <c r="I260" s="175"/>
      <c r="J260" s="197"/>
      <c r="K260" s="197"/>
      <c r="L260" s="197"/>
      <c r="M260" s="197"/>
      <c r="N260" s="197"/>
    </row>
    <row r="261">
      <c r="A261" s="197"/>
      <c r="B261" s="197"/>
      <c r="C261" s="197"/>
      <c r="D261" s="197"/>
      <c r="E261" s="197"/>
      <c r="F261" s="175"/>
      <c r="G261" s="197"/>
      <c r="H261" s="197"/>
      <c r="I261" s="175"/>
      <c r="J261" s="197"/>
      <c r="K261" s="197"/>
      <c r="L261" s="197"/>
      <c r="M261" s="197"/>
      <c r="N261" s="197"/>
    </row>
    <row r="262">
      <c r="A262" s="197"/>
      <c r="B262" s="197"/>
      <c r="C262" s="197"/>
      <c r="D262" s="197"/>
      <c r="E262" s="197"/>
      <c r="F262" s="175"/>
      <c r="G262" s="197"/>
      <c r="H262" s="197"/>
      <c r="I262" s="175"/>
      <c r="J262" s="197"/>
      <c r="K262" s="197"/>
      <c r="L262" s="197"/>
      <c r="M262" s="197"/>
      <c r="N262" s="197"/>
    </row>
    <row r="263">
      <c r="A263" s="197"/>
      <c r="B263" s="197"/>
      <c r="C263" s="197"/>
      <c r="D263" s="197"/>
      <c r="E263" s="197"/>
      <c r="F263" s="175"/>
      <c r="G263" s="197"/>
      <c r="H263" s="197"/>
      <c r="I263" s="175"/>
      <c r="J263" s="197"/>
      <c r="K263" s="197"/>
      <c r="L263" s="197"/>
      <c r="M263" s="197"/>
      <c r="N263" s="197"/>
    </row>
    <row r="264">
      <c r="A264" s="197"/>
      <c r="B264" s="197"/>
      <c r="C264" s="197"/>
      <c r="D264" s="197"/>
      <c r="E264" s="197"/>
      <c r="F264" s="175"/>
      <c r="G264" s="197"/>
      <c r="H264" s="197"/>
      <c r="I264" s="175"/>
      <c r="J264" s="197"/>
      <c r="K264" s="197"/>
      <c r="L264" s="197"/>
      <c r="M264" s="197"/>
      <c r="N264" s="197"/>
    </row>
    <row r="265">
      <c r="A265" s="197"/>
      <c r="B265" s="197"/>
      <c r="C265" s="197"/>
      <c r="D265" s="197"/>
      <c r="E265" s="197"/>
      <c r="F265" s="175"/>
      <c r="G265" s="197"/>
      <c r="H265" s="197"/>
      <c r="I265" s="175"/>
      <c r="J265" s="197"/>
      <c r="K265" s="197"/>
      <c r="L265" s="197"/>
      <c r="M265" s="197"/>
      <c r="N265" s="197"/>
    </row>
    <row r="266">
      <c r="A266" s="197"/>
      <c r="B266" s="197"/>
      <c r="C266" s="197"/>
      <c r="D266" s="197"/>
      <c r="E266" s="197"/>
      <c r="F266" s="175"/>
      <c r="G266" s="197"/>
      <c r="H266" s="197"/>
      <c r="I266" s="175"/>
      <c r="J266" s="197"/>
      <c r="K266" s="197"/>
      <c r="L266" s="197"/>
      <c r="M266" s="197"/>
      <c r="N266" s="197"/>
    </row>
    <row r="267">
      <c r="A267" s="197"/>
      <c r="B267" s="197"/>
      <c r="C267" s="197"/>
      <c r="D267" s="197"/>
      <c r="E267" s="197"/>
      <c r="F267" s="175"/>
      <c r="G267" s="197"/>
      <c r="H267" s="197"/>
      <c r="I267" s="175"/>
      <c r="J267" s="197"/>
      <c r="K267" s="197"/>
      <c r="L267" s="197"/>
      <c r="M267" s="197"/>
      <c r="N267" s="197"/>
    </row>
    <row r="268">
      <c r="A268" s="197"/>
      <c r="B268" s="197"/>
      <c r="C268" s="197"/>
      <c r="D268" s="197"/>
      <c r="E268" s="197"/>
      <c r="F268" s="175"/>
      <c r="G268" s="197"/>
      <c r="H268" s="197"/>
      <c r="I268" s="175"/>
      <c r="J268" s="197"/>
      <c r="K268" s="197"/>
      <c r="L268" s="197"/>
      <c r="M268" s="197"/>
      <c r="N268" s="197"/>
    </row>
    <row r="269">
      <c r="A269" s="197"/>
      <c r="B269" s="197"/>
      <c r="C269" s="197"/>
      <c r="D269" s="197"/>
      <c r="E269" s="197"/>
      <c r="F269" s="175"/>
      <c r="G269" s="197"/>
      <c r="H269" s="197"/>
      <c r="I269" s="175"/>
      <c r="J269" s="197"/>
      <c r="K269" s="197"/>
      <c r="L269" s="197"/>
      <c r="M269" s="197"/>
      <c r="N269" s="197"/>
    </row>
    <row r="270">
      <c r="A270" s="197"/>
      <c r="B270" s="197"/>
      <c r="C270" s="197"/>
      <c r="D270" s="197"/>
      <c r="E270" s="197"/>
      <c r="F270" s="175"/>
      <c r="G270" s="197"/>
      <c r="H270" s="197"/>
      <c r="I270" s="175"/>
      <c r="J270" s="197"/>
      <c r="K270" s="197"/>
      <c r="L270" s="197"/>
      <c r="M270" s="197"/>
      <c r="N270" s="197"/>
    </row>
    <row r="271">
      <c r="A271" s="197"/>
      <c r="B271" s="197"/>
      <c r="C271" s="197"/>
      <c r="D271" s="197"/>
      <c r="E271" s="197"/>
      <c r="F271" s="175"/>
      <c r="G271" s="197"/>
      <c r="H271" s="197"/>
      <c r="I271" s="175"/>
      <c r="J271" s="197"/>
      <c r="K271" s="197"/>
      <c r="L271" s="197"/>
      <c r="M271" s="197"/>
      <c r="N271" s="197"/>
    </row>
    <row r="272">
      <c r="A272" s="197"/>
      <c r="B272" s="197"/>
      <c r="C272" s="197"/>
      <c r="D272" s="197"/>
      <c r="E272" s="197"/>
      <c r="F272" s="175"/>
      <c r="G272" s="197"/>
      <c r="H272" s="197"/>
      <c r="I272" s="175"/>
      <c r="J272" s="197"/>
      <c r="K272" s="197"/>
      <c r="L272" s="197"/>
      <c r="M272" s="197"/>
      <c r="N272" s="197"/>
    </row>
    <row r="273">
      <c r="A273" s="197"/>
      <c r="B273" s="197"/>
      <c r="C273" s="197"/>
      <c r="D273" s="197"/>
      <c r="E273" s="197"/>
      <c r="F273" s="175"/>
      <c r="G273" s="197"/>
      <c r="H273" s="197"/>
      <c r="I273" s="175"/>
      <c r="J273" s="197"/>
      <c r="K273" s="197"/>
      <c r="L273" s="197"/>
      <c r="M273" s="197"/>
      <c r="N273" s="197"/>
    </row>
    <row r="274">
      <c r="A274" s="197"/>
      <c r="B274" s="197"/>
      <c r="C274" s="197"/>
      <c r="D274" s="197"/>
      <c r="E274" s="197"/>
      <c r="F274" s="175"/>
      <c r="G274" s="197"/>
      <c r="H274" s="197"/>
      <c r="I274" s="175"/>
      <c r="J274" s="197"/>
      <c r="K274" s="197"/>
      <c r="L274" s="197"/>
      <c r="M274" s="197"/>
      <c r="N274" s="197"/>
    </row>
    <row r="275">
      <c r="A275" s="197"/>
      <c r="B275" s="197"/>
      <c r="C275" s="197"/>
      <c r="D275" s="197"/>
      <c r="E275" s="197"/>
      <c r="F275" s="175"/>
      <c r="G275" s="197"/>
      <c r="H275" s="197"/>
      <c r="I275" s="175"/>
      <c r="J275" s="197"/>
      <c r="K275" s="197"/>
      <c r="L275" s="197"/>
      <c r="M275" s="197"/>
      <c r="N275" s="197"/>
    </row>
    <row r="276">
      <c r="A276" s="197"/>
      <c r="B276" s="197"/>
      <c r="C276" s="197"/>
      <c r="D276" s="197"/>
      <c r="E276" s="197"/>
      <c r="F276" s="175"/>
      <c r="G276" s="197"/>
      <c r="H276" s="197"/>
      <c r="I276" s="175"/>
      <c r="J276" s="197"/>
      <c r="K276" s="197"/>
      <c r="L276" s="197"/>
      <c r="M276" s="197"/>
      <c r="N276" s="197"/>
    </row>
    <row r="277">
      <c r="A277" s="197"/>
      <c r="B277" s="197"/>
      <c r="C277" s="197"/>
      <c r="D277" s="197"/>
      <c r="E277" s="197"/>
      <c r="F277" s="175"/>
      <c r="G277" s="197"/>
      <c r="H277" s="197"/>
      <c r="I277" s="175"/>
      <c r="J277" s="197"/>
      <c r="K277" s="197"/>
      <c r="L277" s="197"/>
      <c r="M277" s="197"/>
      <c r="N277" s="197"/>
    </row>
    <row r="278">
      <c r="A278" s="197"/>
      <c r="B278" s="197"/>
      <c r="C278" s="197"/>
      <c r="D278" s="197"/>
      <c r="E278" s="197"/>
      <c r="F278" s="175"/>
      <c r="G278" s="197"/>
      <c r="H278" s="197"/>
      <c r="I278" s="175"/>
      <c r="J278" s="197"/>
      <c r="K278" s="197"/>
      <c r="L278" s="197"/>
      <c r="M278" s="197"/>
      <c r="N278" s="197"/>
    </row>
    <row r="279">
      <c r="A279" s="197"/>
      <c r="B279" s="197"/>
      <c r="C279" s="197"/>
      <c r="D279" s="197"/>
      <c r="E279" s="197"/>
      <c r="F279" s="175"/>
      <c r="G279" s="197"/>
      <c r="H279" s="197"/>
      <c r="I279" s="175"/>
      <c r="J279" s="197"/>
      <c r="K279" s="197"/>
      <c r="L279" s="197"/>
      <c r="M279" s="197"/>
      <c r="N279" s="197"/>
    </row>
    <row r="280">
      <c r="A280" s="197"/>
      <c r="B280" s="197"/>
      <c r="C280" s="197"/>
      <c r="D280" s="197"/>
      <c r="E280" s="197"/>
      <c r="F280" s="175"/>
      <c r="G280" s="197"/>
      <c r="H280" s="197"/>
      <c r="I280" s="175"/>
      <c r="J280" s="197"/>
      <c r="K280" s="197"/>
      <c r="L280" s="197"/>
      <c r="M280" s="197"/>
      <c r="N280" s="197"/>
    </row>
    <row r="281">
      <c r="A281" s="197"/>
      <c r="B281" s="197"/>
      <c r="C281" s="197"/>
      <c r="D281" s="197"/>
      <c r="E281" s="197"/>
      <c r="F281" s="175"/>
      <c r="G281" s="197"/>
      <c r="H281" s="197"/>
      <c r="I281" s="175"/>
      <c r="J281" s="197"/>
      <c r="K281" s="197"/>
      <c r="L281" s="197"/>
      <c r="M281" s="197"/>
      <c r="N281" s="197"/>
    </row>
    <row r="282">
      <c r="A282" s="197"/>
      <c r="B282" s="197"/>
      <c r="C282" s="197"/>
      <c r="D282" s="197"/>
      <c r="E282" s="197"/>
      <c r="F282" s="175"/>
      <c r="G282" s="197"/>
      <c r="H282" s="197"/>
      <c r="I282" s="175"/>
      <c r="J282" s="197"/>
      <c r="K282" s="197"/>
      <c r="L282" s="197"/>
      <c r="M282" s="197"/>
      <c r="N282" s="197"/>
    </row>
    <row r="283">
      <c r="A283" s="197"/>
      <c r="B283" s="197"/>
      <c r="C283" s="197"/>
      <c r="D283" s="197"/>
      <c r="E283" s="197"/>
      <c r="F283" s="175"/>
      <c r="G283" s="197"/>
      <c r="H283" s="197"/>
      <c r="I283" s="175"/>
      <c r="J283" s="197"/>
      <c r="K283" s="197"/>
      <c r="L283" s="197"/>
      <c r="M283" s="197"/>
      <c r="N283" s="197"/>
    </row>
    <row r="284">
      <c r="A284" s="197"/>
      <c r="B284" s="197"/>
      <c r="C284" s="197"/>
      <c r="D284" s="197"/>
      <c r="E284" s="197"/>
      <c r="F284" s="175"/>
      <c r="G284" s="197"/>
      <c r="H284" s="197"/>
      <c r="I284" s="175"/>
      <c r="J284" s="197"/>
      <c r="K284" s="197"/>
      <c r="L284" s="197"/>
      <c r="M284" s="197"/>
      <c r="N284" s="197"/>
    </row>
    <row r="285">
      <c r="A285" s="197"/>
      <c r="B285" s="197"/>
      <c r="C285" s="197"/>
      <c r="D285" s="197"/>
      <c r="E285" s="197"/>
      <c r="F285" s="175"/>
      <c r="G285" s="197"/>
      <c r="H285" s="197"/>
      <c r="I285" s="175"/>
      <c r="J285" s="197"/>
      <c r="K285" s="197"/>
      <c r="L285" s="197"/>
      <c r="M285" s="197"/>
      <c r="N285" s="197"/>
    </row>
    <row r="286">
      <c r="A286" s="197"/>
      <c r="B286" s="197"/>
      <c r="C286" s="197"/>
      <c r="D286" s="197"/>
      <c r="E286" s="197"/>
      <c r="F286" s="175"/>
      <c r="G286" s="197"/>
      <c r="H286" s="197"/>
      <c r="I286" s="175"/>
      <c r="J286" s="197"/>
      <c r="K286" s="197"/>
      <c r="L286" s="197"/>
      <c r="M286" s="197"/>
      <c r="N286" s="197"/>
    </row>
    <row r="287">
      <c r="A287" s="197"/>
      <c r="B287" s="197"/>
      <c r="C287" s="197"/>
      <c r="D287" s="197"/>
      <c r="E287" s="197"/>
      <c r="F287" s="175"/>
      <c r="G287" s="197"/>
      <c r="H287" s="197"/>
      <c r="I287" s="175"/>
      <c r="J287" s="197"/>
      <c r="K287" s="197"/>
      <c r="L287" s="197"/>
      <c r="M287" s="197"/>
      <c r="N287" s="197"/>
    </row>
    <row r="288">
      <c r="A288" s="197"/>
      <c r="B288" s="197"/>
      <c r="C288" s="197"/>
      <c r="D288" s="197"/>
      <c r="E288" s="197"/>
      <c r="F288" s="175"/>
      <c r="G288" s="197"/>
      <c r="H288" s="197"/>
      <c r="I288" s="175"/>
      <c r="J288" s="197"/>
      <c r="K288" s="197"/>
      <c r="L288" s="197"/>
      <c r="M288" s="197"/>
      <c r="N288" s="197"/>
    </row>
    <row r="289">
      <c r="A289" s="197"/>
      <c r="B289" s="197"/>
      <c r="C289" s="197"/>
      <c r="D289" s="197"/>
      <c r="E289" s="197"/>
      <c r="F289" s="175"/>
      <c r="G289" s="197"/>
      <c r="H289" s="197"/>
      <c r="I289" s="175"/>
      <c r="J289" s="197"/>
      <c r="K289" s="197"/>
      <c r="L289" s="197"/>
      <c r="M289" s="197"/>
      <c r="N289" s="197"/>
    </row>
    <row r="290">
      <c r="A290" s="197"/>
      <c r="B290" s="197"/>
      <c r="C290" s="197"/>
      <c r="D290" s="197"/>
      <c r="E290" s="197"/>
      <c r="F290" s="175"/>
      <c r="G290" s="197"/>
      <c r="H290" s="197"/>
      <c r="I290" s="175"/>
      <c r="J290" s="197"/>
      <c r="K290" s="197"/>
      <c r="L290" s="197"/>
      <c r="M290" s="197"/>
      <c r="N290" s="197"/>
    </row>
    <row r="291">
      <c r="A291" s="197"/>
      <c r="B291" s="197"/>
      <c r="C291" s="197"/>
      <c r="D291" s="197"/>
      <c r="E291" s="197"/>
      <c r="F291" s="175"/>
      <c r="G291" s="197"/>
      <c r="H291" s="197"/>
      <c r="I291" s="175"/>
      <c r="J291" s="197"/>
      <c r="K291" s="197"/>
      <c r="L291" s="197"/>
      <c r="M291" s="197"/>
      <c r="N291" s="197"/>
    </row>
    <row r="292">
      <c r="A292" s="197"/>
      <c r="B292" s="197"/>
      <c r="C292" s="197"/>
      <c r="D292" s="197"/>
      <c r="E292" s="197"/>
      <c r="F292" s="175"/>
      <c r="G292" s="197"/>
      <c r="H292" s="197"/>
      <c r="I292" s="175"/>
      <c r="J292" s="197"/>
      <c r="K292" s="197"/>
      <c r="L292" s="197"/>
      <c r="M292" s="197"/>
      <c r="N292" s="197"/>
    </row>
    <row r="293">
      <c r="A293" s="197"/>
      <c r="B293" s="197"/>
      <c r="C293" s="197"/>
      <c r="D293" s="197"/>
      <c r="E293" s="197"/>
      <c r="F293" s="175"/>
      <c r="G293" s="197"/>
      <c r="H293" s="197"/>
      <c r="I293" s="175"/>
      <c r="J293" s="197"/>
      <c r="K293" s="197"/>
      <c r="L293" s="197"/>
      <c r="M293" s="197"/>
      <c r="N293" s="197"/>
    </row>
    <row r="294">
      <c r="A294" s="197"/>
      <c r="B294" s="197"/>
      <c r="C294" s="197"/>
      <c r="D294" s="197"/>
      <c r="E294" s="197"/>
      <c r="F294" s="175"/>
      <c r="G294" s="197"/>
      <c r="H294" s="197"/>
      <c r="I294" s="175"/>
      <c r="J294" s="197"/>
      <c r="K294" s="197"/>
      <c r="L294" s="197"/>
      <c r="M294" s="197"/>
      <c r="N294" s="197"/>
    </row>
    <row r="295">
      <c r="A295" s="197"/>
      <c r="B295" s="197"/>
      <c r="C295" s="197"/>
      <c r="D295" s="197"/>
      <c r="E295" s="197"/>
      <c r="F295" s="175"/>
      <c r="G295" s="197"/>
      <c r="H295" s="197"/>
      <c r="I295" s="175"/>
      <c r="J295" s="197"/>
      <c r="K295" s="197"/>
      <c r="L295" s="197"/>
      <c r="M295" s="197"/>
      <c r="N295" s="197"/>
    </row>
    <row r="296">
      <c r="A296" s="197"/>
      <c r="B296" s="197"/>
      <c r="C296" s="197"/>
      <c r="D296" s="197"/>
      <c r="E296" s="197"/>
      <c r="F296" s="175"/>
      <c r="G296" s="197"/>
      <c r="H296" s="197"/>
      <c r="I296" s="175"/>
      <c r="J296" s="197"/>
      <c r="K296" s="197"/>
      <c r="L296" s="197"/>
      <c r="M296" s="197"/>
      <c r="N296" s="197"/>
    </row>
    <row r="297">
      <c r="A297" s="197"/>
      <c r="B297" s="197"/>
      <c r="C297" s="197"/>
      <c r="D297" s="197"/>
      <c r="E297" s="197"/>
      <c r="F297" s="175"/>
      <c r="G297" s="197"/>
      <c r="H297" s="197"/>
      <c r="I297" s="175"/>
      <c r="J297" s="197"/>
      <c r="K297" s="197"/>
      <c r="L297" s="197"/>
      <c r="M297" s="197"/>
      <c r="N297" s="197"/>
    </row>
    <row r="298">
      <c r="A298" s="197"/>
      <c r="B298" s="197"/>
      <c r="C298" s="197"/>
      <c r="D298" s="197"/>
      <c r="E298" s="197"/>
      <c r="F298" s="175"/>
      <c r="G298" s="197"/>
      <c r="H298" s="197"/>
      <c r="I298" s="175"/>
      <c r="J298" s="197"/>
      <c r="K298" s="197"/>
      <c r="L298" s="197"/>
      <c r="M298" s="197"/>
      <c r="N298" s="197"/>
    </row>
    <row r="299">
      <c r="A299" s="197"/>
      <c r="B299" s="197"/>
      <c r="C299" s="197"/>
      <c r="D299" s="197"/>
      <c r="E299" s="197"/>
      <c r="F299" s="175"/>
      <c r="G299" s="197"/>
      <c r="H299" s="197"/>
      <c r="I299" s="175"/>
      <c r="J299" s="197"/>
      <c r="K299" s="197"/>
      <c r="L299" s="197"/>
      <c r="M299" s="197"/>
      <c r="N299" s="197"/>
    </row>
    <row r="300">
      <c r="A300" s="197"/>
      <c r="B300" s="197"/>
      <c r="C300" s="197"/>
      <c r="D300" s="197"/>
      <c r="E300" s="197"/>
      <c r="F300" s="175"/>
      <c r="G300" s="197"/>
      <c r="H300" s="197"/>
      <c r="I300" s="175"/>
      <c r="J300" s="197"/>
      <c r="K300" s="197"/>
      <c r="L300" s="197"/>
      <c r="M300" s="197"/>
      <c r="N300" s="197"/>
    </row>
    <row r="301">
      <c r="A301" s="197"/>
      <c r="B301" s="197"/>
      <c r="C301" s="197"/>
      <c r="D301" s="197"/>
      <c r="E301" s="197"/>
      <c r="F301" s="175"/>
      <c r="G301" s="197"/>
      <c r="H301" s="197"/>
      <c r="I301" s="175"/>
      <c r="J301" s="197"/>
      <c r="K301" s="197"/>
      <c r="L301" s="197"/>
      <c r="M301" s="197"/>
      <c r="N301" s="197"/>
    </row>
    <row r="302">
      <c r="A302" s="197"/>
      <c r="B302" s="197"/>
      <c r="C302" s="197"/>
      <c r="D302" s="197"/>
      <c r="E302" s="197"/>
      <c r="F302" s="175"/>
      <c r="G302" s="197"/>
      <c r="H302" s="197"/>
      <c r="I302" s="175"/>
      <c r="J302" s="197"/>
      <c r="K302" s="197"/>
      <c r="L302" s="197"/>
      <c r="M302" s="197"/>
      <c r="N302" s="197"/>
    </row>
    <row r="303">
      <c r="A303" s="197"/>
      <c r="B303" s="197"/>
      <c r="C303" s="197"/>
      <c r="D303" s="197"/>
      <c r="E303" s="197"/>
      <c r="F303" s="175"/>
      <c r="G303" s="197"/>
      <c r="H303" s="197"/>
      <c r="I303" s="175"/>
      <c r="J303" s="197"/>
      <c r="K303" s="197"/>
      <c r="L303" s="197"/>
      <c r="M303" s="197"/>
      <c r="N303" s="197"/>
    </row>
    <row r="304">
      <c r="A304" s="197"/>
      <c r="B304" s="197"/>
      <c r="C304" s="197"/>
      <c r="D304" s="197"/>
      <c r="E304" s="197"/>
      <c r="F304" s="175"/>
      <c r="G304" s="197"/>
      <c r="H304" s="197"/>
      <c r="I304" s="175"/>
      <c r="J304" s="197"/>
      <c r="K304" s="197"/>
      <c r="L304" s="197"/>
      <c r="M304" s="197"/>
      <c r="N304" s="197"/>
    </row>
    <row r="305">
      <c r="A305" s="197"/>
      <c r="B305" s="197"/>
      <c r="C305" s="197"/>
      <c r="D305" s="197"/>
      <c r="E305" s="197"/>
      <c r="F305" s="175"/>
      <c r="G305" s="197"/>
      <c r="H305" s="197"/>
      <c r="I305" s="175"/>
      <c r="J305" s="197"/>
      <c r="K305" s="197"/>
      <c r="L305" s="197"/>
      <c r="M305" s="197"/>
      <c r="N305" s="197"/>
    </row>
    <row r="306">
      <c r="A306" s="197"/>
      <c r="B306" s="197"/>
      <c r="C306" s="197"/>
      <c r="D306" s="197"/>
      <c r="E306" s="197"/>
      <c r="F306" s="175"/>
      <c r="G306" s="197"/>
      <c r="H306" s="197"/>
      <c r="I306" s="175"/>
      <c r="J306" s="197"/>
      <c r="K306" s="197"/>
      <c r="L306" s="197"/>
      <c r="M306" s="197"/>
      <c r="N306" s="197"/>
    </row>
    <row r="307">
      <c r="A307" s="197"/>
      <c r="B307" s="197"/>
      <c r="C307" s="197"/>
      <c r="D307" s="197"/>
      <c r="E307" s="197"/>
      <c r="F307" s="175"/>
      <c r="G307" s="197"/>
      <c r="H307" s="197"/>
      <c r="I307" s="175"/>
      <c r="J307" s="197"/>
      <c r="K307" s="197"/>
      <c r="L307" s="197"/>
      <c r="M307" s="197"/>
      <c r="N307" s="197"/>
    </row>
    <row r="308">
      <c r="A308" s="197"/>
      <c r="B308" s="197"/>
      <c r="C308" s="197"/>
      <c r="D308" s="197"/>
      <c r="E308" s="197"/>
      <c r="F308" s="175"/>
      <c r="G308" s="197"/>
      <c r="H308" s="197"/>
      <c r="I308" s="175"/>
      <c r="J308" s="197"/>
      <c r="K308" s="197"/>
      <c r="L308" s="197"/>
      <c r="M308" s="197"/>
      <c r="N308" s="197"/>
    </row>
    <row r="309">
      <c r="A309" s="197"/>
      <c r="B309" s="197"/>
      <c r="C309" s="197"/>
      <c r="D309" s="197"/>
      <c r="E309" s="197"/>
      <c r="F309" s="175"/>
      <c r="G309" s="197"/>
      <c r="H309" s="197"/>
      <c r="I309" s="175"/>
      <c r="J309" s="197"/>
      <c r="K309" s="197"/>
      <c r="L309" s="197"/>
      <c r="M309" s="197"/>
      <c r="N309" s="197"/>
    </row>
    <row r="310">
      <c r="A310" s="197"/>
      <c r="B310" s="197"/>
      <c r="C310" s="197"/>
      <c r="D310" s="197"/>
      <c r="E310" s="197"/>
      <c r="F310" s="175"/>
      <c r="G310" s="197"/>
      <c r="H310" s="197"/>
      <c r="I310" s="175"/>
      <c r="J310" s="197"/>
      <c r="K310" s="197"/>
      <c r="L310" s="197"/>
      <c r="M310" s="197"/>
      <c r="N310" s="197"/>
    </row>
    <row r="311">
      <c r="A311" s="197"/>
      <c r="B311" s="197"/>
      <c r="C311" s="197"/>
      <c r="D311" s="197"/>
      <c r="E311" s="197"/>
      <c r="F311" s="175"/>
      <c r="G311" s="197"/>
      <c r="H311" s="197"/>
      <c r="I311" s="175"/>
      <c r="J311" s="197"/>
      <c r="K311" s="197"/>
      <c r="L311" s="197"/>
      <c r="M311" s="197"/>
      <c r="N311" s="197"/>
    </row>
    <row r="312">
      <c r="A312" s="197"/>
      <c r="B312" s="197"/>
      <c r="C312" s="197"/>
      <c r="D312" s="197"/>
      <c r="E312" s="197"/>
      <c r="F312" s="175"/>
      <c r="G312" s="197"/>
      <c r="H312" s="197"/>
      <c r="I312" s="175"/>
      <c r="J312" s="197"/>
      <c r="K312" s="197"/>
      <c r="L312" s="197"/>
      <c r="M312" s="197"/>
      <c r="N312" s="197"/>
    </row>
    <row r="313">
      <c r="A313" s="197"/>
      <c r="B313" s="197"/>
      <c r="C313" s="197"/>
      <c r="D313" s="197"/>
      <c r="E313" s="197"/>
      <c r="F313" s="175"/>
      <c r="G313" s="197"/>
      <c r="H313" s="197"/>
      <c r="I313" s="175"/>
      <c r="J313" s="197"/>
      <c r="K313" s="197"/>
      <c r="L313" s="197"/>
      <c r="M313" s="197"/>
      <c r="N313" s="197"/>
    </row>
    <row r="314">
      <c r="A314" s="197"/>
      <c r="B314" s="197"/>
      <c r="C314" s="197"/>
      <c r="D314" s="197"/>
      <c r="E314" s="197"/>
      <c r="F314" s="175"/>
      <c r="G314" s="197"/>
      <c r="H314" s="197"/>
      <c r="I314" s="175"/>
      <c r="J314" s="197"/>
      <c r="K314" s="197"/>
      <c r="L314" s="197"/>
      <c r="M314" s="197"/>
      <c r="N314" s="197"/>
    </row>
    <row r="315">
      <c r="A315" s="197"/>
      <c r="B315" s="197"/>
      <c r="C315" s="197"/>
      <c r="D315" s="197"/>
      <c r="E315" s="197"/>
      <c r="F315" s="175"/>
      <c r="G315" s="197"/>
      <c r="H315" s="197"/>
      <c r="I315" s="175"/>
      <c r="J315" s="197"/>
      <c r="K315" s="197"/>
      <c r="L315" s="197"/>
      <c r="M315" s="197"/>
      <c r="N315" s="197"/>
    </row>
    <row r="316">
      <c r="A316" s="197"/>
      <c r="B316" s="197"/>
      <c r="C316" s="197"/>
      <c r="D316" s="197"/>
      <c r="E316" s="197"/>
      <c r="F316" s="175"/>
      <c r="G316" s="197"/>
      <c r="H316" s="197"/>
      <c r="I316" s="175"/>
      <c r="J316" s="197"/>
      <c r="K316" s="197"/>
      <c r="L316" s="197"/>
      <c r="M316" s="197"/>
      <c r="N316" s="197"/>
    </row>
    <row r="317">
      <c r="A317" s="197"/>
      <c r="B317" s="197"/>
      <c r="C317" s="197"/>
      <c r="D317" s="197"/>
      <c r="E317" s="197"/>
      <c r="F317" s="175"/>
      <c r="G317" s="197"/>
      <c r="H317" s="197"/>
      <c r="I317" s="175"/>
      <c r="J317" s="197"/>
      <c r="K317" s="197"/>
      <c r="L317" s="197"/>
      <c r="M317" s="197"/>
      <c r="N317" s="197"/>
    </row>
    <row r="318">
      <c r="A318" s="197"/>
      <c r="B318" s="197"/>
      <c r="C318" s="197"/>
      <c r="D318" s="197"/>
      <c r="E318" s="197"/>
      <c r="F318" s="175"/>
      <c r="G318" s="197"/>
      <c r="H318" s="197"/>
      <c r="I318" s="175"/>
      <c r="J318" s="197"/>
      <c r="K318" s="197"/>
      <c r="L318" s="197"/>
      <c r="M318" s="197"/>
      <c r="N318" s="197"/>
    </row>
    <row r="319">
      <c r="A319" s="197"/>
      <c r="B319" s="197"/>
      <c r="C319" s="197"/>
      <c r="D319" s="197"/>
      <c r="E319" s="197"/>
      <c r="F319" s="175"/>
      <c r="G319" s="197"/>
      <c r="H319" s="197"/>
      <c r="I319" s="175"/>
      <c r="J319" s="197"/>
      <c r="K319" s="197"/>
      <c r="L319" s="197"/>
      <c r="M319" s="197"/>
      <c r="N319" s="197"/>
    </row>
    <row r="320">
      <c r="A320" s="197"/>
      <c r="B320" s="197"/>
      <c r="C320" s="197"/>
      <c r="D320" s="197"/>
      <c r="E320" s="197"/>
      <c r="F320" s="175"/>
      <c r="G320" s="197"/>
      <c r="H320" s="197"/>
      <c r="I320" s="175"/>
      <c r="J320" s="197"/>
      <c r="K320" s="197"/>
      <c r="L320" s="197"/>
      <c r="M320" s="197"/>
      <c r="N320" s="197"/>
    </row>
    <row r="321">
      <c r="A321" s="197"/>
      <c r="B321" s="197"/>
      <c r="C321" s="197"/>
      <c r="D321" s="197"/>
      <c r="E321" s="197"/>
      <c r="F321" s="175"/>
      <c r="G321" s="197"/>
      <c r="H321" s="197"/>
      <c r="I321" s="175"/>
      <c r="J321" s="197"/>
      <c r="K321" s="197"/>
      <c r="L321" s="197"/>
      <c r="M321" s="197"/>
      <c r="N321" s="197"/>
    </row>
    <row r="322">
      <c r="A322" s="197"/>
      <c r="B322" s="197"/>
      <c r="C322" s="197"/>
      <c r="D322" s="197"/>
      <c r="E322" s="197"/>
      <c r="F322" s="175"/>
      <c r="G322" s="197"/>
      <c r="H322" s="197"/>
      <c r="I322" s="175"/>
      <c r="J322" s="197"/>
      <c r="K322" s="197"/>
      <c r="L322" s="197"/>
      <c r="M322" s="197"/>
      <c r="N322" s="197"/>
    </row>
    <row r="323">
      <c r="A323" s="197"/>
      <c r="B323" s="197"/>
      <c r="C323" s="197"/>
      <c r="D323" s="197"/>
      <c r="E323" s="197"/>
      <c r="F323" s="175"/>
      <c r="G323" s="197"/>
      <c r="H323" s="197"/>
      <c r="I323" s="175"/>
      <c r="J323" s="197"/>
      <c r="K323" s="197"/>
      <c r="L323" s="197"/>
      <c r="M323" s="197"/>
      <c r="N323" s="197"/>
    </row>
    <row r="324">
      <c r="A324" s="197"/>
      <c r="B324" s="197"/>
      <c r="C324" s="197"/>
      <c r="D324" s="197"/>
      <c r="E324" s="197"/>
      <c r="F324" s="175"/>
      <c r="G324" s="197"/>
      <c r="H324" s="197"/>
      <c r="I324" s="175"/>
      <c r="J324" s="197"/>
      <c r="K324" s="197"/>
      <c r="L324" s="197"/>
      <c r="M324" s="197"/>
      <c r="N324" s="197"/>
    </row>
    <row r="325">
      <c r="A325" s="197"/>
      <c r="B325" s="197"/>
      <c r="C325" s="197"/>
      <c r="D325" s="197"/>
      <c r="E325" s="197"/>
      <c r="F325" s="175"/>
      <c r="G325" s="197"/>
      <c r="H325" s="197"/>
      <c r="I325" s="175"/>
      <c r="J325" s="197"/>
      <c r="K325" s="197"/>
      <c r="L325" s="197"/>
      <c r="M325" s="197"/>
      <c r="N325" s="197"/>
    </row>
    <row r="326">
      <c r="A326" s="197"/>
      <c r="B326" s="197"/>
      <c r="C326" s="197"/>
      <c r="D326" s="197"/>
      <c r="E326" s="197"/>
      <c r="F326" s="175"/>
      <c r="G326" s="197"/>
      <c r="H326" s="197"/>
      <c r="I326" s="175"/>
      <c r="J326" s="197"/>
      <c r="K326" s="197"/>
      <c r="L326" s="197"/>
      <c r="M326" s="197"/>
      <c r="N326" s="197"/>
    </row>
    <row r="327">
      <c r="A327" s="197"/>
      <c r="B327" s="197"/>
      <c r="C327" s="197"/>
      <c r="D327" s="197"/>
      <c r="E327" s="197"/>
      <c r="F327" s="175"/>
      <c r="G327" s="197"/>
      <c r="H327" s="197"/>
      <c r="I327" s="175"/>
      <c r="J327" s="197"/>
      <c r="K327" s="197"/>
      <c r="L327" s="197"/>
      <c r="M327" s="197"/>
      <c r="N327" s="197"/>
    </row>
    <row r="328">
      <c r="A328" s="197"/>
      <c r="B328" s="197"/>
      <c r="C328" s="197"/>
      <c r="D328" s="197"/>
      <c r="E328" s="197"/>
      <c r="F328" s="175"/>
      <c r="G328" s="197"/>
      <c r="H328" s="197"/>
      <c r="I328" s="175"/>
      <c r="J328" s="197"/>
      <c r="K328" s="197"/>
      <c r="L328" s="197"/>
      <c r="M328" s="197"/>
      <c r="N328" s="197"/>
    </row>
    <row r="329">
      <c r="A329" s="197"/>
      <c r="B329" s="197"/>
      <c r="C329" s="197"/>
      <c r="D329" s="197"/>
      <c r="E329" s="197"/>
      <c r="F329" s="175"/>
      <c r="G329" s="197"/>
      <c r="H329" s="197"/>
      <c r="I329" s="175"/>
      <c r="J329" s="197"/>
      <c r="K329" s="197"/>
      <c r="L329" s="197"/>
      <c r="M329" s="197"/>
      <c r="N329" s="197"/>
    </row>
    <row r="330">
      <c r="A330" s="197"/>
      <c r="B330" s="197"/>
      <c r="C330" s="197"/>
      <c r="D330" s="197"/>
      <c r="E330" s="197"/>
      <c r="F330" s="175"/>
      <c r="G330" s="197"/>
      <c r="H330" s="197"/>
      <c r="I330" s="175"/>
      <c r="J330" s="197"/>
      <c r="K330" s="197"/>
      <c r="L330" s="197"/>
      <c r="M330" s="197"/>
      <c r="N330" s="197"/>
    </row>
    <row r="331">
      <c r="A331" s="197"/>
      <c r="B331" s="197"/>
      <c r="C331" s="197"/>
      <c r="D331" s="197"/>
      <c r="E331" s="197"/>
      <c r="F331" s="175"/>
      <c r="G331" s="197"/>
      <c r="H331" s="197"/>
      <c r="I331" s="175"/>
      <c r="J331" s="197"/>
      <c r="K331" s="197"/>
      <c r="L331" s="197"/>
      <c r="M331" s="197"/>
      <c r="N331" s="197"/>
    </row>
    <row r="332">
      <c r="A332" s="197"/>
      <c r="B332" s="197"/>
      <c r="C332" s="197"/>
      <c r="D332" s="197"/>
      <c r="E332" s="197"/>
      <c r="F332" s="175"/>
      <c r="G332" s="197"/>
      <c r="H332" s="197"/>
      <c r="I332" s="175"/>
      <c r="J332" s="197"/>
      <c r="K332" s="197"/>
      <c r="L332" s="197"/>
      <c r="M332" s="197"/>
      <c r="N332" s="197"/>
    </row>
    <row r="333">
      <c r="A333" s="197"/>
      <c r="B333" s="197"/>
      <c r="C333" s="197"/>
      <c r="D333" s="197"/>
      <c r="E333" s="197"/>
      <c r="F333" s="175"/>
      <c r="G333" s="197"/>
      <c r="H333" s="197"/>
      <c r="I333" s="175"/>
      <c r="J333" s="197"/>
      <c r="K333" s="197"/>
      <c r="L333" s="197"/>
      <c r="M333" s="197"/>
      <c r="N333" s="197"/>
    </row>
    <row r="334">
      <c r="A334" s="197"/>
      <c r="B334" s="197"/>
      <c r="C334" s="197"/>
      <c r="D334" s="197"/>
      <c r="E334" s="197"/>
      <c r="F334" s="175"/>
      <c r="G334" s="197"/>
      <c r="H334" s="197"/>
      <c r="I334" s="175"/>
      <c r="J334" s="197"/>
      <c r="K334" s="197"/>
      <c r="L334" s="197"/>
      <c r="M334" s="197"/>
      <c r="N334" s="197"/>
    </row>
    <row r="335">
      <c r="A335" s="197"/>
      <c r="B335" s="197"/>
      <c r="C335" s="197"/>
      <c r="D335" s="197"/>
      <c r="E335" s="197"/>
      <c r="F335" s="175"/>
      <c r="G335" s="197"/>
      <c r="H335" s="197"/>
      <c r="I335" s="175"/>
      <c r="J335" s="197"/>
      <c r="K335" s="197"/>
      <c r="L335" s="197"/>
      <c r="M335" s="197"/>
      <c r="N335" s="197"/>
    </row>
    <row r="336">
      <c r="A336" s="197"/>
      <c r="B336" s="197"/>
      <c r="C336" s="197"/>
      <c r="D336" s="197"/>
      <c r="E336" s="197"/>
      <c r="F336" s="175"/>
      <c r="G336" s="197"/>
      <c r="H336" s="197"/>
      <c r="I336" s="175"/>
      <c r="J336" s="197"/>
      <c r="K336" s="197"/>
      <c r="L336" s="197"/>
      <c r="M336" s="197"/>
      <c r="N336" s="197"/>
    </row>
    <row r="337">
      <c r="A337" s="197"/>
      <c r="B337" s="197"/>
      <c r="C337" s="197"/>
      <c r="D337" s="197"/>
      <c r="E337" s="197"/>
      <c r="F337" s="175"/>
      <c r="G337" s="197"/>
      <c r="H337" s="197"/>
      <c r="I337" s="175"/>
      <c r="J337" s="197"/>
      <c r="K337" s="197"/>
      <c r="L337" s="197"/>
      <c r="M337" s="197"/>
      <c r="N337" s="197"/>
    </row>
    <row r="338">
      <c r="A338" s="197"/>
      <c r="B338" s="197"/>
      <c r="C338" s="197"/>
      <c r="D338" s="197"/>
      <c r="E338" s="197"/>
      <c r="F338" s="175"/>
      <c r="G338" s="197"/>
      <c r="H338" s="197"/>
      <c r="I338" s="175"/>
      <c r="J338" s="197"/>
      <c r="K338" s="197"/>
      <c r="L338" s="197"/>
      <c r="M338" s="197"/>
      <c r="N338" s="197"/>
    </row>
    <row r="339">
      <c r="A339" s="197"/>
      <c r="B339" s="197"/>
      <c r="C339" s="197"/>
      <c r="D339" s="197"/>
      <c r="E339" s="197"/>
      <c r="F339" s="175"/>
      <c r="G339" s="197"/>
      <c r="H339" s="197"/>
      <c r="I339" s="175"/>
      <c r="J339" s="197"/>
      <c r="K339" s="197"/>
      <c r="L339" s="197"/>
      <c r="M339" s="197"/>
      <c r="N339" s="197"/>
    </row>
    <row r="340">
      <c r="A340" s="197"/>
      <c r="B340" s="197"/>
      <c r="C340" s="197"/>
      <c r="D340" s="197"/>
      <c r="E340" s="197"/>
      <c r="F340" s="175"/>
      <c r="G340" s="197"/>
      <c r="H340" s="197"/>
      <c r="I340" s="175"/>
      <c r="J340" s="197"/>
      <c r="K340" s="197"/>
      <c r="L340" s="197"/>
      <c r="M340" s="197"/>
      <c r="N340" s="197"/>
    </row>
    <row r="341">
      <c r="A341" s="197"/>
      <c r="B341" s="197"/>
      <c r="C341" s="197"/>
      <c r="D341" s="197"/>
      <c r="E341" s="197"/>
      <c r="F341" s="175"/>
      <c r="G341" s="197"/>
      <c r="H341" s="197"/>
      <c r="I341" s="175"/>
      <c r="J341" s="197"/>
      <c r="K341" s="197"/>
      <c r="L341" s="197"/>
      <c r="M341" s="197"/>
      <c r="N341" s="197"/>
    </row>
    <row r="342">
      <c r="A342" s="197"/>
      <c r="B342" s="197"/>
      <c r="C342" s="197"/>
      <c r="D342" s="197"/>
      <c r="E342" s="197"/>
      <c r="F342" s="175"/>
      <c r="G342" s="197"/>
      <c r="H342" s="197"/>
      <c r="I342" s="175"/>
      <c r="J342" s="197"/>
      <c r="K342" s="197"/>
      <c r="L342" s="197"/>
      <c r="M342" s="197"/>
      <c r="N342" s="197"/>
    </row>
    <row r="343">
      <c r="A343" s="197"/>
      <c r="B343" s="197"/>
      <c r="C343" s="197"/>
      <c r="D343" s="197"/>
      <c r="E343" s="197"/>
      <c r="F343" s="175"/>
      <c r="G343" s="197"/>
      <c r="H343" s="197"/>
      <c r="I343" s="175"/>
      <c r="J343" s="197"/>
      <c r="K343" s="197"/>
      <c r="L343" s="197"/>
      <c r="M343" s="197"/>
      <c r="N343" s="197"/>
    </row>
    <row r="344">
      <c r="A344" s="197"/>
      <c r="B344" s="197"/>
      <c r="C344" s="197"/>
      <c r="D344" s="197"/>
      <c r="E344" s="197"/>
      <c r="F344" s="175"/>
      <c r="G344" s="197"/>
      <c r="H344" s="197"/>
      <c r="I344" s="175"/>
      <c r="J344" s="197"/>
      <c r="K344" s="197"/>
      <c r="L344" s="197"/>
      <c r="M344" s="197"/>
      <c r="N344" s="197"/>
    </row>
    <row r="345">
      <c r="A345" s="197"/>
      <c r="B345" s="197"/>
      <c r="C345" s="197"/>
      <c r="D345" s="197"/>
      <c r="E345" s="197"/>
      <c r="F345" s="175"/>
      <c r="G345" s="197"/>
      <c r="H345" s="197"/>
      <c r="I345" s="175"/>
      <c r="J345" s="197"/>
      <c r="K345" s="197"/>
      <c r="L345" s="197"/>
      <c r="M345" s="197"/>
      <c r="N345" s="197"/>
    </row>
    <row r="346">
      <c r="A346" s="197"/>
      <c r="B346" s="197"/>
      <c r="C346" s="197"/>
      <c r="D346" s="197"/>
      <c r="E346" s="197"/>
      <c r="F346" s="175"/>
      <c r="G346" s="197"/>
      <c r="H346" s="197"/>
      <c r="I346" s="175"/>
      <c r="J346" s="197"/>
      <c r="K346" s="197"/>
      <c r="L346" s="197"/>
      <c r="M346" s="197"/>
      <c r="N346" s="197"/>
    </row>
    <row r="347">
      <c r="A347" s="197"/>
      <c r="B347" s="197"/>
      <c r="C347" s="197"/>
      <c r="D347" s="197"/>
      <c r="E347" s="197"/>
      <c r="F347" s="175"/>
      <c r="G347" s="197"/>
      <c r="H347" s="197"/>
      <c r="I347" s="175"/>
      <c r="J347" s="197"/>
      <c r="K347" s="197"/>
      <c r="L347" s="197"/>
      <c r="M347" s="197"/>
      <c r="N347" s="197"/>
    </row>
    <row r="348">
      <c r="A348" s="197"/>
      <c r="B348" s="197"/>
      <c r="C348" s="197"/>
      <c r="D348" s="197"/>
      <c r="E348" s="197"/>
      <c r="F348" s="175"/>
      <c r="G348" s="197"/>
      <c r="H348" s="197"/>
      <c r="I348" s="175"/>
      <c r="J348" s="197"/>
      <c r="K348" s="197"/>
      <c r="L348" s="197"/>
      <c r="M348" s="197"/>
      <c r="N348" s="197"/>
    </row>
    <row r="349">
      <c r="A349" s="197"/>
      <c r="B349" s="197"/>
      <c r="C349" s="197"/>
      <c r="D349" s="197"/>
      <c r="E349" s="197"/>
      <c r="F349" s="175"/>
      <c r="G349" s="197"/>
      <c r="H349" s="197"/>
      <c r="I349" s="175"/>
      <c r="J349" s="197"/>
      <c r="K349" s="197"/>
      <c r="L349" s="197"/>
      <c r="M349" s="197"/>
      <c r="N349" s="197"/>
    </row>
    <row r="350">
      <c r="A350" s="197"/>
      <c r="B350" s="197"/>
      <c r="C350" s="197"/>
      <c r="D350" s="197"/>
      <c r="E350" s="197"/>
      <c r="F350" s="175"/>
      <c r="G350" s="197"/>
      <c r="H350" s="197"/>
      <c r="I350" s="175"/>
      <c r="J350" s="197"/>
      <c r="K350" s="197"/>
      <c r="L350" s="197"/>
      <c r="M350" s="197"/>
      <c r="N350" s="197"/>
    </row>
    <row r="351">
      <c r="A351" s="197"/>
      <c r="B351" s="197"/>
      <c r="C351" s="197"/>
      <c r="D351" s="197"/>
      <c r="E351" s="197"/>
      <c r="F351" s="175"/>
      <c r="G351" s="197"/>
      <c r="H351" s="197"/>
      <c r="I351" s="175"/>
      <c r="J351" s="197"/>
      <c r="K351" s="197"/>
      <c r="L351" s="197"/>
      <c r="M351" s="197"/>
      <c r="N351" s="197"/>
    </row>
    <row r="352">
      <c r="A352" s="197"/>
      <c r="B352" s="197"/>
      <c r="C352" s="197"/>
      <c r="D352" s="197"/>
      <c r="E352" s="197"/>
      <c r="F352" s="175"/>
      <c r="G352" s="197"/>
      <c r="H352" s="197"/>
      <c r="I352" s="175"/>
      <c r="J352" s="197"/>
      <c r="K352" s="197"/>
      <c r="L352" s="197"/>
      <c r="M352" s="197"/>
      <c r="N352" s="197"/>
    </row>
    <row r="353">
      <c r="A353" s="197"/>
      <c r="B353" s="197"/>
      <c r="C353" s="197"/>
      <c r="D353" s="197"/>
      <c r="E353" s="197"/>
      <c r="F353" s="175"/>
      <c r="G353" s="197"/>
      <c r="H353" s="197"/>
      <c r="I353" s="175"/>
      <c r="J353" s="197"/>
      <c r="K353" s="197"/>
      <c r="L353" s="197"/>
      <c r="M353" s="197"/>
      <c r="N353" s="197"/>
    </row>
    <row r="354">
      <c r="A354" s="197"/>
      <c r="B354" s="197"/>
      <c r="C354" s="197"/>
      <c r="D354" s="197"/>
      <c r="E354" s="197"/>
      <c r="F354" s="175"/>
      <c r="G354" s="197"/>
      <c r="H354" s="197"/>
      <c r="I354" s="175"/>
      <c r="J354" s="197"/>
      <c r="K354" s="197"/>
      <c r="L354" s="197"/>
      <c r="M354" s="197"/>
      <c r="N354" s="197"/>
    </row>
    <row r="355">
      <c r="A355" s="197"/>
      <c r="B355" s="197"/>
      <c r="C355" s="197"/>
      <c r="D355" s="197"/>
      <c r="E355" s="197"/>
      <c r="F355" s="175"/>
      <c r="G355" s="197"/>
      <c r="H355" s="197"/>
      <c r="I355" s="175"/>
      <c r="J355" s="197"/>
      <c r="K355" s="197"/>
      <c r="L355" s="197"/>
      <c r="M355" s="197"/>
      <c r="N355" s="197"/>
    </row>
    <row r="356">
      <c r="A356" s="197"/>
      <c r="B356" s="197"/>
      <c r="C356" s="197"/>
      <c r="D356" s="197"/>
      <c r="E356" s="197"/>
      <c r="F356" s="175"/>
      <c r="G356" s="197"/>
      <c r="H356" s="197"/>
      <c r="I356" s="175"/>
      <c r="J356" s="197"/>
      <c r="K356" s="197"/>
      <c r="L356" s="197"/>
      <c r="M356" s="197"/>
      <c r="N356" s="197"/>
    </row>
    <row r="357">
      <c r="A357" s="197"/>
      <c r="B357" s="197"/>
      <c r="C357" s="197"/>
      <c r="D357" s="197"/>
      <c r="E357" s="197"/>
      <c r="F357" s="175"/>
      <c r="G357" s="197"/>
      <c r="H357" s="197"/>
      <c r="I357" s="175"/>
      <c r="J357" s="197"/>
      <c r="K357" s="197"/>
      <c r="L357" s="197"/>
      <c r="M357" s="197"/>
      <c r="N357" s="197"/>
    </row>
    <row r="358">
      <c r="A358" s="197"/>
      <c r="B358" s="197"/>
      <c r="C358" s="197"/>
      <c r="D358" s="197"/>
      <c r="E358" s="197"/>
      <c r="F358" s="175"/>
      <c r="G358" s="197"/>
      <c r="H358" s="197"/>
      <c r="I358" s="175"/>
      <c r="J358" s="197"/>
      <c r="K358" s="197"/>
      <c r="L358" s="197"/>
      <c r="M358" s="197"/>
      <c r="N358" s="197"/>
    </row>
    <row r="359">
      <c r="A359" s="197"/>
      <c r="B359" s="197"/>
      <c r="C359" s="197"/>
      <c r="D359" s="197"/>
      <c r="E359" s="197"/>
      <c r="F359" s="175"/>
      <c r="G359" s="197"/>
      <c r="H359" s="197"/>
      <c r="I359" s="175"/>
      <c r="J359" s="197"/>
      <c r="K359" s="197"/>
      <c r="L359" s="197"/>
      <c r="M359" s="197"/>
      <c r="N359" s="197"/>
    </row>
    <row r="360">
      <c r="A360" s="197"/>
      <c r="B360" s="197"/>
      <c r="C360" s="197"/>
      <c r="D360" s="197"/>
      <c r="E360" s="197"/>
      <c r="F360" s="175"/>
      <c r="G360" s="197"/>
      <c r="H360" s="197"/>
      <c r="I360" s="175"/>
      <c r="J360" s="197"/>
      <c r="K360" s="197"/>
      <c r="L360" s="197"/>
      <c r="M360" s="197"/>
      <c r="N360" s="197"/>
    </row>
    <row r="361">
      <c r="A361" s="197"/>
      <c r="B361" s="197"/>
      <c r="C361" s="197"/>
      <c r="D361" s="197"/>
      <c r="E361" s="197"/>
      <c r="F361" s="175"/>
      <c r="G361" s="197"/>
      <c r="H361" s="197"/>
      <c r="I361" s="175"/>
      <c r="J361" s="197"/>
      <c r="K361" s="197"/>
      <c r="L361" s="197"/>
      <c r="M361" s="197"/>
      <c r="N361" s="197"/>
    </row>
    <row r="362">
      <c r="A362" s="197"/>
      <c r="B362" s="197"/>
      <c r="C362" s="197"/>
      <c r="D362" s="197"/>
      <c r="E362" s="197"/>
      <c r="F362" s="175"/>
      <c r="G362" s="197"/>
      <c r="H362" s="197"/>
      <c r="I362" s="175"/>
      <c r="J362" s="197"/>
      <c r="K362" s="197"/>
      <c r="L362" s="197"/>
      <c r="M362" s="197"/>
      <c r="N362" s="197"/>
    </row>
    <row r="363">
      <c r="A363" s="197"/>
      <c r="B363" s="197"/>
      <c r="C363" s="197"/>
      <c r="D363" s="197"/>
      <c r="E363" s="197"/>
      <c r="F363" s="175"/>
      <c r="G363" s="197"/>
      <c r="H363" s="197"/>
      <c r="I363" s="175"/>
      <c r="J363" s="197"/>
      <c r="K363" s="197"/>
      <c r="L363" s="197"/>
      <c r="M363" s="197"/>
      <c r="N363" s="197"/>
    </row>
    <row r="364">
      <c r="A364" s="197"/>
      <c r="B364" s="197"/>
      <c r="C364" s="197"/>
      <c r="D364" s="197"/>
      <c r="E364" s="197"/>
      <c r="F364" s="175"/>
      <c r="G364" s="197"/>
      <c r="H364" s="197"/>
      <c r="I364" s="175"/>
      <c r="J364" s="197"/>
      <c r="K364" s="197"/>
      <c r="L364" s="197"/>
      <c r="M364" s="197"/>
      <c r="N364" s="197"/>
    </row>
    <row r="365">
      <c r="A365" s="197"/>
      <c r="B365" s="197"/>
      <c r="C365" s="197"/>
      <c r="D365" s="197"/>
      <c r="E365" s="197"/>
      <c r="F365" s="175"/>
      <c r="G365" s="197"/>
      <c r="H365" s="197"/>
      <c r="I365" s="175"/>
      <c r="J365" s="197"/>
      <c r="K365" s="197"/>
      <c r="L365" s="197"/>
      <c r="M365" s="197"/>
      <c r="N365" s="197"/>
    </row>
    <row r="366">
      <c r="A366" s="197"/>
      <c r="B366" s="197"/>
      <c r="C366" s="197"/>
      <c r="D366" s="197"/>
      <c r="E366" s="197"/>
      <c r="F366" s="175"/>
      <c r="G366" s="197"/>
      <c r="H366" s="197"/>
      <c r="I366" s="175"/>
      <c r="J366" s="197"/>
      <c r="K366" s="197"/>
      <c r="L366" s="197"/>
      <c r="M366" s="197"/>
      <c r="N366" s="197"/>
    </row>
    <row r="367">
      <c r="A367" s="197"/>
      <c r="B367" s="197"/>
      <c r="C367" s="197"/>
      <c r="D367" s="197"/>
      <c r="E367" s="197"/>
      <c r="F367" s="175"/>
      <c r="G367" s="197"/>
      <c r="H367" s="197"/>
      <c r="I367" s="175"/>
      <c r="J367" s="197"/>
      <c r="K367" s="197"/>
      <c r="L367" s="197"/>
      <c r="M367" s="197"/>
      <c r="N367" s="197"/>
    </row>
    <row r="368">
      <c r="A368" s="197"/>
      <c r="B368" s="197"/>
      <c r="C368" s="197"/>
      <c r="D368" s="197"/>
      <c r="E368" s="197"/>
      <c r="F368" s="175"/>
      <c r="G368" s="197"/>
      <c r="H368" s="197"/>
      <c r="I368" s="175"/>
      <c r="J368" s="197"/>
      <c r="K368" s="197"/>
      <c r="L368" s="197"/>
      <c r="M368" s="197"/>
      <c r="N368" s="197"/>
    </row>
    <row r="369">
      <c r="A369" s="197"/>
      <c r="B369" s="197"/>
      <c r="C369" s="197"/>
      <c r="D369" s="197"/>
      <c r="E369" s="197"/>
      <c r="F369" s="175"/>
      <c r="G369" s="197"/>
      <c r="H369" s="197"/>
      <c r="I369" s="175"/>
      <c r="J369" s="197"/>
      <c r="K369" s="197"/>
      <c r="L369" s="197"/>
      <c r="M369" s="197"/>
      <c r="N369" s="197"/>
    </row>
    <row r="370">
      <c r="A370" s="197"/>
      <c r="B370" s="197"/>
      <c r="C370" s="197"/>
      <c r="D370" s="197"/>
      <c r="E370" s="197"/>
      <c r="F370" s="175"/>
      <c r="G370" s="197"/>
      <c r="H370" s="197"/>
      <c r="I370" s="175"/>
      <c r="J370" s="197"/>
      <c r="K370" s="197"/>
      <c r="L370" s="197"/>
      <c r="M370" s="197"/>
      <c r="N370" s="197"/>
    </row>
    <row r="371">
      <c r="A371" s="197"/>
      <c r="B371" s="197"/>
      <c r="C371" s="197"/>
      <c r="D371" s="197"/>
      <c r="E371" s="197"/>
      <c r="F371" s="175"/>
      <c r="G371" s="197"/>
      <c r="H371" s="197"/>
      <c r="I371" s="175"/>
      <c r="J371" s="197"/>
      <c r="K371" s="197"/>
      <c r="L371" s="197"/>
      <c r="M371" s="197"/>
      <c r="N371" s="197"/>
    </row>
    <row r="372">
      <c r="A372" s="197"/>
      <c r="B372" s="197"/>
      <c r="C372" s="197"/>
      <c r="D372" s="197"/>
      <c r="E372" s="197"/>
      <c r="F372" s="175"/>
      <c r="G372" s="197"/>
      <c r="H372" s="197"/>
      <c r="I372" s="175"/>
      <c r="J372" s="197"/>
      <c r="K372" s="197"/>
      <c r="L372" s="197"/>
      <c r="M372" s="197"/>
      <c r="N372" s="197"/>
    </row>
    <row r="373">
      <c r="A373" s="197"/>
      <c r="B373" s="197"/>
      <c r="C373" s="197"/>
      <c r="D373" s="197"/>
      <c r="E373" s="197"/>
      <c r="F373" s="175"/>
      <c r="G373" s="197"/>
      <c r="H373" s="197"/>
      <c r="I373" s="175"/>
      <c r="J373" s="197"/>
      <c r="K373" s="197"/>
      <c r="L373" s="197"/>
      <c r="M373" s="197"/>
      <c r="N373" s="197"/>
    </row>
    <row r="374">
      <c r="A374" s="197"/>
      <c r="B374" s="197"/>
      <c r="C374" s="197"/>
      <c r="D374" s="197"/>
      <c r="E374" s="197"/>
      <c r="F374" s="175"/>
      <c r="G374" s="197"/>
      <c r="H374" s="197"/>
      <c r="I374" s="175"/>
      <c r="J374" s="197"/>
      <c r="K374" s="197"/>
      <c r="L374" s="197"/>
      <c r="M374" s="197"/>
      <c r="N374" s="197"/>
    </row>
    <row r="375">
      <c r="A375" s="197"/>
      <c r="B375" s="197"/>
      <c r="C375" s="197"/>
      <c r="D375" s="197"/>
      <c r="E375" s="197"/>
      <c r="F375" s="175"/>
      <c r="G375" s="197"/>
      <c r="H375" s="197"/>
      <c r="I375" s="175"/>
      <c r="J375" s="197"/>
      <c r="K375" s="197"/>
      <c r="L375" s="197"/>
      <c r="M375" s="197"/>
      <c r="N375" s="197"/>
    </row>
    <row r="376">
      <c r="A376" s="197"/>
      <c r="B376" s="197"/>
      <c r="C376" s="197"/>
      <c r="D376" s="197"/>
      <c r="E376" s="197"/>
      <c r="F376" s="175"/>
      <c r="G376" s="197"/>
      <c r="H376" s="197"/>
      <c r="I376" s="175"/>
      <c r="J376" s="197"/>
      <c r="K376" s="197"/>
      <c r="L376" s="197"/>
      <c r="M376" s="197"/>
      <c r="N376" s="197"/>
    </row>
    <row r="377">
      <c r="A377" s="197"/>
      <c r="B377" s="197"/>
      <c r="C377" s="197"/>
      <c r="D377" s="197"/>
      <c r="E377" s="197"/>
      <c r="F377" s="175"/>
      <c r="G377" s="197"/>
      <c r="H377" s="197"/>
      <c r="I377" s="175"/>
      <c r="J377" s="197"/>
      <c r="K377" s="197"/>
      <c r="L377" s="197"/>
      <c r="M377" s="197"/>
      <c r="N377" s="197"/>
    </row>
    <row r="378">
      <c r="A378" s="197"/>
      <c r="B378" s="197"/>
      <c r="C378" s="197"/>
      <c r="D378" s="197"/>
      <c r="E378" s="197"/>
      <c r="F378" s="175"/>
      <c r="G378" s="197"/>
      <c r="H378" s="197"/>
      <c r="I378" s="175"/>
      <c r="J378" s="197"/>
      <c r="K378" s="197"/>
      <c r="L378" s="197"/>
      <c r="M378" s="197"/>
      <c r="N378" s="197"/>
    </row>
    <row r="379">
      <c r="A379" s="197"/>
      <c r="B379" s="197"/>
      <c r="C379" s="197"/>
      <c r="D379" s="197"/>
      <c r="E379" s="197"/>
      <c r="F379" s="175"/>
      <c r="G379" s="197"/>
      <c r="H379" s="197"/>
      <c r="I379" s="175"/>
      <c r="J379" s="197"/>
      <c r="K379" s="197"/>
      <c r="L379" s="197"/>
      <c r="M379" s="197"/>
      <c r="N379" s="197"/>
    </row>
    <row r="380">
      <c r="A380" s="197"/>
      <c r="B380" s="197"/>
      <c r="C380" s="197"/>
      <c r="D380" s="197"/>
      <c r="E380" s="197"/>
      <c r="F380" s="175"/>
      <c r="G380" s="197"/>
      <c r="H380" s="197"/>
      <c r="I380" s="175"/>
      <c r="J380" s="197"/>
      <c r="K380" s="197"/>
      <c r="L380" s="197"/>
      <c r="M380" s="197"/>
      <c r="N380" s="197"/>
    </row>
    <row r="381">
      <c r="A381" s="197"/>
      <c r="B381" s="197"/>
      <c r="C381" s="197"/>
      <c r="D381" s="197"/>
      <c r="E381" s="197"/>
      <c r="F381" s="175"/>
      <c r="G381" s="197"/>
      <c r="H381" s="197"/>
      <c r="I381" s="175"/>
      <c r="J381" s="197"/>
      <c r="K381" s="197"/>
      <c r="L381" s="197"/>
      <c r="M381" s="197"/>
      <c r="N381" s="197"/>
    </row>
    <row r="382">
      <c r="A382" s="197"/>
      <c r="B382" s="197"/>
      <c r="C382" s="197"/>
      <c r="D382" s="197"/>
      <c r="E382" s="197"/>
      <c r="F382" s="175"/>
      <c r="G382" s="197"/>
      <c r="H382" s="197"/>
      <c r="I382" s="175"/>
      <c r="J382" s="197"/>
      <c r="K382" s="197"/>
      <c r="L382" s="197"/>
      <c r="M382" s="197"/>
      <c r="N382" s="197"/>
    </row>
    <row r="383">
      <c r="A383" s="197"/>
      <c r="B383" s="197"/>
      <c r="C383" s="197"/>
      <c r="D383" s="197"/>
      <c r="E383" s="197"/>
      <c r="F383" s="175"/>
      <c r="G383" s="197"/>
      <c r="H383" s="197"/>
      <c r="I383" s="175"/>
      <c r="J383" s="197"/>
      <c r="K383" s="197"/>
      <c r="L383" s="197"/>
      <c r="M383" s="197"/>
      <c r="N383" s="197"/>
    </row>
    <row r="384">
      <c r="A384" s="197"/>
      <c r="B384" s="197"/>
      <c r="C384" s="197"/>
      <c r="D384" s="197"/>
      <c r="E384" s="197"/>
      <c r="F384" s="175"/>
      <c r="G384" s="197"/>
      <c r="H384" s="197"/>
      <c r="I384" s="175"/>
      <c r="J384" s="197"/>
      <c r="K384" s="197"/>
      <c r="L384" s="197"/>
      <c r="M384" s="197"/>
      <c r="N384" s="197"/>
    </row>
    <row r="385">
      <c r="A385" s="197"/>
      <c r="B385" s="197"/>
      <c r="C385" s="197"/>
      <c r="D385" s="197"/>
      <c r="E385" s="197"/>
      <c r="F385" s="175"/>
      <c r="G385" s="197"/>
      <c r="H385" s="197"/>
      <c r="I385" s="175"/>
      <c r="J385" s="197"/>
      <c r="K385" s="197"/>
      <c r="L385" s="197"/>
      <c r="M385" s="197"/>
      <c r="N385" s="197"/>
    </row>
    <row r="386">
      <c r="A386" s="197"/>
      <c r="B386" s="197"/>
      <c r="C386" s="197"/>
      <c r="D386" s="197"/>
      <c r="E386" s="197"/>
      <c r="F386" s="175"/>
      <c r="G386" s="197"/>
      <c r="H386" s="197"/>
      <c r="I386" s="175"/>
      <c r="J386" s="197"/>
      <c r="K386" s="197"/>
      <c r="L386" s="197"/>
      <c r="M386" s="197"/>
      <c r="N386" s="197"/>
    </row>
    <row r="387">
      <c r="A387" s="197"/>
      <c r="B387" s="197"/>
      <c r="C387" s="197"/>
      <c r="D387" s="197"/>
      <c r="E387" s="197"/>
      <c r="F387" s="175"/>
      <c r="G387" s="197"/>
      <c r="H387" s="197"/>
      <c r="I387" s="175"/>
      <c r="J387" s="197"/>
      <c r="K387" s="197"/>
      <c r="L387" s="197"/>
      <c r="M387" s="197"/>
      <c r="N387" s="197"/>
    </row>
    <row r="388">
      <c r="A388" s="197"/>
      <c r="B388" s="197"/>
      <c r="C388" s="197"/>
      <c r="D388" s="197"/>
      <c r="E388" s="197"/>
      <c r="F388" s="175"/>
      <c r="G388" s="197"/>
      <c r="H388" s="197"/>
      <c r="I388" s="175"/>
      <c r="J388" s="197"/>
      <c r="K388" s="197"/>
      <c r="L388" s="197"/>
      <c r="M388" s="197"/>
      <c r="N388" s="197"/>
    </row>
    <row r="389">
      <c r="A389" s="197"/>
      <c r="B389" s="197"/>
      <c r="C389" s="197"/>
      <c r="D389" s="197"/>
      <c r="E389" s="197"/>
      <c r="F389" s="175"/>
      <c r="G389" s="197"/>
      <c r="H389" s="197"/>
      <c r="I389" s="175"/>
      <c r="J389" s="197"/>
      <c r="K389" s="197"/>
      <c r="L389" s="197"/>
      <c r="M389" s="197"/>
      <c r="N389" s="197"/>
    </row>
    <row r="390">
      <c r="A390" s="197"/>
      <c r="B390" s="197"/>
      <c r="C390" s="197"/>
      <c r="D390" s="197"/>
      <c r="E390" s="197"/>
      <c r="F390" s="175"/>
      <c r="G390" s="197"/>
      <c r="H390" s="197"/>
      <c r="I390" s="175"/>
      <c r="J390" s="197"/>
      <c r="K390" s="197"/>
      <c r="L390" s="197"/>
      <c r="M390" s="197"/>
      <c r="N390" s="197"/>
    </row>
    <row r="391">
      <c r="A391" s="197"/>
      <c r="B391" s="197"/>
      <c r="C391" s="197"/>
      <c r="D391" s="197"/>
      <c r="E391" s="197"/>
      <c r="F391" s="175"/>
      <c r="G391" s="197"/>
      <c r="H391" s="197"/>
      <c r="I391" s="175"/>
      <c r="J391" s="197"/>
      <c r="K391" s="197"/>
      <c r="L391" s="197"/>
      <c r="M391" s="197"/>
      <c r="N391" s="197"/>
    </row>
    <row r="392">
      <c r="A392" s="197"/>
      <c r="B392" s="197"/>
      <c r="C392" s="197"/>
      <c r="D392" s="197"/>
      <c r="E392" s="197"/>
      <c r="F392" s="175"/>
      <c r="G392" s="197"/>
      <c r="H392" s="197"/>
      <c r="I392" s="175"/>
      <c r="J392" s="197"/>
      <c r="K392" s="197"/>
      <c r="L392" s="197"/>
      <c r="M392" s="197"/>
      <c r="N392" s="197"/>
    </row>
    <row r="393">
      <c r="A393" s="197"/>
      <c r="B393" s="197"/>
      <c r="C393" s="197"/>
      <c r="D393" s="197"/>
      <c r="E393" s="197"/>
      <c r="F393" s="175"/>
      <c r="G393" s="197"/>
      <c r="H393" s="197"/>
      <c r="I393" s="175"/>
      <c r="J393" s="197"/>
      <c r="K393" s="197"/>
      <c r="L393" s="197"/>
      <c r="M393" s="197"/>
      <c r="N393" s="197"/>
    </row>
    <row r="394">
      <c r="A394" s="197"/>
      <c r="B394" s="197"/>
      <c r="C394" s="197"/>
      <c r="D394" s="197"/>
      <c r="E394" s="197"/>
      <c r="F394" s="175"/>
      <c r="G394" s="197"/>
      <c r="H394" s="197"/>
      <c r="I394" s="175"/>
      <c r="J394" s="197"/>
      <c r="K394" s="197"/>
      <c r="L394" s="197"/>
      <c r="M394" s="197"/>
      <c r="N394" s="197"/>
    </row>
    <row r="395">
      <c r="A395" s="197"/>
      <c r="B395" s="197"/>
      <c r="C395" s="197"/>
      <c r="D395" s="197"/>
      <c r="E395" s="197"/>
      <c r="F395" s="175"/>
      <c r="G395" s="197"/>
      <c r="H395" s="197"/>
      <c r="I395" s="175"/>
      <c r="J395" s="197"/>
      <c r="K395" s="197"/>
      <c r="L395" s="197"/>
      <c r="M395" s="197"/>
      <c r="N395" s="197"/>
    </row>
    <row r="396">
      <c r="A396" s="197"/>
      <c r="B396" s="197"/>
      <c r="C396" s="197"/>
      <c r="D396" s="197"/>
      <c r="E396" s="197"/>
      <c r="F396" s="175"/>
      <c r="G396" s="197"/>
      <c r="H396" s="197"/>
      <c r="I396" s="175"/>
      <c r="J396" s="197"/>
      <c r="K396" s="197"/>
      <c r="L396" s="197"/>
      <c r="M396" s="197"/>
      <c r="N396" s="197"/>
    </row>
    <row r="397">
      <c r="A397" s="197"/>
      <c r="B397" s="197"/>
      <c r="C397" s="197"/>
      <c r="D397" s="197"/>
      <c r="E397" s="197"/>
      <c r="F397" s="175"/>
      <c r="G397" s="197"/>
      <c r="H397" s="197"/>
      <c r="I397" s="175"/>
      <c r="J397" s="197"/>
      <c r="K397" s="197"/>
      <c r="L397" s="197"/>
      <c r="M397" s="197"/>
      <c r="N397" s="197"/>
    </row>
    <row r="398">
      <c r="A398" s="197"/>
      <c r="B398" s="197"/>
      <c r="C398" s="197"/>
      <c r="D398" s="197"/>
      <c r="E398" s="197"/>
      <c r="F398" s="175"/>
      <c r="G398" s="197"/>
      <c r="H398" s="197"/>
      <c r="I398" s="175"/>
      <c r="J398" s="197"/>
      <c r="K398" s="197"/>
      <c r="L398" s="197"/>
      <c r="M398" s="197"/>
      <c r="N398" s="197"/>
    </row>
    <row r="399">
      <c r="A399" s="197"/>
      <c r="B399" s="197"/>
      <c r="C399" s="197"/>
      <c r="D399" s="197"/>
      <c r="E399" s="197"/>
      <c r="F399" s="175"/>
      <c r="G399" s="197"/>
      <c r="H399" s="197"/>
      <c r="I399" s="175"/>
      <c r="J399" s="197"/>
      <c r="K399" s="197"/>
      <c r="L399" s="197"/>
      <c r="M399" s="197"/>
      <c r="N399" s="197"/>
    </row>
    <row r="400">
      <c r="A400" s="197"/>
      <c r="B400" s="197"/>
      <c r="C400" s="197"/>
      <c r="D400" s="197"/>
      <c r="E400" s="197"/>
      <c r="F400" s="175"/>
      <c r="G400" s="197"/>
      <c r="H400" s="197"/>
      <c r="I400" s="175"/>
      <c r="J400" s="197"/>
      <c r="K400" s="197"/>
      <c r="L400" s="197"/>
      <c r="M400" s="197"/>
      <c r="N400" s="197"/>
    </row>
    <row r="401">
      <c r="A401" s="197"/>
      <c r="B401" s="197"/>
      <c r="C401" s="197"/>
      <c r="D401" s="197"/>
      <c r="E401" s="197"/>
      <c r="F401" s="175"/>
      <c r="G401" s="197"/>
      <c r="H401" s="197"/>
      <c r="I401" s="175"/>
      <c r="J401" s="197"/>
      <c r="K401" s="197"/>
      <c r="L401" s="197"/>
      <c r="M401" s="197"/>
      <c r="N401" s="197"/>
    </row>
    <row r="402">
      <c r="A402" s="197"/>
      <c r="B402" s="197"/>
      <c r="C402" s="197"/>
      <c r="D402" s="197"/>
      <c r="E402" s="197"/>
      <c r="F402" s="175"/>
      <c r="G402" s="197"/>
      <c r="H402" s="197"/>
      <c r="I402" s="175"/>
      <c r="J402" s="197"/>
      <c r="K402" s="197"/>
      <c r="L402" s="197"/>
      <c r="M402" s="197"/>
      <c r="N402" s="197"/>
    </row>
    <row r="403">
      <c r="A403" s="197"/>
      <c r="B403" s="197"/>
      <c r="C403" s="197"/>
      <c r="D403" s="197"/>
      <c r="E403" s="197"/>
      <c r="F403" s="175"/>
      <c r="G403" s="197"/>
      <c r="H403" s="197"/>
      <c r="I403" s="175"/>
      <c r="J403" s="197"/>
      <c r="K403" s="197"/>
      <c r="L403" s="197"/>
      <c r="M403" s="197"/>
      <c r="N403" s="197"/>
    </row>
    <row r="404">
      <c r="A404" s="197"/>
      <c r="B404" s="197"/>
      <c r="C404" s="197"/>
      <c r="D404" s="197"/>
      <c r="E404" s="197"/>
      <c r="F404" s="175"/>
      <c r="G404" s="197"/>
      <c r="H404" s="197"/>
      <c r="I404" s="175"/>
      <c r="J404" s="197"/>
      <c r="K404" s="197"/>
      <c r="L404" s="197"/>
      <c r="M404" s="197"/>
      <c r="N404" s="197"/>
    </row>
    <row r="405">
      <c r="A405" s="197"/>
      <c r="B405" s="197"/>
      <c r="C405" s="197"/>
      <c r="D405" s="197"/>
      <c r="E405" s="197"/>
      <c r="F405" s="175"/>
      <c r="G405" s="197"/>
      <c r="H405" s="197"/>
      <c r="I405" s="175"/>
      <c r="J405" s="197"/>
      <c r="K405" s="197"/>
      <c r="L405" s="197"/>
      <c r="M405" s="197"/>
      <c r="N405" s="197"/>
    </row>
    <row r="406">
      <c r="A406" s="197"/>
      <c r="B406" s="197"/>
      <c r="C406" s="197"/>
      <c r="D406" s="197"/>
      <c r="E406" s="197"/>
      <c r="F406" s="175"/>
      <c r="G406" s="197"/>
      <c r="H406" s="197"/>
      <c r="I406" s="175"/>
      <c r="J406" s="197"/>
      <c r="K406" s="197"/>
      <c r="L406" s="197"/>
      <c r="M406" s="197"/>
      <c r="N406" s="197"/>
    </row>
    <row r="407">
      <c r="A407" s="197"/>
      <c r="B407" s="197"/>
      <c r="C407" s="197"/>
      <c r="D407" s="197"/>
      <c r="E407" s="197"/>
      <c r="F407" s="175"/>
      <c r="G407" s="197"/>
      <c r="H407" s="197"/>
      <c r="I407" s="175"/>
      <c r="J407" s="197"/>
      <c r="K407" s="197"/>
      <c r="L407" s="197"/>
      <c r="M407" s="197"/>
      <c r="N407" s="197"/>
    </row>
    <row r="408">
      <c r="A408" s="197"/>
      <c r="B408" s="197"/>
      <c r="C408" s="197"/>
      <c r="D408" s="197"/>
      <c r="E408" s="197"/>
      <c r="F408" s="175"/>
      <c r="G408" s="197"/>
      <c r="H408" s="197"/>
      <c r="I408" s="175"/>
      <c r="J408" s="197"/>
      <c r="K408" s="197"/>
      <c r="L408" s="197"/>
      <c r="M408" s="197"/>
      <c r="N408" s="197"/>
    </row>
    <row r="409">
      <c r="A409" s="197"/>
      <c r="B409" s="197"/>
      <c r="C409" s="197"/>
      <c r="D409" s="197"/>
      <c r="E409" s="197"/>
      <c r="F409" s="175"/>
      <c r="G409" s="197"/>
      <c r="H409" s="197"/>
      <c r="I409" s="175"/>
      <c r="J409" s="197"/>
      <c r="K409" s="197"/>
      <c r="L409" s="197"/>
      <c r="M409" s="197"/>
      <c r="N409" s="197"/>
    </row>
    <row r="410">
      <c r="A410" s="197"/>
      <c r="B410" s="197"/>
      <c r="C410" s="197"/>
      <c r="D410" s="197"/>
      <c r="E410" s="197"/>
      <c r="F410" s="175"/>
      <c r="G410" s="197"/>
      <c r="H410" s="197"/>
      <c r="I410" s="175"/>
      <c r="J410" s="197"/>
      <c r="K410" s="197"/>
      <c r="L410" s="197"/>
      <c r="M410" s="197"/>
      <c r="N410" s="197"/>
    </row>
    <row r="411">
      <c r="A411" s="197"/>
      <c r="B411" s="197"/>
      <c r="C411" s="197"/>
      <c r="D411" s="197"/>
      <c r="E411" s="197"/>
      <c r="F411" s="175"/>
      <c r="G411" s="197"/>
      <c r="H411" s="197"/>
      <c r="I411" s="175"/>
      <c r="J411" s="197"/>
      <c r="K411" s="197"/>
      <c r="L411" s="197"/>
      <c r="M411" s="197"/>
      <c r="N411" s="197"/>
    </row>
    <row r="412">
      <c r="A412" s="197"/>
      <c r="B412" s="197"/>
      <c r="C412" s="197"/>
      <c r="D412" s="197"/>
      <c r="E412" s="197"/>
      <c r="F412" s="175"/>
      <c r="G412" s="197"/>
      <c r="H412" s="197"/>
      <c r="I412" s="175"/>
      <c r="J412" s="197"/>
      <c r="K412" s="197"/>
      <c r="L412" s="197"/>
      <c r="M412" s="197"/>
      <c r="N412" s="197"/>
    </row>
    <row r="413">
      <c r="A413" s="197"/>
      <c r="B413" s="197"/>
      <c r="C413" s="197"/>
      <c r="D413" s="197"/>
      <c r="E413" s="197"/>
      <c r="F413" s="175"/>
      <c r="G413" s="197"/>
      <c r="H413" s="197"/>
      <c r="I413" s="175"/>
      <c r="J413" s="197"/>
      <c r="K413" s="197"/>
      <c r="L413" s="197"/>
      <c r="M413" s="197"/>
      <c r="N413" s="197"/>
    </row>
    <row r="414">
      <c r="A414" s="197"/>
      <c r="B414" s="197"/>
      <c r="C414" s="197"/>
      <c r="D414" s="197"/>
      <c r="E414" s="197"/>
      <c r="F414" s="175"/>
      <c r="G414" s="197"/>
      <c r="H414" s="197"/>
      <c r="I414" s="175"/>
      <c r="J414" s="197"/>
      <c r="K414" s="197"/>
      <c r="L414" s="197"/>
      <c r="M414" s="197"/>
      <c r="N414" s="197"/>
    </row>
    <row r="415">
      <c r="A415" s="197"/>
      <c r="B415" s="197"/>
      <c r="C415" s="197"/>
      <c r="D415" s="197"/>
      <c r="E415" s="197"/>
      <c r="F415" s="175"/>
      <c r="G415" s="197"/>
      <c r="H415" s="197"/>
      <c r="I415" s="175"/>
      <c r="J415" s="197"/>
      <c r="K415" s="197"/>
      <c r="L415" s="197"/>
      <c r="M415" s="197"/>
      <c r="N415" s="197"/>
    </row>
    <row r="416">
      <c r="A416" s="197"/>
      <c r="B416" s="197"/>
      <c r="C416" s="197"/>
      <c r="D416" s="197"/>
      <c r="E416" s="197"/>
      <c r="F416" s="175"/>
      <c r="G416" s="197"/>
      <c r="H416" s="197"/>
      <c r="I416" s="175"/>
      <c r="J416" s="197"/>
      <c r="K416" s="197"/>
      <c r="L416" s="197"/>
      <c r="M416" s="197"/>
      <c r="N416" s="197"/>
    </row>
    <row r="417">
      <c r="A417" s="197"/>
      <c r="B417" s="197"/>
      <c r="C417" s="197"/>
      <c r="D417" s="197"/>
      <c r="E417" s="197"/>
      <c r="F417" s="175"/>
      <c r="G417" s="197"/>
      <c r="H417" s="197"/>
      <c r="I417" s="175"/>
      <c r="J417" s="197"/>
      <c r="K417" s="197"/>
      <c r="L417" s="197"/>
      <c r="M417" s="197"/>
      <c r="N417" s="197"/>
    </row>
    <row r="418">
      <c r="A418" s="197"/>
      <c r="B418" s="197"/>
      <c r="C418" s="197"/>
      <c r="D418" s="197"/>
      <c r="E418" s="197"/>
      <c r="F418" s="175"/>
      <c r="G418" s="197"/>
      <c r="H418" s="197"/>
      <c r="I418" s="175"/>
      <c r="J418" s="197"/>
      <c r="K418" s="197"/>
      <c r="L418" s="197"/>
      <c r="M418" s="197"/>
      <c r="N418" s="197"/>
    </row>
    <row r="419">
      <c r="A419" s="197"/>
      <c r="B419" s="197"/>
      <c r="C419" s="197"/>
      <c r="D419" s="197"/>
      <c r="E419" s="197"/>
      <c r="F419" s="175"/>
      <c r="G419" s="197"/>
      <c r="H419" s="197"/>
      <c r="I419" s="175"/>
      <c r="J419" s="197"/>
      <c r="K419" s="197"/>
      <c r="L419" s="197"/>
      <c r="M419" s="197"/>
      <c r="N419" s="197"/>
    </row>
    <row r="420">
      <c r="A420" s="197"/>
      <c r="B420" s="197"/>
      <c r="C420" s="197"/>
      <c r="D420" s="197"/>
      <c r="E420" s="197"/>
      <c r="F420" s="175"/>
      <c r="G420" s="197"/>
      <c r="H420" s="197"/>
      <c r="I420" s="175"/>
      <c r="J420" s="197"/>
      <c r="K420" s="197"/>
      <c r="L420" s="197"/>
      <c r="M420" s="197"/>
      <c r="N420" s="197"/>
    </row>
    <row r="421">
      <c r="A421" s="197"/>
      <c r="B421" s="197"/>
      <c r="C421" s="197"/>
      <c r="D421" s="197"/>
      <c r="E421" s="197"/>
      <c r="F421" s="175"/>
      <c r="G421" s="197"/>
      <c r="H421" s="197"/>
      <c r="I421" s="175"/>
      <c r="J421" s="197"/>
      <c r="K421" s="197"/>
      <c r="L421" s="197"/>
      <c r="M421" s="197"/>
      <c r="N421" s="197"/>
    </row>
    <row r="422">
      <c r="A422" s="197"/>
      <c r="B422" s="197"/>
      <c r="C422" s="197"/>
      <c r="D422" s="197"/>
      <c r="E422" s="197"/>
      <c r="F422" s="175"/>
      <c r="G422" s="197"/>
      <c r="H422" s="197"/>
      <c r="I422" s="175"/>
      <c r="J422" s="197"/>
      <c r="K422" s="197"/>
      <c r="L422" s="197"/>
      <c r="M422" s="197"/>
      <c r="N422" s="197"/>
    </row>
    <row r="423">
      <c r="A423" s="197"/>
      <c r="B423" s="197"/>
      <c r="C423" s="197"/>
      <c r="D423" s="197"/>
      <c r="E423" s="197"/>
      <c r="F423" s="175"/>
      <c r="G423" s="197"/>
      <c r="H423" s="197"/>
      <c r="I423" s="175"/>
      <c r="J423" s="197"/>
      <c r="K423" s="197"/>
      <c r="L423" s="197"/>
      <c r="M423" s="197"/>
      <c r="N423" s="197"/>
    </row>
    <row r="424">
      <c r="A424" s="197"/>
      <c r="B424" s="197"/>
      <c r="C424" s="197"/>
      <c r="D424" s="197"/>
      <c r="E424" s="197"/>
      <c r="F424" s="175"/>
      <c r="G424" s="197"/>
      <c r="H424" s="197"/>
      <c r="I424" s="175"/>
      <c r="J424" s="197"/>
      <c r="K424" s="197"/>
      <c r="L424" s="197"/>
      <c r="M424" s="197"/>
      <c r="N424" s="197"/>
    </row>
    <row r="425">
      <c r="A425" s="197"/>
      <c r="B425" s="197"/>
      <c r="C425" s="197"/>
      <c r="D425" s="197"/>
      <c r="E425" s="197"/>
      <c r="F425" s="175"/>
      <c r="G425" s="197"/>
      <c r="H425" s="197"/>
      <c r="I425" s="175"/>
      <c r="J425" s="197"/>
      <c r="K425" s="197"/>
      <c r="L425" s="197"/>
      <c r="M425" s="197"/>
      <c r="N425" s="197"/>
    </row>
    <row r="426">
      <c r="A426" s="197"/>
      <c r="B426" s="197"/>
      <c r="C426" s="197"/>
      <c r="D426" s="197"/>
      <c r="E426" s="197"/>
      <c r="F426" s="175"/>
      <c r="G426" s="197"/>
      <c r="H426" s="197"/>
      <c r="I426" s="175"/>
      <c r="J426" s="197"/>
      <c r="K426" s="197"/>
      <c r="L426" s="197"/>
      <c r="M426" s="197"/>
      <c r="N426" s="197"/>
    </row>
    <row r="427">
      <c r="A427" s="197"/>
      <c r="B427" s="197"/>
      <c r="C427" s="197"/>
      <c r="D427" s="197"/>
      <c r="E427" s="197"/>
      <c r="F427" s="175"/>
      <c r="G427" s="197"/>
      <c r="H427" s="197"/>
      <c r="I427" s="175"/>
      <c r="J427" s="197"/>
      <c r="K427" s="197"/>
      <c r="L427" s="197"/>
      <c r="M427" s="197"/>
      <c r="N427" s="197"/>
    </row>
    <row r="428">
      <c r="A428" s="197"/>
      <c r="B428" s="197"/>
      <c r="C428" s="197"/>
      <c r="D428" s="197"/>
      <c r="E428" s="197"/>
      <c r="F428" s="175"/>
      <c r="G428" s="197"/>
      <c r="H428" s="197"/>
      <c r="I428" s="175"/>
      <c r="J428" s="197"/>
      <c r="K428" s="197"/>
      <c r="L428" s="197"/>
      <c r="M428" s="197"/>
      <c r="N428" s="197"/>
    </row>
    <row r="429">
      <c r="A429" s="197"/>
      <c r="B429" s="197"/>
      <c r="C429" s="197"/>
      <c r="D429" s="197"/>
      <c r="E429" s="197"/>
      <c r="F429" s="175"/>
      <c r="G429" s="197"/>
      <c r="H429" s="197"/>
      <c r="I429" s="175"/>
      <c r="J429" s="197"/>
      <c r="K429" s="197"/>
      <c r="L429" s="197"/>
      <c r="M429" s="197"/>
      <c r="N429" s="197"/>
    </row>
    <row r="430">
      <c r="A430" s="197"/>
      <c r="B430" s="197"/>
      <c r="C430" s="197"/>
      <c r="D430" s="197"/>
      <c r="E430" s="197"/>
      <c r="F430" s="175"/>
      <c r="G430" s="197"/>
      <c r="H430" s="197"/>
      <c r="I430" s="175"/>
      <c r="J430" s="197"/>
      <c r="K430" s="197"/>
      <c r="L430" s="197"/>
      <c r="M430" s="197"/>
      <c r="N430" s="197"/>
    </row>
    <row r="431">
      <c r="A431" s="197"/>
      <c r="B431" s="197"/>
      <c r="C431" s="197"/>
      <c r="D431" s="197"/>
      <c r="E431" s="197"/>
      <c r="F431" s="175"/>
      <c r="G431" s="197"/>
      <c r="H431" s="197"/>
      <c r="I431" s="175"/>
      <c r="J431" s="197"/>
      <c r="K431" s="197"/>
      <c r="L431" s="197"/>
      <c r="M431" s="197"/>
      <c r="N431" s="197"/>
    </row>
    <row r="432">
      <c r="A432" s="197"/>
      <c r="B432" s="197"/>
      <c r="C432" s="197"/>
      <c r="D432" s="197"/>
      <c r="E432" s="197"/>
      <c r="F432" s="175"/>
      <c r="G432" s="197"/>
      <c r="H432" s="197"/>
      <c r="I432" s="175"/>
      <c r="J432" s="197"/>
      <c r="K432" s="197"/>
      <c r="L432" s="197"/>
      <c r="M432" s="197"/>
      <c r="N432" s="197"/>
    </row>
    <row r="433">
      <c r="A433" s="197"/>
      <c r="B433" s="197"/>
      <c r="C433" s="197"/>
      <c r="D433" s="197"/>
      <c r="E433" s="197"/>
      <c r="F433" s="175"/>
      <c r="G433" s="197"/>
      <c r="H433" s="197"/>
      <c r="I433" s="175"/>
      <c r="J433" s="197"/>
      <c r="K433" s="197"/>
      <c r="L433" s="197"/>
      <c r="M433" s="197"/>
      <c r="N433" s="197"/>
    </row>
    <row r="434">
      <c r="A434" s="197"/>
      <c r="B434" s="197"/>
      <c r="C434" s="197"/>
      <c r="D434" s="197"/>
      <c r="E434" s="197"/>
      <c r="F434" s="175"/>
      <c r="G434" s="197"/>
      <c r="H434" s="197"/>
      <c r="I434" s="175"/>
      <c r="J434" s="197"/>
      <c r="K434" s="197"/>
      <c r="L434" s="197"/>
      <c r="M434" s="197"/>
      <c r="N434" s="197"/>
    </row>
    <row r="435">
      <c r="A435" s="197"/>
      <c r="B435" s="197"/>
      <c r="C435" s="197"/>
      <c r="D435" s="197"/>
      <c r="E435" s="197"/>
      <c r="F435" s="175"/>
      <c r="G435" s="197"/>
      <c r="H435" s="197"/>
      <c r="I435" s="175"/>
      <c r="J435" s="197"/>
      <c r="K435" s="197"/>
      <c r="L435" s="197"/>
      <c r="M435" s="197"/>
      <c r="N435" s="197"/>
    </row>
    <row r="436">
      <c r="A436" s="197"/>
      <c r="B436" s="197"/>
      <c r="C436" s="197"/>
      <c r="D436" s="197"/>
      <c r="E436" s="197"/>
      <c r="F436" s="175"/>
      <c r="G436" s="197"/>
      <c r="H436" s="197"/>
      <c r="I436" s="175"/>
      <c r="J436" s="197"/>
      <c r="K436" s="197"/>
      <c r="L436" s="197"/>
      <c r="M436" s="197"/>
      <c r="N436" s="197"/>
    </row>
    <row r="437">
      <c r="A437" s="197"/>
      <c r="B437" s="197"/>
      <c r="C437" s="197"/>
      <c r="D437" s="197"/>
      <c r="E437" s="197"/>
      <c r="F437" s="175"/>
      <c r="G437" s="197"/>
      <c r="H437" s="197"/>
      <c r="I437" s="175"/>
      <c r="J437" s="197"/>
      <c r="K437" s="197"/>
      <c r="L437" s="197"/>
      <c r="M437" s="197"/>
      <c r="N437" s="197"/>
    </row>
    <row r="438">
      <c r="A438" s="197"/>
      <c r="B438" s="197"/>
      <c r="C438" s="197"/>
      <c r="D438" s="197"/>
      <c r="E438" s="197"/>
      <c r="F438" s="175"/>
      <c r="G438" s="197"/>
      <c r="H438" s="197"/>
      <c r="I438" s="175"/>
      <c r="J438" s="197"/>
      <c r="K438" s="197"/>
      <c r="L438" s="197"/>
      <c r="M438" s="197"/>
      <c r="N438" s="197"/>
    </row>
    <row r="439">
      <c r="A439" s="197"/>
      <c r="B439" s="197"/>
      <c r="C439" s="197"/>
      <c r="D439" s="197"/>
      <c r="E439" s="197"/>
      <c r="F439" s="175"/>
      <c r="G439" s="197"/>
      <c r="H439" s="197"/>
      <c r="I439" s="175"/>
      <c r="J439" s="197"/>
      <c r="K439" s="197"/>
      <c r="L439" s="197"/>
      <c r="M439" s="197"/>
      <c r="N439" s="197"/>
    </row>
    <row r="440">
      <c r="A440" s="197"/>
      <c r="B440" s="197"/>
      <c r="C440" s="197"/>
      <c r="D440" s="197"/>
      <c r="E440" s="197"/>
      <c r="F440" s="175"/>
      <c r="G440" s="197"/>
      <c r="H440" s="197"/>
      <c r="I440" s="175"/>
      <c r="J440" s="197"/>
      <c r="K440" s="197"/>
      <c r="L440" s="197"/>
      <c r="M440" s="197"/>
      <c r="N440" s="197"/>
    </row>
    <row r="441">
      <c r="A441" s="197"/>
      <c r="B441" s="197"/>
      <c r="C441" s="197"/>
      <c r="D441" s="197"/>
      <c r="E441" s="197"/>
      <c r="F441" s="175"/>
      <c r="G441" s="197"/>
      <c r="H441" s="197"/>
      <c r="I441" s="175"/>
      <c r="J441" s="197"/>
      <c r="K441" s="197"/>
      <c r="L441" s="197"/>
      <c r="M441" s="197"/>
      <c r="N441" s="197"/>
    </row>
    <row r="442">
      <c r="A442" s="197"/>
      <c r="B442" s="197"/>
      <c r="C442" s="197"/>
      <c r="D442" s="197"/>
      <c r="E442" s="197"/>
      <c r="F442" s="175"/>
      <c r="G442" s="197"/>
      <c r="H442" s="197"/>
      <c r="I442" s="175"/>
      <c r="J442" s="197"/>
      <c r="K442" s="197"/>
      <c r="L442" s="197"/>
      <c r="M442" s="197"/>
      <c r="N442" s="197"/>
    </row>
    <row r="443">
      <c r="A443" s="197"/>
      <c r="B443" s="197"/>
      <c r="C443" s="197"/>
      <c r="D443" s="197"/>
      <c r="E443" s="197"/>
      <c r="F443" s="175"/>
      <c r="G443" s="197"/>
      <c r="H443" s="197"/>
      <c r="I443" s="175"/>
      <c r="J443" s="197"/>
      <c r="K443" s="197"/>
      <c r="L443" s="197"/>
      <c r="M443" s="197"/>
      <c r="N443" s="197"/>
    </row>
    <row r="444">
      <c r="A444" s="197"/>
      <c r="B444" s="197"/>
      <c r="C444" s="197"/>
      <c r="D444" s="197"/>
      <c r="E444" s="197"/>
      <c r="F444" s="175"/>
      <c r="G444" s="197"/>
      <c r="H444" s="197"/>
      <c r="I444" s="175"/>
      <c r="J444" s="197"/>
      <c r="K444" s="197"/>
      <c r="L444" s="197"/>
      <c r="M444" s="197"/>
      <c r="N444" s="197"/>
    </row>
    <row r="445">
      <c r="A445" s="197"/>
      <c r="B445" s="197"/>
      <c r="C445" s="197"/>
      <c r="D445" s="197"/>
      <c r="E445" s="197"/>
      <c r="F445" s="175"/>
      <c r="G445" s="197"/>
      <c r="H445" s="197"/>
      <c r="I445" s="175"/>
      <c r="J445" s="197"/>
      <c r="K445" s="197"/>
      <c r="L445" s="197"/>
      <c r="M445" s="197"/>
      <c r="N445" s="197"/>
    </row>
    <row r="446">
      <c r="A446" s="197"/>
      <c r="B446" s="197"/>
      <c r="C446" s="197"/>
      <c r="D446" s="197"/>
      <c r="E446" s="197"/>
      <c r="F446" s="175"/>
      <c r="G446" s="197"/>
      <c r="H446" s="197"/>
      <c r="I446" s="175"/>
      <c r="J446" s="197"/>
      <c r="K446" s="197"/>
      <c r="L446" s="197"/>
      <c r="M446" s="197"/>
      <c r="N446" s="197"/>
    </row>
    <row r="447">
      <c r="A447" s="197"/>
      <c r="B447" s="197"/>
      <c r="C447" s="197"/>
      <c r="D447" s="197"/>
      <c r="E447" s="197"/>
      <c r="F447" s="175"/>
      <c r="G447" s="197"/>
      <c r="H447" s="197"/>
      <c r="I447" s="175"/>
      <c r="J447" s="197"/>
      <c r="K447" s="197"/>
      <c r="L447" s="197"/>
      <c r="M447" s="197"/>
      <c r="N447" s="197"/>
    </row>
    <row r="448">
      <c r="A448" s="197"/>
      <c r="B448" s="197"/>
      <c r="C448" s="197"/>
      <c r="D448" s="197"/>
      <c r="E448" s="197"/>
      <c r="F448" s="175"/>
      <c r="G448" s="197"/>
      <c r="H448" s="197"/>
      <c r="I448" s="175"/>
      <c r="J448" s="197"/>
      <c r="K448" s="197"/>
      <c r="L448" s="197"/>
      <c r="M448" s="197"/>
      <c r="N448" s="197"/>
    </row>
    <row r="449">
      <c r="A449" s="197"/>
      <c r="B449" s="197"/>
      <c r="C449" s="197"/>
      <c r="D449" s="197"/>
      <c r="E449" s="197"/>
      <c r="F449" s="175"/>
      <c r="G449" s="197"/>
      <c r="H449" s="197"/>
      <c r="I449" s="175"/>
      <c r="J449" s="197"/>
      <c r="K449" s="197"/>
      <c r="L449" s="197"/>
      <c r="M449" s="197"/>
      <c r="N449" s="197"/>
    </row>
    <row r="450">
      <c r="A450" s="197"/>
      <c r="B450" s="197"/>
      <c r="C450" s="197"/>
      <c r="D450" s="197"/>
      <c r="E450" s="197"/>
      <c r="F450" s="175"/>
      <c r="G450" s="197"/>
      <c r="H450" s="197"/>
      <c r="I450" s="175"/>
      <c r="J450" s="197"/>
      <c r="K450" s="197"/>
      <c r="L450" s="197"/>
      <c r="M450" s="197"/>
      <c r="N450" s="197"/>
    </row>
    <row r="451">
      <c r="A451" s="197"/>
      <c r="B451" s="197"/>
      <c r="C451" s="197"/>
      <c r="D451" s="197"/>
      <c r="E451" s="197"/>
      <c r="F451" s="175"/>
      <c r="G451" s="197"/>
      <c r="H451" s="197"/>
      <c r="I451" s="175"/>
      <c r="J451" s="197"/>
      <c r="K451" s="197"/>
      <c r="L451" s="197"/>
      <c r="M451" s="197"/>
      <c r="N451" s="197"/>
    </row>
    <row r="452">
      <c r="A452" s="197"/>
      <c r="B452" s="197"/>
      <c r="C452" s="197"/>
      <c r="D452" s="197"/>
      <c r="E452" s="197"/>
      <c r="F452" s="175"/>
      <c r="G452" s="197"/>
      <c r="H452" s="197"/>
      <c r="I452" s="175"/>
      <c r="J452" s="197"/>
      <c r="K452" s="197"/>
      <c r="L452" s="197"/>
      <c r="M452" s="197"/>
      <c r="N452" s="197"/>
    </row>
    <row r="453">
      <c r="A453" s="197"/>
      <c r="B453" s="197"/>
      <c r="C453" s="197"/>
      <c r="D453" s="197"/>
      <c r="E453" s="197"/>
      <c r="F453" s="175"/>
      <c r="G453" s="197"/>
      <c r="H453" s="197"/>
      <c r="I453" s="175"/>
      <c r="J453" s="197"/>
      <c r="K453" s="197"/>
      <c r="L453" s="197"/>
      <c r="M453" s="197"/>
      <c r="N453" s="197"/>
    </row>
    <row r="454">
      <c r="A454" s="197"/>
      <c r="B454" s="197"/>
      <c r="C454" s="197"/>
      <c r="D454" s="197"/>
      <c r="E454" s="197"/>
      <c r="F454" s="175"/>
      <c r="G454" s="197"/>
      <c r="H454" s="197"/>
      <c r="I454" s="175"/>
      <c r="J454" s="197"/>
      <c r="K454" s="197"/>
      <c r="L454" s="197"/>
      <c r="M454" s="197"/>
      <c r="N454" s="197"/>
    </row>
    <row r="455">
      <c r="A455" s="197"/>
      <c r="B455" s="197"/>
      <c r="C455" s="197"/>
      <c r="D455" s="197"/>
      <c r="E455" s="197"/>
      <c r="F455" s="175"/>
      <c r="G455" s="197"/>
      <c r="H455" s="197"/>
      <c r="I455" s="175"/>
      <c r="J455" s="197"/>
      <c r="K455" s="197"/>
      <c r="L455" s="197"/>
      <c r="M455" s="197"/>
      <c r="N455" s="197"/>
    </row>
    <row r="456">
      <c r="A456" s="197"/>
      <c r="B456" s="197"/>
      <c r="C456" s="197"/>
      <c r="D456" s="197"/>
      <c r="E456" s="197"/>
      <c r="F456" s="175"/>
      <c r="G456" s="197"/>
      <c r="H456" s="197"/>
      <c r="I456" s="175"/>
      <c r="J456" s="197"/>
      <c r="K456" s="197"/>
      <c r="L456" s="197"/>
      <c r="M456" s="197"/>
      <c r="N456" s="197"/>
    </row>
    <row r="457">
      <c r="A457" s="197"/>
      <c r="B457" s="197"/>
      <c r="C457" s="197"/>
      <c r="D457" s="197"/>
      <c r="E457" s="197"/>
      <c r="F457" s="175"/>
      <c r="G457" s="197"/>
      <c r="H457" s="197"/>
      <c r="I457" s="175"/>
      <c r="J457" s="197"/>
      <c r="K457" s="197"/>
      <c r="L457" s="197"/>
      <c r="M457" s="197"/>
      <c r="N457" s="197"/>
    </row>
    <row r="458">
      <c r="A458" s="197"/>
      <c r="B458" s="197"/>
      <c r="C458" s="197"/>
      <c r="D458" s="197"/>
      <c r="E458" s="197"/>
      <c r="F458" s="175"/>
      <c r="G458" s="197"/>
      <c r="H458" s="197"/>
      <c r="I458" s="175"/>
      <c r="J458" s="197"/>
      <c r="K458" s="197"/>
      <c r="L458" s="197"/>
      <c r="M458" s="197"/>
      <c r="N458" s="197"/>
    </row>
    <row r="459">
      <c r="A459" s="197"/>
      <c r="B459" s="197"/>
      <c r="C459" s="197"/>
      <c r="D459" s="197"/>
      <c r="E459" s="197"/>
      <c r="F459" s="175"/>
      <c r="G459" s="197"/>
      <c r="H459" s="197"/>
      <c r="I459" s="175"/>
      <c r="J459" s="197"/>
      <c r="K459" s="197"/>
      <c r="L459" s="197"/>
      <c r="M459" s="197"/>
      <c r="N459" s="197"/>
    </row>
    <row r="460">
      <c r="A460" s="197"/>
      <c r="B460" s="197"/>
      <c r="C460" s="197"/>
      <c r="D460" s="197"/>
      <c r="E460" s="197"/>
      <c r="F460" s="175"/>
      <c r="G460" s="197"/>
      <c r="H460" s="197"/>
      <c r="I460" s="175"/>
      <c r="J460" s="197"/>
      <c r="K460" s="197"/>
      <c r="L460" s="197"/>
      <c r="M460" s="197"/>
      <c r="N460" s="197"/>
    </row>
    <row r="461">
      <c r="A461" s="197"/>
      <c r="B461" s="197"/>
      <c r="C461" s="197"/>
      <c r="D461" s="197"/>
      <c r="E461" s="197"/>
      <c r="F461" s="175"/>
      <c r="G461" s="197"/>
      <c r="H461" s="197"/>
      <c r="I461" s="175"/>
      <c r="J461" s="197"/>
      <c r="K461" s="197"/>
      <c r="L461" s="197"/>
      <c r="M461" s="197"/>
      <c r="N461" s="197"/>
    </row>
    <row r="462">
      <c r="A462" s="197"/>
      <c r="B462" s="197"/>
      <c r="C462" s="197"/>
      <c r="D462" s="197"/>
      <c r="E462" s="197"/>
      <c r="F462" s="175"/>
      <c r="G462" s="197"/>
      <c r="H462" s="197"/>
      <c r="I462" s="175"/>
      <c r="J462" s="197"/>
      <c r="K462" s="197"/>
      <c r="L462" s="197"/>
      <c r="M462" s="197"/>
      <c r="N462" s="197"/>
    </row>
    <row r="463">
      <c r="A463" s="197"/>
      <c r="B463" s="197"/>
      <c r="C463" s="197"/>
      <c r="D463" s="197"/>
      <c r="E463" s="197"/>
      <c r="F463" s="175"/>
      <c r="G463" s="197"/>
      <c r="H463" s="197"/>
      <c r="I463" s="175"/>
      <c r="J463" s="197"/>
      <c r="K463" s="197"/>
      <c r="L463" s="197"/>
      <c r="M463" s="197"/>
      <c r="N463" s="197"/>
    </row>
    <row r="464">
      <c r="A464" s="197"/>
      <c r="B464" s="197"/>
      <c r="C464" s="197"/>
      <c r="D464" s="197"/>
      <c r="E464" s="197"/>
      <c r="F464" s="175"/>
      <c r="G464" s="197"/>
      <c r="H464" s="197"/>
      <c r="I464" s="175"/>
      <c r="J464" s="197"/>
      <c r="K464" s="197"/>
      <c r="L464" s="197"/>
      <c r="M464" s="197"/>
      <c r="N464" s="197"/>
    </row>
    <row r="465">
      <c r="A465" s="197"/>
      <c r="B465" s="197"/>
      <c r="C465" s="197"/>
      <c r="D465" s="197"/>
      <c r="E465" s="197"/>
      <c r="F465" s="175"/>
      <c r="G465" s="197"/>
      <c r="H465" s="197"/>
      <c r="I465" s="175"/>
      <c r="J465" s="197"/>
      <c r="K465" s="197"/>
      <c r="L465" s="197"/>
      <c r="M465" s="197"/>
      <c r="N465" s="197"/>
    </row>
    <row r="466">
      <c r="A466" s="197"/>
      <c r="B466" s="197"/>
      <c r="C466" s="197"/>
      <c r="D466" s="197"/>
      <c r="E466" s="197"/>
      <c r="F466" s="175"/>
      <c r="G466" s="197"/>
      <c r="H466" s="197"/>
      <c r="I466" s="175"/>
      <c r="J466" s="197"/>
      <c r="K466" s="197"/>
      <c r="L466" s="197"/>
      <c r="M466" s="197"/>
      <c r="N466" s="197"/>
    </row>
    <row r="467">
      <c r="A467" s="197"/>
      <c r="B467" s="197"/>
      <c r="C467" s="197"/>
      <c r="D467" s="197"/>
      <c r="E467" s="197"/>
      <c r="F467" s="175"/>
      <c r="G467" s="197"/>
      <c r="H467" s="197"/>
      <c r="I467" s="175"/>
      <c r="J467" s="197"/>
      <c r="K467" s="197"/>
      <c r="L467" s="197"/>
      <c r="M467" s="197"/>
      <c r="N467" s="197"/>
    </row>
    <row r="468">
      <c r="A468" s="197"/>
      <c r="B468" s="197"/>
      <c r="C468" s="197"/>
      <c r="D468" s="197"/>
      <c r="E468" s="197"/>
      <c r="F468" s="175"/>
      <c r="G468" s="197"/>
      <c r="H468" s="197"/>
      <c r="I468" s="175"/>
      <c r="J468" s="197"/>
      <c r="K468" s="197"/>
      <c r="L468" s="197"/>
      <c r="M468" s="197"/>
      <c r="N468" s="197"/>
    </row>
    <row r="469">
      <c r="A469" s="197"/>
      <c r="B469" s="197"/>
      <c r="C469" s="197"/>
      <c r="D469" s="197"/>
      <c r="E469" s="197"/>
      <c r="F469" s="175"/>
      <c r="G469" s="197"/>
      <c r="H469" s="197"/>
      <c r="I469" s="175"/>
      <c r="J469" s="197"/>
      <c r="K469" s="197"/>
      <c r="L469" s="197"/>
      <c r="M469" s="197"/>
      <c r="N469" s="197"/>
    </row>
    <row r="470">
      <c r="A470" s="197"/>
      <c r="B470" s="197"/>
      <c r="C470" s="197"/>
      <c r="D470" s="197"/>
      <c r="E470" s="197"/>
      <c r="F470" s="175"/>
      <c r="G470" s="197"/>
      <c r="H470" s="197"/>
      <c r="I470" s="175"/>
      <c r="J470" s="197"/>
      <c r="K470" s="197"/>
      <c r="L470" s="197"/>
      <c r="M470" s="197"/>
      <c r="N470" s="197"/>
    </row>
    <row r="471">
      <c r="A471" s="197"/>
      <c r="B471" s="197"/>
      <c r="C471" s="197"/>
      <c r="D471" s="197"/>
      <c r="E471" s="197"/>
      <c r="F471" s="175"/>
      <c r="G471" s="197"/>
      <c r="H471" s="197"/>
      <c r="I471" s="175"/>
      <c r="J471" s="197"/>
      <c r="K471" s="197"/>
      <c r="L471" s="197"/>
      <c r="M471" s="197"/>
      <c r="N471" s="197"/>
    </row>
    <row r="472">
      <c r="A472" s="197"/>
      <c r="B472" s="197"/>
      <c r="C472" s="197"/>
      <c r="D472" s="197"/>
      <c r="E472" s="197"/>
      <c r="F472" s="175"/>
      <c r="G472" s="197"/>
      <c r="H472" s="197"/>
      <c r="I472" s="175"/>
      <c r="J472" s="197"/>
      <c r="K472" s="197"/>
      <c r="L472" s="197"/>
      <c r="M472" s="197"/>
      <c r="N472" s="197"/>
    </row>
    <row r="473">
      <c r="A473" s="197"/>
      <c r="B473" s="197"/>
      <c r="C473" s="197"/>
      <c r="D473" s="197"/>
      <c r="E473" s="197"/>
      <c r="F473" s="175"/>
      <c r="G473" s="197"/>
      <c r="H473" s="197"/>
      <c r="I473" s="175"/>
      <c r="J473" s="197"/>
      <c r="K473" s="197"/>
      <c r="L473" s="197"/>
      <c r="M473" s="197"/>
      <c r="N473" s="197"/>
    </row>
    <row r="474">
      <c r="A474" s="197"/>
      <c r="B474" s="197"/>
      <c r="C474" s="197"/>
      <c r="D474" s="197"/>
      <c r="E474" s="197"/>
      <c r="F474" s="175"/>
      <c r="G474" s="197"/>
      <c r="H474" s="197"/>
      <c r="I474" s="175"/>
      <c r="J474" s="197"/>
      <c r="K474" s="197"/>
      <c r="L474" s="197"/>
      <c r="M474" s="197"/>
      <c r="N474" s="197"/>
    </row>
    <row r="475">
      <c r="A475" s="197"/>
      <c r="B475" s="197"/>
      <c r="C475" s="197"/>
      <c r="D475" s="197"/>
      <c r="E475" s="197"/>
      <c r="F475" s="175"/>
      <c r="G475" s="197"/>
      <c r="H475" s="197"/>
      <c r="I475" s="175"/>
      <c r="J475" s="197"/>
      <c r="K475" s="197"/>
      <c r="L475" s="197"/>
      <c r="M475" s="197"/>
      <c r="N475" s="197"/>
    </row>
    <row r="476">
      <c r="A476" s="197"/>
      <c r="B476" s="197"/>
      <c r="C476" s="197"/>
      <c r="D476" s="197"/>
      <c r="E476" s="197"/>
      <c r="F476" s="175"/>
      <c r="G476" s="197"/>
      <c r="H476" s="197"/>
      <c r="I476" s="175"/>
      <c r="J476" s="197"/>
      <c r="K476" s="197"/>
      <c r="L476" s="197"/>
      <c r="M476" s="197"/>
      <c r="N476" s="197"/>
    </row>
    <row r="477">
      <c r="A477" s="197"/>
      <c r="B477" s="197"/>
      <c r="C477" s="197"/>
      <c r="D477" s="197"/>
      <c r="E477" s="197"/>
      <c r="F477" s="175"/>
      <c r="G477" s="197"/>
      <c r="H477" s="197"/>
      <c r="I477" s="175"/>
      <c r="J477" s="197"/>
      <c r="K477" s="197"/>
      <c r="L477" s="197"/>
      <c r="M477" s="197"/>
      <c r="N477" s="197"/>
    </row>
    <row r="478">
      <c r="A478" s="197"/>
      <c r="B478" s="197"/>
      <c r="C478" s="197"/>
      <c r="D478" s="197"/>
      <c r="E478" s="197"/>
      <c r="F478" s="175"/>
      <c r="G478" s="197"/>
      <c r="H478" s="197"/>
      <c r="I478" s="175"/>
      <c r="J478" s="197"/>
      <c r="K478" s="197"/>
      <c r="L478" s="197"/>
      <c r="M478" s="197"/>
      <c r="N478" s="197"/>
    </row>
    <row r="479">
      <c r="A479" s="197"/>
      <c r="B479" s="197"/>
      <c r="C479" s="197"/>
      <c r="D479" s="197"/>
      <c r="E479" s="197"/>
      <c r="F479" s="175"/>
      <c r="G479" s="197"/>
      <c r="H479" s="197"/>
      <c r="I479" s="175"/>
      <c r="J479" s="197"/>
      <c r="K479" s="197"/>
      <c r="L479" s="197"/>
      <c r="M479" s="197"/>
      <c r="N479" s="197"/>
    </row>
    <row r="480">
      <c r="A480" s="197"/>
      <c r="B480" s="197"/>
      <c r="C480" s="197"/>
      <c r="D480" s="197"/>
      <c r="E480" s="197"/>
      <c r="F480" s="175"/>
      <c r="G480" s="197"/>
      <c r="H480" s="197"/>
      <c r="I480" s="175"/>
      <c r="J480" s="197"/>
      <c r="K480" s="197"/>
      <c r="L480" s="197"/>
      <c r="M480" s="197"/>
      <c r="N480" s="197"/>
    </row>
    <row r="481">
      <c r="A481" s="197"/>
      <c r="B481" s="197"/>
      <c r="C481" s="197"/>
      <c r="D481" s="197"/>
      <c r="E481" s="197"/>
      <c r="F481" s="175"/>
      <c r="G481" s="197"/>
      <c r="H481" s="197"/>
      <c r="I481" s="175"/>
      <c r="J481" s="197"/>
      <c r="K481" s="197"/>
      <c r="L481" s="197"/>
      <c r="M481" s="197"/>
      <c r="N481" s="197"/>
    </row>
    <row r="482">
      <c r="A482" s="197"/>
      <c r="B482" s="197"/>
      <c r="C482" s="197"/>
      <c r="D482" s="197"/>
      <c r="E482" s="197"/>
      <c r="F482" s="175"/>
      <c r="G482" s="197"/>
      <c r="H482" s="197"/>
      <c r="I482" s="175"/>
      <c r="J482" s="197"/>
      <c r="K482" s="197"/>
      <c r="L482" s="197"/>
      <c r="M482" s="197"/>
      <c r="N482" s="197"/>
    </row>
    <row r="483">
      <c r="A483" s="197"/>
      <c r="B483" s="197"/>
      <c r="C483" s="197"/>
      <c r="D483" s="197"/>
      <c r="E483" s="197"/>
      <c r="F483" s="175"/>
      <c r="G483" s="197"/>
      <c r="H483" s="197"/>
      <c r="I483" s="175"/>
      <c r="J483" s="197"/>
      <c r="K483" s="197"/>
      <c r="L483" s="197"/>
      <c r="M483" s="197"/>
      <c r="N483" s="197"/>
    </row>
    <row r="484">
      <c r="A484" s="197"/>
      <c r="B484" s="197"/>
      <c r="C484" s="197"/>
      <c r="D484" s="197"/>
      <c r="E484" s="197"/>
      <c r="F484" s="175"/>
      <c r="G484" s="197"/>
      <c r="H484" s="197"/>
      <c r="I484" s="175"/>
      <c r="J484" s="197"/>
      <c r="K484" s="197"/>
      <c r="L484" s="197"/>
      <c r="M484" s="197"/>
      <c r="N484" s="197"/>
    </row>
    <row r="485">
      <c r="A485" s="197"/>
      <c r="B485" s="197"/>
      <c r="C485" s="197"/>
      <c r="D485" s="197"/>
      <c r="E485" s="197"/>
      <c r="F485" s="175"/>
      <c r="G485" s="197"/>
      <c r="H485" s="197"/>
      <c r="I485" s="175"/>
      <c r="J485" s="197"/>
      <c r="K485" s="197"/>
      <c r="L485" s="197"/>
      <c r="M485" s="197"/>
      <c r="N485" s="197"/>
    </row>
    <row r="486">
      <c r="A486" s="197"/>
      <c r="B486" s="197"/>
      <c r="C486" s="197"/>
      <c r="D486" s="197"/>
      <c r="E486" s="197"/>
      <c r="F486" s="175"/>
      <c r="G486" s="197"/>
      <c r="H486" s="197"/>
      <c r="I486" s="175"/>
      <c r="J486" s="197"/>
      <c r="K486" s="197"/>
      <c r="L486" s="197"/>
      <c r="M486" s="197"/>
      <c r="N486" s="197"/>
    </row>
    <row r="487">
      <c r="A487" s="197"/>
      <c r="B487" s="197"/>
      <c r="C487" s="197"/>
      <c r="D487" s="197"/>
      <c r="E487" s="197"/>
      <c r="F487" s="175"/>
      <c r="G487" s="197"/>
      <c r="H487" s="197"/>
      <c r="I487" s="175"/>
      <c r="J487" s="197"/>
      <c r="K487" s="197"/>
      <c r="L487" s="197"/>
      <c r="M487" s="197"/>
      <c r="N487" s="197"/>
    </row>
    <row r="488">
      <c r="A488" s="197"/>
      <c r="B488" s="197"/>
      <c r="C488" s="197"/>
      <c r="D488" s="197"/>
      <c r="E488" s="197"/>
      <c r="F488" s="175"/>
      <c r="G488" s="197"/>
      <c r="H488" s="197"/>
      <c r="I488" s="175"/>
      <c r="J488" s="197"/>
      <c r="K488" s="197"/>
      <c r="L488" s="197"/>
      <c r="M488" s="197"/>
      <c r="N488" s="197"/>
    </row>
    <row r="489">
      <c r="A489" s="197"/>
      <c r="B489" s="197"/>
      <c r="C489" s="197"/>
      <c r="D489" s="197"/>
      <c r="E489" s="197"/>
      <c r="F489" s="175"/>
      <c r="G489" s="197"/>
      <c r="H489" s="197"/>
      <c r="I489" s="175"/>
      <c r="J489" s="197"/>
      <c r="K489" s="197"/>
      <c r="L489" s="197"/>
      <c r="M489" s="197"/>
      <c r="N489" s="197"/>
    </row>
    <row r="490">
      <c r="A490" s="197"/>
      <c r="B490" s="197"/>
      <c r="C490" s="197"/>
      <c r="D490" s="197"/>
      <c r="E490" s="197"/>
      <c r="F490" s="175"/>
      <c r="G490" s="197"/>
      <c r="H490" s="197"/>
      <c r="I490" s="175"/>
      <c r="J490" s="197"/>
      <c r="K490" s="197"/>
      <c r="L490" s="197"/>
      <c r="M490" s="197"/>
      <c r="N490" s="197"/>
    </row>
    <row r="491">
      <c r="A491" s="197"/>
      <c r="B491" s="197"/>
      <c r="C491" s="197"/>
      <c r="D491" s="197"/>
      <c r="E491" s="197"/>
      <c r="F491" s="175"/>
      <c r="G491" s="197"/>
      <c r="H491" s="197"/>
      <c r="I491" s="175"/>
      <c r="J491" s="197"/>
      <c r="K491" s="197"/>
      <c r="L491" s="197"/>
      <c r="M491" s="197"/>
      <c r="N491" s="197"/>
    </row>
    <row r="492">
      <c r="A492" s="197"/>
      <c r="B492" s="197"/>
      <c r="C492" s="197"/>
      <c r="D492" s="197"/>
      <c r="E492" s="197"/>
      <c r="F492" s="175"/>
      <c r="G492" s="197"/>
      <c r="H492" s="197"/>
      <c r="I492" s="175"/>
      <c r="J492" s="197"/>
      <c r="K492" s="197"/>
      <c r="L492" s="197"/>
      <c r="M492" s="197"/>
      <c r="N492" s="197"/>
    </row>
    <row r="493">
      <c r="A493" s="197"/>
      <c r="B493" s="197"/>
      <c r="C493" s="197"/>
      <c r="D493" s="197"/>
      <c r="E493" s="197"/>
      <c r="F493" s="175"/>
      <c r="G493" s="197"/>
      <c r="H493" s="197"/>
      <c r="I493" s="175"/>
      <c r="J493" s="197"/>
      <c r="K493" s="197"/>
      <c r="L493" s="197"/>
      <c r="M493" s="197"/>
      <c r="N493" s="197"/>
    </row>
    <row r="494">
      <c r="A494" s="197"/>
      <c r="B494" s="197"/>
      <c r="C494" s="197"/>
      <c r="D494" s="197"/>
      <c r="E494" s="197"/>
      <c r="F494" s="175"/>
      <c r="G494" s="197"/>
      <c r="H494" s="197"/>
      <c r="I494" s="175"/>
      <c r="J494" s="197"/>
      <c r="K494" s="197"/>
      <c r="L494" s="197"/>
      <c r="M494" s="197"/>
      <c r="N494" s="197"/>
    </row>
    <row r="495">
      <c r="A495" s="197"/>
      <c r="B495" s="197"/>
      <c r="C495" s="197"/>
      <c r="D495" s="197"/>
      <c r="E495" s="197"/>
      <c r="F495" s="175"/>
      <c r="G495" s="197"/>
      <c r="H495" s="197"/>
      <c r="I495" s="175"/>
      <c r="J495" s="197"/>
      <c r="K495" s="197"/>
      <c r="L495" s="197"/>
      <c r="M495" s="197"/>
      <c r="N495" s="197"/>
    </row>
    <row r="496">
      <c r="A496" s="197"/>
      <c r="B496" s="197"/>
      <c r="C496" s="197"/>
      <c r="D496" s="197"/>
      <c r="E496" s="197"/>
      <c r="F496" s="175"/>
      <c r="G496" s="197"/>
      <c r="H496" s="197"/>
      <c r="I496" s="175"/>
      <c r="J496" s="197"/>
      <c r="K496" s="197"/>
      <c r="L496" s="197"/>
      <c r="M496" s="197"/>
      <c r="N496" s="197"/>
    </row>
    <row r="497">
      <c r="A497" s="197"/>
      <c r="B497" s="197"/>
      <c r="C497" s="197"/>
      <c r="D497" s="197"/>
      <c r="E497" s="197"/>
      <c r="F497" s="175"/>
      <c r="G497" s="197"/>
      <c r="H497" s="197"/>
      <c r="I497" s="175"/>
      <c r="J497" s="197"/>
      <c r="K497" s="197"/>
      <c r="L497" s="197"/>
      <c r="M497" s="197"/>
      <c r="N497" s="197"/>
    </row>
    <row r="498">
      <c r="A498" s="197"/>
      <c r="B498" s="197"/>
      <c r="C498" s="197"/>
      <c r="D498" s="197"/>
      <c r="E498" s="197"/>
      <c r="F498" s="175"/>
      <c r="G498" s="197"/>
      <c r="H498" s="197"/>
      <c r="I498" s="175"/>
      <c r="J498" s="197"/>
      <c r="K498" s="197"/>
      <c r="L498" s="197"/>
      <c r="M498" s="197"/>
      <c r="N498" s="197"/>
    </row>
    <row r="499">
      <c r="A499" s="197"/>
      <c r="B499" s="197"/>
      <c r="C499" s="197"/>
      <c r="D499" s="197"/>
      <c r="E499" s="197"/>
      <c r="F499" s="175"/>
      <c r="G499" s="197"/>
      <c r="H499" s="197"/>
      <c r="I499" s="175"/>
      <c r="J499" s="197"/>
      <c r="K499" s="197"/>
      <c r="L499" s="197"/>
      <c r="M499" s="197"/>
      <c r="N499" s="197"/>
    </row>
    <row r="500">
      <c r="A500" s="197"/>
      <c r="B500" s="197"/>
      <c r="C500" s="197"/>
      <c r="D500" s="197"/>
      <c r="E500" s="197"/>
      <c r="F500" s="175"/>
      <c r="G500" s="197"/>
      <c r="H500" s="197"/>
      <c r="I500" s="175"/>
      <c r="J500" s="197"/>
      <c r="K500" s="197"/>
      <c r="L500" s="197"/>
      <c r="M500" s="197"/>
      <c r="N500" s="197"/>
    </row>
    <row r="501">
      <c r="A501" s="197"/>
      <c r="B501" s="197"/>
      <c r="C501" s="197"/>
      <c r="D501" s="197"/>
      <c r="E501" s="197"/>
      <c r="F501" s="175"/>
      <c r="G501" s="197"/>
      <c r="H501" s="197"/>
      <c r="I501" s="175"/>
      <c r="J501" s="197"/>
      <c r="K501" s="197"/>
      <c r="L501" s="197"/>
      <c r="M501" s="197"/>
      <c r="N501" s="197"/>
    </row>
    <row r="502">
      <c r="A502" s="197"/>
      <c r="B502" s="197"/>
      <c r="C502" s="197"/>
      <c r="D502" s="197"/>
      <c r="E502" s="197"/>
      <c r="F502" s="175"/>
      <c r="G502" s="197"/>
      <c r="H502" s="197"/>
      <c r="I502" s="175"/>
      <c r="J502" s="197"/>
      <c r="K502" s="197"/>
      <c r="L502" s="197"/>
      <c r="M502" s="197"/>
      <c r="N502" s="197"/>
    </row>
    <row r="503">
      <c r="A503" s="197"/>
      <c r="B503" s="197"/>
      <c r="C503" s="197"/>
      <c r="D503" s="197"/>
      <c r="E503" s="197"/>
      <c r="F503" s="175"/>
      <c r="G503" s="197"/>
      <c r="H503" s="197"/>
      <c r="I503" s="175"/>
      <c r="J503" s="197"/>
      <c r="K503" s="197"/>
      <c r="L503" s="197"/>
      <c r="M503" s="197"/>
      <c r="N503" s="197"/>
    </row>
    <row r="504">
      <c r="A504" s="197"/>
      <c r="B504" s="197"/>
      <c r="C504" s="197"/>
      <c r="D504" s="197"/>
      <c r="E504" s="197"/>
      <c r="F504" s="175"/>
      <c r="G504" s="197"/>
      <c r="H504" s="197"/>
      <c r="I504" s="175"/>
      <c r="J504" s="197"/>
      <c r="K504" s="197"/>
      <c r="L504" s="197"/>
      <c r="M504" s="197"/>
      <c r="N504" s="197"/>
    </row>
    <row r="505">
      <c r="A505" s="197"/>
      <c r="B505" s="197"/>
      <c r="C505" s="197"/>
      <c r="D505" s="197"/>
      <c r="E505" s="197"/>
      <c r="F505" s="175"/>
      <c r="G505" s="197"/>
      <c r="H505" s="197"/>
      <c r="I505" s="175"/>
      <c r="J505" s="197"/>
      <c r="K505" s="197"/>
      <c r="L505" s="197"/>
      <c r="M505" s="197"/>
      <c r="N505" s="197"/>
    </row>
    <row r="506">
      <c r="A506" s="197"/>
      <c r="B506" s="197"/>
      <c r="C506" s="197"/>
      <c r="D506" s="197"/>
      <c r="E506" s="197"/>
      <c r="F506" s="175"/>
      <c r="G506" s="197"/>
      <c r="H506" s="197"/>
      <c r="I506" s="175"/>
      <c r="J506" s="197"/>
      <c r="K506" s="197"/>
      <c r="L506" s="197"/>
      <c r="M506" s="197"/>
      <c r="N506" s="197"/>
    </row>
    <row r="507">
      <c r="A507" s="197"/>
      <c r="B507" s="197"/>
      <c r="C507" s="197"/>
      <c r="D507" s="197"/>
      <c r="E507" s="197"/>
      <c r="F507" s="175"/>
      <c r="G507" s="197"/>
      <c r="H507" s="197"/>
      <c r="I507" s="175"/>
      <c r="J507" s="197"/>
      <c r="K507" s="197"/>
      <c r="L507" s="197"/>
      <c r="M507" s="197"/>
      <c r="N507" s="197"/>
    </row>
    <row r="508">
      <c r="A508" s="197"/>
      <c r="B508" s="197"/>
      <c r="C508" s="197"/>
      <c r="D508" s="197"/>
      <c r="E508" s="197"/>
      <c r="F508" s="175"/>
      <c r="G508" s="197"/>
      <c r="H508" s="197"/>
      <c r="I508" s="175"/>
      <c r="J508" s="197"/>
      <c r="K508" s="197"/>
      <c r="L508" s="197"/>
      <c r="M508" s="197"/>
      <c r="N508" s="197"/>
    </row>
    <row r="509">
      <c r="A509" s="197"/>
      <c r="B509" s="197"/>
      <c r="C509" s="197"/>
      <c r="D509" s="197"/>
      <c r="E509" s="197"/>
      <c r="F509" s="175"/>
      <c r="G509" s="197"/>
      <c r="H509" s="197"/>
      <c r="I509" s="175"/>
      <c r="J509" s="197"/>
      <c r="K509" s="197"/>
      <c r="L509" s="197"/>
      <c r="M509" s="197"/>
      <c r="N509" s="197"/>
    </row>
    <row r="510">
      <c r="A510" s="197"/>
      <c r="B510" s="197"/>
      <c r="C510" s="197"/>
      <c r="D510" s="197"/>
      <c r="E510" s="197"/>
      <c r="F510" s="175"/>
      <c r="G510" s="197"/>
      <c r="H510" s="197"/>
      <c r="I510" s="175"/>
      <c r="J510" s="197"/>
      <c r="K510" s="197"/>
      <c r="L510" s="197"/>
      <c r="M510" s="197"/>
      <c r="N510" s="197"/>
    </row>
    <row r="511">
      <c r="A511" s="197"/>
      <c r="B511" s="197"/>
      <c r="C511" s="197"/>
      <c r="D511" s="197"/>
      <c r="E511" s="197"/>
      <c r="F511" s="175"/>
      <c r="G511" s="197"/>
      <c r="H511" s="197"/>
      <c r="I511" s="175"/>
      <c r="J511" s="197"/>
      <c r="K511" s="197"/>
      <c r="L511" s="197"/>
      <c r="M511" s="197"/>
      <c r="N511" s="197"/>
    </row>
    <row r="512">
      <c r="A512" s="197"/>
      <c r="B512" s="197"/>
      <c r="C512" s="197"/>
      <c r="D512" s="197"/>
      <c r="E512" s="197"/>
      <c r="F512" s="175"/>
      <c r="G512" s="197"/>
      <c r="H512" s="197"/>
      <c r="I512" s="175"/>
      <c r="J512" s="197"/>
      <c r="K512" s="197"/>
      <c r="L512" s="197"/>
      <c r="M512" s="197"/>
      <c r="N512" s="197"/>
    </row>
    <row r="513">
      <c r="A513" s="197"/>
      <c r="B513" s="197"/>
      <c r="C513" s="197"/>
      <c r="D513" s="197"/>
      <c r="E513" s="197"/>
      <c r="F513" s="175"/>
      <c r="G513" s="197"/>
      <c r="H513" s="197"/>
      <c r="I513" s="175"/>
      <c r="J513" s="197"/>
      <c r="K513" s="197"/>
      <c r="L513" s="197"/>
      <c r="M513" s="197"/>
      <c r="N513" s="197"/>
    </row>
    <row r="514">
      <c r="A514" s="197"/>
      <c r="B514" s="197"/>
      <c r="C514" s="197"/>
      <c r="D514" s="197"/>
      <c r="E514" s="197"/>
      <c r="F514" s="175"/>
      <c r="G514" s="197"/>
      <c r="H514" s="197"/>
      <c r="I514" s="175"/>
      <c r="J514" s="197"/>
      <c r="K514" s="197"/>
      <c r="L514" s="197"/>
      <c r="M514" s="197"/>
      <c r="N514" s="197"/>
    </row>
    <row r="515">
      <c r="A515" s="197"/>
      <c r="B515" s="197"/>
      <c r="C515" s="197"/>
      <c r="D515" s="197"/>
      <c r="E515" s="197"/>
      <c r="F515" s="175"/>
      <c r="G515" s="197"/>
      <c r="H515" s="197"/>
      <c r="I515" s="175"/>
      <c r="J515" s="197"/>
      <c r="K515" s="197"/>
      <c r="L515" s="197"/>
      <c r="M515" s="197"/>
      <c r="N515" s="197"/>
    </row>
    <row r="516">
      <c r="A516" s="197"/>
      <c r="B516" s="197"/>
      <c r="C516" s="197"/>
      <c r="D516" s="197"/>
      <c r="E516" s="197"/>
      <c r="F516" s="175"/>
      <c r="G516" s="197"/>
      <c r="H516" s="197"/>
      <c r="I516" s="175"/>
      <c r="J516" s="197"/>
      <c r="K516" s="197"/>
      <c r="L516" s="197"/>
      <c r="M516" s="197"/>
      <c r="N516" s="197"/>
    </row>
    <row r="517">
      <c r="A517" s="197"/>
      <c r="B517" s="197"/>
      <c r="C517" s="197"/>
      <c r="D517" s="197"/>
      <c r="E517" s="197"/>
      <c r="F517" s="175"/>
      <c r="G517" s="197"/>
      <c r="H517" s="197"/>
      <c r="I517" s="175"/>
      <c r="J517" s="197"/>
      <c r="K517" s="197"/>
      <c r="L517" s="197"/>
      <c r="M517" s="197"/>
      <c r="N517" s="197"/>
    </row>
    <row r="518">
      <c r="A518" s="197"/>
      <c r="B518" s="197"/>
      <c r="C518" s="197"/>
      <c r="D518" s="197"/>
      <c r="E518" s="197"/>
      <c r="F518" s="175"/>
      <c r="G518" s="197"/>
      <c r="H518" s="197"/>
      <c r="I518" s="175"/>
      <c r="J518" s="197"/>
      <c r="K518" s="197"/>
      <c r="L518" s="197"/>
      <c r="M518" s="197"/>
      <c r="N518" s="197"/>
    </row>
    <row r="519">
      <c r="A519" s="197"/>
      <c r="B519" s="197"/>
      <c r="C519" s="197"/>
      <c r="D519" s="197"/>
      <c r="E519" s="197"/>
      <c r="F519" s="175"/>
      <c r="G519" s="197"/>
      <c r="H519" s="197"/>
      <c r="I519" s="175"/>
      <c r="J519" s="197"/>
      <c r="K519" s="197"/>
      <c r="L519" s="197"/>
      <c r="M519" s="197"/>
      <c r="N519" s="197"/>
    </row>
    <row r="520">
      <c r="A520" s="197"/>
      <c r="B520" s="197"/>
      <c r="C520" s="197"/>
      <c r="D520" s="197"/>
      <c r="E520" s="197"/>
      <c r="F520" s="175"/>
      <c r="G520" s="197"/>
      <c r="H520" s="197"/>
      <c r="I520" s="175"/>
      <c r="J520" s="197"/>
      <c r="K520" s="197"/>
      <c r="L520" s="197"/>
      <c r="M520" s="197"/>
      <c r="N520" s="197"/>
    </row>
    <row r="521">
      <c r="A521" s="197"/>
      <c r="B521" s="197"/>
      <c r="C521" s="197"/>
      <c r="D521" s="197"/>
      <c r="E521" s="197"/>
      <c r="F521" s="175"/>
      <c r="G521" s="197"/>
      <c r="H521" s="197"/>
      <c r="I521" s="175"/>
      <c r="J521" s="197"/>
      <c r="K521" s="197"/>
      <c r="L521" s="197"/>
      <c r="M521" s="197"/>
      <c r="N521" s="197"/>
    </row>
    <row r="522">
      <c r="A522" s="197"/>
      <c r="B522" s="197"/>
      <c r="C522" s="197"/>
      <c r="D522" s="197"/>
      <c r="E522" s="197"/>
      <c r="F522" s="175"/>
      <c r="G522" s="197"/>
      <c r="H522" s="197"/>
      <c r="I522" s="175"/>
      <c r="J522" s="197"/>
      <c r="K522" s="197"/>
      <c r="L522" s="197"/>
      <c r="M522" s="197"/>
      <c r="N522" s="197"/>
    </row>
    <row r="523">
      <c r="A523" s="197"/>
      <c r="B523" s="197"/>
      <c r="C523" s="197"/>
      <c r="D523" s="197"/>
      <c r="E523" s="197"/>
      <c r="F523" s="175"/>
      <c r="G523" s="197"/>
      <c r="H523" s="197"/>
      <c r="I523" s="175"/>
      <c r="J523" s="197"/>
      <c r="K523" s="197"/>
      <c r="L523" s="197"/>
      <c r="M523" s="197"/>
      <c r="N523" s="197"/>
    </row>
    <row r="524">
      <c r="A524" s="197"/>
      <c r="B524" s="197"/>
      <c r="C524" s="197"/>
      <c r="D524" s="197"/>
      <c r="E524" s="197"/>
      <c r="F524" s="175"/>
      <c r="G524" s="197"/>
      <c r="H524" s="197"/>
      <c r="I524" s="175"/>
      <c r="J524" s="197"/>
      <c r="K524" s="197"/>
      <c r="L524" s="197"/>
      <c r="M524" s="197"/>
      <c r="N524" s="197"/>
    </row>
    <row r="525">
      <c r="A525" s="197"/>
      <c r="B525" s="197"/>
      <c r="C525" s="197"/>
      <c r="D525" s="197"/>
      <c r="E525" s="197"/>
      <c r="F525" s="175"/>
      <c r="G525" s="197"/>
      <c r="H525" s="197"/>
      <c r="I525" s="175"/>
      <c r="J525" s="197"/>
      <c r="K525" s="197"/>
      <c r="L525" s="197"/>
      <c r="M525" s="197"/>
      <c r="N525" s="197"/>
    </row>
    <row r="526">
      <c r="A526" s="197"/>
      <c r="B526" s="197"/>
      <c r="C526" s="197"/>
      <c r="D526" s="197"/>
      <c r="E526" s="197"/>
      <c r="F526" s="175"/>
      <c r="G526" s="197"/>
      <c r="H526" s="197"/>
      <c r="I526" s="175"/>
      <c r="J526" s="197"/>
      <c r="K526" s="197"/>
      <c r="L526" s="197"/>
      <c r="M526" s="197"/>
      <c r="N526" s="197"/>
    </row>
    <row r="527">
      <c r="A527" s="197"/>
      <c r="B527" s="197"/>
      <c r="C527" s="197"/>
      <c r="D527" s="197"/>
      <c r="E527" s="197"/>
      <c r="F527" s="175"/>
      <c r="G527" s="197"/>
      <c r="H527" s="197"/>
      <c r="I527" s="175"/>
      <c r="J527" s="197"/>
      <c r="K527" s="197"/>
      <c r="L527" s="197"/>
      <c r="M527" s="197"/>
      <c r="N527" s="197"/>
    </row>
    <row r="528">
      <c r="A528" s="197"/>
      <c r="B528" s="197"/>
      <c r="C528" s="197"/>
      <c r="D528" s="197"/>
      <c r="E528" s="197"/>
      <c r="F528" s="175"/>
      <c r="G528" s="197"/>
      <c r="H528" s="197"/>
      <c r="I528" s="175"/>
      <c r="J528" s="197"/>
      <c r="K528" s="197"/>
      <c r="L528" s="197"/>
      <c r="M528" s="197"/>
      <c r="N528" s="197"/>
    </row>
    <row r="529">
      <c r="A529" s="197"/>
      <c r="B529" s="197"/>
      <c r="C529" s="197"/>
      <c r="D529" s="197"/>
      <c r="E529" s="197"/>
      <c r="F529" s="175"/>
      <c r="G529" s="197"/>
      <c r="H529" s="197"/>
      <c r="I529" s="175"/>
      <c r="J529" s="197"/>
      <c r="K529" s="197"/>
      <c r="L529" s="197"/>
      <c r="M529" s="197"/>
      <c r="N529" s="197"/>
    </row>
    <row r="530">
      <c r="A530" s="197"/>
      <c r="B530" s="197"/>
      <c r="C530" s="197"/>
      <c r="D530" s="197"/>
      <c r="E530" s="197"/>
      <c r="F530" s="175"/>
      <c r="G530" s="197"/>
      <c r="H530" s="197"/>
      <c r="I530" s="175"/>
      <c r="J530" s="197"/>
      <c r="K530" s="197"/>
      <c r="L530" s="197"/>
      <c r="M530" s="197"/>
      <c r="N530" s="197"/>
    </row>
    <row r="531">
      <c r="A531" s="197"/>
      <c r="B531" s="197"/>
      <c r="C531" s="197"/>
      <c r="D531" s="197"/>
      <c r="E531" s="197"/>
      <c r="F531" s="175"/>
      <c r="G531" s="197"/>
      <c r="H531" s="197"/>
      <c r="I531" s="175"/>
      <c r="J531" s="197"/>
      <c r="K531" s="197"/>
      <c r="L531" s="197"/>
      <c r="M531" s="197"/>
      <c r="N531" s="197"/>
    </row>
    <row r="532">
      <c r="A532" s="197"/>
      <c r="B532" s="197"/>
      <c r="C532" s="197"/>
      <c r="D532" s="197"/>
      <c r="E532" s="197"/>
      <c r="F532" s="175"/>
      <c r="G532" s="197"/>
      <c r="H532" s="197"/>
      <c r="I532" s="175"/>
      <c r="J532" s="197"/>
      <c r="K532" s="197"/>
      <c r="L532" s="197"/>
      <c r="M532" s="197"/>
      <c r="N532" s="197"/>
    </row>
    <row r="533">
      <c r="A533" s="197"/>
      <c r="B533" s="197"/>
      <c r="C533" s="197"/>
      <c r="D533" s="197"/>
      <c r="E533" s="197"/>
      <c r="F533" s="175"/>
      <c r="G533" s="197"/>
      <c r="H533" s="197"/>
      <c r="I533" s="175"/>
      <c r="J533" s="197"/>
      <c r="K533" s="197"/>
      <c r="L533" s="197"/>
      <c r="M533" s="197"/>
      <c r="N533" s="197"/>
    </row>
    <row r="534">
      <c r="A534" s="197"/>
      <c r="B534" s="197"/>
      <c r="C534" s="197"/>
      <c r="D534" s="197"/>
      <c r="E534" s="197"/>
      <c r="F534" s="175"/>
      <c r="G534" s="197"/>
      <c r="H534" s="197"/>
      <c r="I534" s="175"/>
      <c r="J534" s="197"/>
      <c r="K534" s="197"/>
      <c r="L534" s="197"/>
      <c r="M534" s="197"/>
      <c r="N534" s="197"/>
    </row>
    <row r="535">
      <c r="A535" s="197"/>
      <c r="B535" s="197"/>
      <c r="C535" s="197"/>
      <c r="D535" s="197"/>
      <c r="E535" s="197"/>
      <c r="F535" s="175"/>
      <c r="G535" s="197"/>
      <c r="H535" s="197"/>
      <c r="I535" s="175"/>
      <c r="J535" s="197"/>
      <c r="K535" s="197"/>
      <c r="L535" s="197"/>
      <c r="M535" s="197"/>
      <c r="N535" s="197"/>
    </row>
    <row r="536">
      <c r="A536" s="197"/>
      <c r="B536" s="197"/>
      <c r="C536" s="197"/>
      <c r="D536" s="197"/>
      <c r="E536" s="197"/>
      <c r="F536" s="175"/>
      <c r="G536" s="197"/>
      <c r="H536" s="197"/>
      <c r="I536" s="175"/>
      <c r="J536" s="197"/>
      <c r="K536" s="197"/>
      <c r="L536" s="197"/>
      <c r="M536" s="197"/>
      <c r="N536" s="197"/>
    </row>
    <row r="537">
      <c r="A537" s="197"/>
      <c r="B537" s="197"/>
      <c r="C537" s="197"/>
      <c r="D537" s="197"/>
      <c r="E537" s="197"/>
      <c r="F537" s="175"/>
      <c r="G537" s="197"/>
      <c r="H537" s="197"/>
      <c r="I537" s="175"/>
      <c r="J537" s="197"/>
      <c r="K537" s="197"/>
      <c r="L537" s="197"/>
      <c r="M537" s="197"/>
      <c r="N537" s="197"/>
    </row>
    <row r="538">
      <c r="A538" s="197"/>
      <c r="B538" s="197"/>
      <c r="C538" s="197"/>
      <c r="D538" s="197"/>
      <c r="E538" s="197"/>
      <c r="F538" s="175"/>
      <c r="G538" s="197"/>
      <c r="H538" s="197"/>
      <c r="I538" s="175"/>
      <c r="J538" s="197"/>
      <c r="K538" s="197"/>
      <c r="L538" s="197"/>
      <c r="M538" s="197"/>
      <c r="N538" s="197"/>
    </row>
    <row r="539">
      <c r="A539" s="197"/>
      <c r="B539" s="197"/>
      <c r="C539" s="197"/>
      <c r="D539" s="197"/>
      <c r="E539" s="197"/>
      <c r="F539" s="175"/>
      <c r="G539" s="197"/>
      <c r="H539" s="197"/>
      <c r="I539" s="175"/>
      <c r="J539" s="197"/>
      <c r="K539" s="197"/>
      <c r="L539" s="197"/>
      <c r="M539" s="197"/>
      <c r="N539" s="197"/>
    </row>
    <row r="540">
      <c r="A540" s="197"/>
      <c r="B540" s="197"/>
      <c r="C540" s="197"/>
      <c r="D540" s="197"/>
      <c r="E540" s="197"/>
      <c r="F540" s="175"/>
      <c r="G540" s="197"/>
      <c r="H540" s="197"/>
      <c r="I540" s="175"/>
      <c r="J540" s="197"/>
      <c r="K540" s="197"/>
      <c r="L540" s="197"/>
      <c r="M540" s="197"/>
      <c r="N540" s="197"/>
    </row>
    <row r="541">
      <c r="A541" s="197"/>
      <c r="B541" s="197"/>
      <c r="C541" s="197"/>
      <c r="D541" s="197"/>
      <c r="E541" s="197"/>
      <c r="F541" s="175"/>
      <c r="G541" s="197"/>
      <c r="H541" s="197"/>
      <c r="I541" s="175"/>
      <c r="J541" s="197"/>
      <c r="K541" s="197"/>
      <c r="L541" s="197"/>
      <c r="M541" s="197"/>
      <c r="N541" s="197"/>
    </row>
    <row r="542">
      <c r="A542" s="197"/>
      <c r="B542" s="197"/>
      <c r="C542" s="197"/>
      <c r="D542" s="197"/>
      <c r="E542" s="197"/>
      <c r="F542" s="175"/>
      <c r="G542" s="197"/>
      <c r="H542" s="197"/>
      <c r="I542" s="175"/>
      <c r="J542" s="197"/>
      <c r="K542" s="197"/>
      <c r="L542" s="197"/>
      <c r="M542" s="197"/>
      <c r="N542" s="197"/>
    </row>
    <row r="543">
      <c r="A543" s="197"/>
      <c r="B543" s="197"/>
      <c r="C543" s="197"/>
      <c r="D543" s="197"/>
      <c r="E543" s="197"/>
      <c r="F543" s="175"/>
      <c r="G543" s="197"/>
      <c r="H543" s="197"/>
      <c r="I543" s="175"/>
      <c r="J543" s="197"/>
      <c r="K543" s="197"/>
      <c r="L543" s="197"/>
      <c r="M543" s="197"/>
      <c r="N543" s="197"/>
    </row>
    <row r="544">
      <c r="A544" s="197"/>
      <c r="B544" s="197"/>
      <c r="C544" s="197"/>
      <c r="D544" s="197"/>
      <c r="E544" s="197"/>
      <c r="F544" s="175"/>
      <c r="G544" s="197"/>
      <c r="H544" s="197"/>
      <c r="I544" s="175"/>
      <c r="J544" s="197"/>
      <c r="K544" s="197"/>
      <c r="L544" s="197"/>
      <c r="M544" s="197"/>
      <c r="N544" s="197"/>
    </row>
    <row r="545">
      <c r="A545" s="197"/>
      <c r="B545" s="197"/>
      <c r="C545" s="197"/>
      <c r="D545" s="197"/>
      <c r="E545" s="197"/>
      <c r="F545" s="175"/>
      <c r="G545" s="197"/>
      <c r="H545" s="197"/>
      <c r="I545" s="175"/>
      <c r="J545" s="197"/>
      <c r="K545" s="197"/>
      <c r="L545" s="197"/>
      <c r="M545" s="197"/>
      <c r="N545" s="197"/>
    </row>
    <row r="546">
      <c r="A546" s="197"/>
      <c r="B546" s="197"/>
      <c r="C546" s="197"/>
      <c r="D546" s="197"/>
      <c r="E546" s="197"/>
      <c r="F546" s="175"/>
      <c r="G546" s="197"/>
      <c r="H546" s="197"/>
      <c r="I546" s="175"/>
      <c r="J546" s="197"/>
      <c r="K546" s="197"/>
      <c r="L546" s="197"/>
      <c r="M546" s="197"/>
      <c r="N546" s="197"/>
    </row>
    <row r="547">
      <c r="A547" s="197"/>
      <c r="B547" s="197"/>
      <c r="C547" s="197"/>
      <c r="D547" s="197"/>
      <c r="E547" s="197"/>
      <c r="F547" s="175"/>
      <c r="G547" s="197"/>
      <c r="H547" s="197"/>
      <c r="I547" s="175"/>
      <c r="J547" s="197"/>
      <c r="K547" s="197"/>
      <c r="L547" s="197"/>
      <c r="M547" s="197"/>
      <c r="N547" s="197"/>
    </row>
    <row r="548">
      <c r="A548" s="197"/>
      <c r="B548" s="197"/>
      <c r="C548" s="197"/>
      <c r="D548" s="197"/>
      <c r="E548" s="197"/>
      <c r="F548" s="175"/>
      <c r="G548" s="197"/>
      <c r="H548" s="197"/>
      <c r="I548" s="175"/>
      <c r="J548" s="197"/>
      <c r="K548" s="197"/>
      <c r="L548" s="197"/>
      <c r="M548" s="197"/>
      <c r="N548" s="197"/>
    </row>
    <row r="549">
      <c r="A549" s="197"/>
      <c r="B549" s="197"/>
      <c r="C549" s="197"/>
      <c r="D549" s="197"/>
      <c r="E549" s="197"/>
      <c r="F549" s="175"/>
      <c r="G549" s="197"/>
      <c r="H549" s="197"/>
      <c r="I549" s="175"/>
      <c r="J549" s="197"/>
      <c r="K549" s="197"/>
      <c r="L549" s="197"/>
      <c r="M549" s="197"/>
      <c r="N549" s="197"/>
    </row>
    <row r="550">
      <c r="A550" s="197"/>
      <c r="B550" s="197"/>
      <c r="C550" s="197"/>
      <c r="D550" s="197"/>
      <c r="E550" s="197"/>
      <c r="F550" s="175"/>
      <c r="G550" s="197"/>
      <c r="H550" s="197"/>
      <c r="I550" s="175"/>
      <c r="J550" s="197"/>
      <c r="K550" s="197"/>
      <c r="L550" s="197"/>
      <c r="M550" s="197"/>
      <c r="N550" s="197"/>
    </row>
    <row r="551">
      <c r="A551" s="197"/>
      <c r="B551" s="197"/>
      <c r="C551" s="197"/>
      <c r="D551" s="197"/>
      <c r="E551" s="197"/>
      <c r="F551" s="175"/>
      <c r="G551" s="197"/>
      <c r="H551" s="197"/>
      <c r="I551" s="175"/>
      <c r="J551" s="197"/>
      <c r="K551" s="197"/>
      <c r="L551" s="197"/>
      <c r="M551" s="197"/>
      <c r="N551" s="197"/>
    </row>
    <row r="552">
      <c r="A552" s="197"/>
      <c r="B552" s="197"/>
      <c r="C552" s="197"/>
      <c r="D552" s="197"/>
      <c r="E552" s="197"/>
      <c r="F552" s="175"/>
      <c r="G552" s="197"/>
      <c r="H552" s="197"/>
      <c r="I552" s="175"/>
      <c r="J552" s="197"/>
      <c r="K552" s="197"/>
      <c r="L552" s="197"/>
      <c r="M552" s="197"/>
      <c r="N552" s="197"/>
    </row>
    <row r="553">
      <c r="A553" s="197"/>
      <c r="B553" s="197"/>
      <c r="C553" s="197"/>
      <c r="D553" s="197"/>
      <c r="E553" s="197"/>
      <c r="F553" s="175"/>
      <c r="G553" s="197"/>
      <c r="H553" s="197"/>
      <c r="I553" s="175"/>
      <c r="J553" s="197"/>
      <c r="K553" s="197"/>
      <c r="L553" s="197"/>
      <c r="M553" s="197"/>
      <c r="N553" s="197"/>
    </row>
    <row r="554">
      <c r="A554" s="197"/>
      <c r="B554" s="197"/>
      <c r="C554" s="197"/>
      <c r="D554" s="197"/>
      <c r="E554" s="197"/>
      <c r="F554" s="175"/>
      <c r="G554" s="197"/>
      <c r="H554" s="197"/>
      <c r="I554" s="175"/>
      <c r="J554" s="197"/>
      <c r="K554" s="197"/>
      <c r="L554" s="197"/>
      <c r="M554" s="197"/>
      <c r="N554" s="197"/>
    </row>
    <row r="555">
      <c r="A555" s="197"/>
      <c r="B555" s="197"/>
      <c r="C555" s="197"/>
      <c r="D555" s="197"/>
      <c r="E555" s="197"/>
      <c r="F555" s="175"/>
      <c r="G555" s="197"/>
      <c r="H555" s="197"/>
      <c r="I555" s="175"/>
      <c r="J555" s="197"/>
      <c r="K555" s="197"/>
      <c r="L555" s="197"/>
      <c r="M555" s="197"/>
      <c r="N555" s="197"/>
    </row>
    <row r="556">
      <c r="A556" s="197"/>
      <c r="B556" s="197"/>
      <c r="C556" s="197"/>
      <c r="D556" s="197"/>
      <c r="E556" s="197"/>
      <c r="F556" s="175"/>
      <c r="G556" s="197"/>
      <c r="H556" s="197"/>
      <c r="I556" s="175"/>
      <c r="J556" s="197"/>
      <c r="K556" s="197"/>
      <c r="L556" s="197"/>
      <c r="M556" s="197"/>
      <c r="N556" s="197"/>
    </row>
    <row r="557">
      <c r="A557" s="197"/>
      <c r="B557" s="197"/>
      <c r="C557" s="197"/>
      <c r="D557" s="197"/>
      <c r="E557" s="197"/>
      <c r="F557" s="175"/>
      <c r="G557" s="197"/>
      <c r="H557" s="197"/>
      <c r="I557" s="175"/>
      <c r="J557" s="197"/>
      <c r="K557" s="197"/>
      <c r="L557" s="197"/>
      <c r="M557" s="197"/>
      <c r="N557" s="197"/>
    </row>
    <row r="558">
      <c r="A558" s="197"/>
      <c r="B558" s="197"/>
      <c r="C558" s="197"/>
      <c r="D558" s="197"/>
      <c r="E558" s="197"/>
      <c r="F558" s="175"/>
      <c r="G558" s="197"/>
      <c r="H558" s="197"/>
      <c r="I558" s="175"/>
      <c r="J558" s="197"/>
      <c r="K558" s="197"/>
      <c r="L558" s="197"/>
      <c r="M558" s="197"/>
      <c r="N558" s="197"/>
    </row>
    <row r="559">
      <c r="A559" s="197"/>
      <c r="B559" s="197"/>
      <c r="C559" s="197"/>
      <c r="D559" s="197"/>
      <c r="E559" s="197"/>
      <c r="F559" s="175"/>
      <c r="G559" s="197"/>
      <c r="H559" s="197"/>
      <c r="I559" s="175"/>
      <c r="J559" s="197"/>
      <c r="K559" s="197"/>
      <c r="L559" s="197"/>
      <c r="M559" s="197"/>
      <c r="N559" s="197"/>
    </row>
    <row r="560">
      <c r="A560" s="197"/>
      <c r="B560" s="197"/>
      <c r="C560" s="197"/>
      <c r="D560" s="197"/>
      <c r="E560" s="197"/>
      <c r="F560" s="175"/>
      <c r="G560" s="197"/>
      <c r="H560" s="197"/>
      <c r="I560" s="175"/>
      <c r="J560" s="197"/>
      <c r="K560" s="197"/>
      <c r="L560" s="197"/>
      <c r="M560" s="197"/>
      <c r="N560" s="197"/>
    </row>
    <row r="561">
      <c r="A561" s="197"/>
      <c r="B561" s="197"/>
      <c r="C561" s="197"/>
      <c r="D561" s="197"/>
      <c r="E561" s="197"/>
      <c r="F561" s="175"/>
      <c r="G561" s="197"/>
      <c r="H561" s="197"/>
      <c r="I561" s="175"/>
      <c r="J561" s="197"/>
      <c r="K561" s="197"/>
      <c r="L561" s="197"/>
      <c r="M561" s="197"/>
      <c r="N561" s="197"/>
    </row>
    <row r="562">
      <c r="A562" s="197"/>
      <c r="B562" s="197"/>
      <c r="C562" s="197"/>
      <c r="D562" s="197"/>
      <c r="E562" s="197"/>
      <c r="F562" s="175"/>
      <c r="G562" s="197"/>
      <c r="H562" s="197"/>
      <c r="I562" s="175"/>
      <c r="J562" s="197"/>
      <c r="K562" s="197"/>
      <c r="L562" s="197"/>
      <c r="M562" s="197"/>
      <c r="N562" s="197"/>
    </row>
    <row r="563">
      <c r="A563" s="197"/>
      <c r="B563" s="197"/>
      <c r="C563" s="197"/>
      <c r="D563" s="197"/>
      <c r="E563" s="197"/>
      <c r="F563" s="175"/>
      <c r="G563" s="197"/>
      <c r="H563" s="197"/>
      <c r="I563" s="175"/>
      <c r="J563" s="197"/>
      <c r="K563" s="197"/>
      <c r="L563" s="197"/>
      <c r="M563" s="197"/>
      <c r="N563" s="197"/>
    </row>
    <row r="564">
      <c r="A564" s="197"/>
      <c r="B564" s="197"/>
      <c r="C564" s="197"/>
      <c r="D564" s="197"/>
      <c r="E564" s="197"/>
      <c r="F564" s="175"/>
      <c r="G564" s="197"/>
      <c r="H564" s="197"/>
      <c r="I564" s="175"/>
      <c r="J564" s="197"/>
      <c r="K564" s="197"/>
      <c r="L564" s="197"/>
      <c r="M564" s="197"/>
      <c r="N564" s="197"/>
    </row>
    <row r="565">
      <c r="A565" s="197"/>
      <c r="B565" s="197"/>
      <c r="C565" s="197"/>
      <c r="D565" s="197"/>
      <c r="E565" s="197"/>
      <c r="F565" s="175"/>
      <c r="G565" s="197"/>
      <c r="H565" s="197"/>
      <c r="I565" s="175"/>
      <c r="J565" s="197"/>
      <c r="K565" s="197"/>
      <c r="L565" s="197"/>
      <c r="M565" s="197"/>
      <c r="N565" s="197"/>
    </row>
    <row r="566">
      <c r="A566" s="197"/>
      <c r="B566" s="197"/>
      <c r="C566" s="197"/>
      <c r="D566" s="197"/>
      <c r="E566" s="197"/>
      <c r="F566" s="175"/>
      <c r="G566" s="197"/>
      <c r="H566" s="197"/>
      <c r="I566" s="175"/>
      <c r="J566" s="197"/>
      <c r="K566" s="197"/>
      <c r="L566" s="197"/>
      <c r="M566" s="197"/>
      <c r="N566" s="197"/>
    </row>
    <row r="567">
      <c r="A567" s="197"/>
      <c r="B567" s="197"/>
      <c r="C567" s="197"/>
      <c r="D567" s="197"/>
      <c r="E567" s="197"/>
      <c r="F567" s="175"/>
      <c r="G567" s="197"/>
      <c r="H567" s="197"/>
      <c r="I567" s="175"/>
      <c r="J567" s="197"/>
      <c r="K567" s="197"/>
      <c r="L567" s="197"/>
      <c r="M567" s="197"/>
      <c r="N567" s="197"/>
    </row>
    <row r="568">
      <c r="A568" s="197"/>
      <c r="B568" s="197"/>
      <c r="C568" s="197"/>
      <c r="D568" s="197"/>
      <c r="E568" s="197"/>
      <c r="F568" s="175"/>
      <c r="G568" s="197"/>
      <c r="H568" s="197"/>
      <c r="I568" s="175"/>
      <c r="J568" s="197"/>
      <c r="K568" s="197"/>
      <c r="L568" s="197"/>
      <c r="M568" s="197"/>
      <c r="N568" s="197"/>
    </row>
    <row r="569">
      <c r="A569" s="197"/>
      <c r="B569" s="197"/>
      <c r="C569" s="197"/>
      <c r="D569" s="197"/>
      <c r="E569" s="197"/>
      <c r="F569" s="175"/>
      <c r="G569" s="197"/>
      <c r="H569" s="197"/>
      <c r="I569" s="175"/>
      <c r="J569" s="197"/>
      <c r="K569" s="197"/>
      <c r="L569" s="197"/>
      <c r="M569" s="197"/>
      <c r="N569" s="197"/>
    </row>
    <row r="570">
      <c r="A570" s="197"/>
      <c r="B570" s="197"/>
      <c r="C570" s="197"/>
      <c r="D570" s="197"/>
      <c r="E570" s="197"/>
      <c r="F570" s="175"/>
      <c r="G570" s="197"/>
      <c r="H570" s="197"/>
      <c r="I570" s="175"/>
      <c r="J570" s="197"/>
      <c r="K570" s="197"/>
      <c r="L570" s="197"/>
      <c r="M570" s="197"/>
      <c r="N570" s="197"/>
    </row>
    <row r="571">
      <c r="A571" s="197"/>
      <c r="B571" s="197"/>
      <c r="C571" s="197"/>
      <c r="D571" s="197"/>
      <c r="E571" s="197"/>
      <c r="F571" s="175"/>
      <c r="G571" s="197"/>
      <c r="H571" s="197"/>
      <c r="I571" s="175"/>
      <c r="J571" s="197"/>
      <c r="K571" s="197"/>
      <c r="L571" s="197"/>
      <c r="M571" s="197"/>
      <c r="N571" s="197"/>
    </row>
    <row r="572">
      <c r="A572" s="197"/>
      <c r="B572" s="197"/>
      <c r="C572" s="197"/>
      <c r="D572" s="197"/>
      <c r="E572" s="197"/>
      <c r="F572" s="175"/>
      <c r="G572" s="197"/>
      <c r="H572" s="197"/>
      <c r="I572" s="175"/>
      <c r="J572" s="197"/>
      <c r="K572" s="197"/>
      <c r="L572" s="197"/>
      <c r="M572" s="197"/>
      <c r="N572" s="197"/>
    </row>
    <row r="573">
      <c r="A573" s="197"/>
      <c r="B573" s="197"/>
      <c r="C573" s="197"/>
      <c r="D573" s="197"/>
      <c r="E573" s="197"/>
      <c r="F573" s="175"/>
      <c r="G573" s="197"/>
      <c r="H573" s="197"/>
      <c r="I573" s="175"/>
      <c r="J573" s="197"/>
      <c r="K573" s="197"/>
      <c r="L573" s="197"/>
      <c r="M573" s="197"/>
      <c r="N573" s="197"/>
    </row>
    <row r="574">
      <c r="A574" s="197"/>
      <c r="B574" s="197"/>
      <c r="C574" s="197"/>
      <c r="D574" s="197"/>
      <c r="E574" s="197"/>
      <c r="F574" s="175"/>
      <c r="G574" s="197"/>
      <c r="H574" s="197"/>
      <c r="I574" s="175"/>
      <c r="J574" s="197"/>
      <c r="K574" s="197"/>
      <c r="L574" s="197"/>
      <c r="M574" s="197"/>
      <c r="N574" s="197"/>
    </row>
    <row r="575">
      <c r="A575" s="197"/>
      <c r="B575" s="197"/>
      <c r="C575" s="197"/>
      <c r="D575" s="197"/>
      <c r="E575" s="197"/>
      <c r="F575" s="175"/>
      <c r="G575" s="197"/>
      <c r="H575" s="197"/>
      <c r="I575" s="175"/>
      <c r="J575" s="197"/>
      <c r="K575" s="197"/>
      <c r="L575" s="197"/>
      <c r="M575" s="197"/>
      <c r="N575" s="197"/>
    </row>
    <row r="576">
      <c r="A576" s="197"/>
      <c r="B576" s="197"/>
      <c r="C576" s="197"/>
      <c r="D576" s="197"/>
      <c r="E576" s="197"/>
      <c r="F576" s="175"/>
      <c r="G576" s="197"/>
      <c r="H576" s="197"/>
      <c r="I576" s="175"/>
      <c r="J576" s="197"/>
      <c r="K576" s="197"/>
      <c r="L576" s="197"/>
      <c r="M576" s="197"/>
      <c r="N576" s="197"/>
    </row>
    <row r="577">
      <c r="A577" s="197"/>
      <c r="B577" s="197"/>
      <c r="C577" s="197"/>
      <c r="D577" s="197"/>
      <c r="E577" s="197"/>
      <c r="F577" s="175"/>
      <c r="G577" s="197"/>
      <c r="H577" s="197"/>
      <c r="I577" s="175"/>
      <c r="J577" s="197"/>
      <c r="K577" s="197"/>
      <c r="L577" s="197"/>
      <c r="M577" s="197"/>
      <c r="N577" s="197"/>
    </row>
    <row r="578">
      <c r="A578" s="197"/>
      <c r="B578" s="197"/>
      <c r="C578" s="197"/>
      <c r="D578" s="197"/>
      <c r="E578" s="197"/>
      <c r="F578" s="175"/>
      <c r="G578" s="197"/>
      <c r="H578" s="197"/>
      <c r="I578" s="175"/>
      <c r="J578" s="197"/>
      <c r="K578" s="197"/>
      <c r="L578" s="197"/>
      <c r="M578" s="197"/>
      <c r="N578" s="197"/>
    </row>
    <row r="579">
      <c r="A579" s="197"/>
      <c r="B579" s="197"/>
      <c r="C579" s="197"/>
      <c r="D579" s="197"/>
      <c r="E579" s="197"/>
      <c r="F579" s="175"/>
      <c r="G579" s="197"/>
      <c r="H579" s="197"/>
      <c r="I579" s="175"/>
      <c r="J579" s="197"/>
      <c r="K579" s="197"/>
      <c r="L579" s="197"/>
      <c r="M579" s="197"/>
      <c r="N579" s="197"/>
    </row>
    <row r="580">
      <c r="A580" s="197"/>
      <c r="B580" s="197"/>
      <c r="C580" s="197"/>
      <c r="D580" s="197"/>
      <c r="E580" s="197"/>
      <c r="F580" s="175"/>
      <c r="G580" s="197"/>
      <c r="H580" s="197"/>
      <c r="I580" s="175"/>
      <c r="J580" s="197"/>
      <c r="K580" s="197"/>
      <c r="L580" s="197"/>
      <c r="M580" s="197"/>
      <c r="N580" s="197"/>
    </row>
    <row r="581">
      <c r="A581" s="197"/>
      <c r="B581" s="197"/>
      <c r="C581" s="197"/>
      <c r="D581" s="197"/>
      <c r="E581" s="197"/>
      <c r="F581" s="175"/>
      <c r="G581" s="197"/>
      <c r="H581" s="197"/>
      <c r="I581" s="175"/>
      <c r="J581" s="197"/>
      <c r="K581" s="197"/>
      <c r="L581" s="197"/>
      <c r="M581" s="197"/>
      <c r="N581" s="197"/>
    </row>
    <row r="582">
      <c r="A582" s="197"/>
      <c r="B582" s="197"/>
      <c r="C582" s="197"/>
      <c r="D582" s="197"/>
      <c r="E582" s="197"/>
      <c r="F582" s="175"/>
      <c r="G582" s="197"/>
      <c r="H582" s="197"/>
      <c r="I582" s="175"/>
      <c r="J582" s="197"/>
      <c r="K582" s="197"/>
      <c r="L582" s="197"/>
      <c r="M582" s="197"/>
      <c r="N582" s="197"/>
    </row>
    <row r="583">
      <c r="A583" s="197"/>
      <c r="B583" s="197"/>
      <c r="C583" s="197"/>
      <c r="D583" s="197"/>
      <c r="E583" s="197"/>
      <c r="F583" s="175"/>
      <c r="G583" s="197"/>
      <c r="H583" s="197"/>
      <c r="I583" s="175"/>
      <c r="J583" s="197"/>
      <c r="K583" s="197"/>
      <c r="L583" s="197"/>
      <c r="M583" s="197"/>
      <c r="N583" s="197"/>
    </row>
    <row r="584">
      <c r="A584" s="197"/>
      <c r="B584" s="197"/>
      <c r="C584" s="197"/>
      <c r="D584" s="197"/>
      <c r="E584" s="197"/>
      <c r="F584" s="175"/>
      <c r="G584" s="197"/>
      <c r="H584" s="197"/>
      <c r="I584" s="175"/>
      <c r="J584" s="197"/>
      <c r="K584" s="197"/>
      <c r="L584" s="197"/>
      <c r="M584" s="197"/>
      <c r="N584" s="197"/>
    </row>
    <row r="585">
      <c r="A585" s="197"/>
      <c r="B585" s="197"/>
      <c r="C585" s="197"/>
      <c r="D585" s="197"/>
      <c r="E585" s="197"/>
      <c r="F585" s="175"/>
      <c r="G585" s="197"/>
      <c r="H585" s="197"/>
      <c r="I585" s="175"/>
      <c r="J585" s="197"/>
      <c r="K585" s="197"/>
      <c r="L585" s="197"/>
      <c r="M585" s="197"/>
      <c r="N585" s="197"/>
    </row>
    <row r="586">
      <c r="A586" s="197"/>
      <c r="B586" s="197"/>
      <c r="C586" s="197"/>
      <c r="D586" s="197"/>
      <c r="E586" s="197"/>
      <c r="F586" s="175"/>
      <c r="G586" s="197"/>
      <c r="H586" s="197"/>
      <c r="I586" s="175"/>
      <c r="J586" s="197"/>
      <c r="K586" s="197"/>
      <c r="L586" s="197"/>
      <c r="M586" s="197"/>
      <c r="N586" s="197"/>
    </row>
    <row r="587">
      <c r="A587" s="197"/>
      <c r="B587" s="197"/>
      <c r="C587" s="197"/>
      <c r="D587" s="197"/>
      <c r="E587" s="197"/>
      <c r="F587" s="175"/>
      <c r="G587" s="197"/>
      <c r="H587" s="197"/>
      <c r="I587" s="175"/>
      <c r="J587" s="197"/>
      <c r="K587" s="197"/>
      <c r="L587" s="197"/>
      <c r="M587" s="197"/>
      <c r="N587" s="197"/>
    </row>
    <row r="588">
      <c r="A588" s="197"/>
      <c r="B588" s="197"/>
      <c r="C588" s="197"/>
      <c r="D588" s="197"/>
      <c r="E588" s="197"/>
      <c r="F588" s="175"/>
      <c r="G588" s="197"/>
      <c r="H588" s="197"/>
      <c r="I588" s="175"/>
      <c r="J588" s="197"/>
      <c r="K588" s="197"/>
      <c r="L588" s="197"/>
      <c r="M588" s="197"/>
      <c r="N588" s="197"/>
    </row>
    <row r="589">
      <c r="A589" s="197"/>
      <c r="B589" s="197"/>
      <c r="C589" s="197"/>
      <c r="D589" s="197"/>
      <c r="E589" s="197"/>
      <c r="F589" s="175"/>
      <c r="G589" s="197"/>
      <c r="H589" s="197"/>
      <c r="I589" s="175"/>
      <c r="J589" s="197"/>
      <c r="K589" s="197"/>
      <c r="L589" s="197"/>
      <c r="M589" s="197"/>
      <c r="N589" s="197"/>
    </row>
    <row r="590">
      <c r="A590" s="197"/>
      <c r="B590" s="197"/>
      <c r="C590" s="197"/>
      <c r="D590" s="197"/>
      <c r="E590" s="197"/>
      <c r="F590" s="175"/>
      <c r="G590" s="197"/>
      <c r="H590" s="197"/>
      <c r="I590" s="175"/>
      <c r="J590" s="197"/>
      <c r="K590" s="197"/>
      <c r="L590" s="197"/>
      <c r="M590" s="197"/>
      <c r="N590" s="197"/>
    </row>
    <row r="591">
      <c r="A591" s="197"/>
      <c r="B591" s="197"/>
      <c r="C591" s="197"/>
      <c r="D591" s="197"/>
      <c r="E591" s="197"/>
      <c r="F591" s="175"/>
      <c r="G591" s="197"/>
      <c r="H591" s="197"/>
      <c r="I591" s="175"/>
      <c r="J591" s="197"/>
      <c r="K591" s="197"/>
      <c r="L591" s="197"/>
      <c r="M591" s="197"/>
      <c r="N591" s="197"/>
    </row>
    <row r="592">
      <c r="A592" s="197"/>
      <c r="B592" s="197"/>
      <c r="C592" s="197"/>
      <c r="D592" s="197"/>
      <c r="E592" s="197"/>
      <c r="F592" s="175"/>
      <c r="G592" s="197"/>
      <c r="H592" s="197"/>
      <c r="I592" s="175"/>
      <c r="J592" s="197"/>
      <c r="K592" s="197"/>
      <c r="L592" s="197"/>
      <c r="M592" s="197"/>
      <c r="N592" s="197"/>
    </row>
    <row r="593">
      <c r="A593" s="197"/>
      <c r="B593" s="197"/>
      <c r="C593" s="197"/>
      <c r="D593" s="197"/>
      <c r="E593" s="197"/>
      <c r="F593" s="175"/>
      <c r="G593" s="197"/>
      <c r="H593" s="197"/>
      <c r="I593" s="175"/>
      <c r="J593" s="197"/>
      <c r="K593" s="197"/>
      <c r="L593" s="197"/>
      <c r="M593" s="197"/>
      <c r="N593" s="197"/>
    </row>
    <row r="594">
      <c r="A594" s="197"/>
      <c r="B594" s="197"/>
      <c r="C594" s="197"/>
      <c r="D594" s="197"/>
      <c r="E594" s="197"/>
      <c r="F594" s="175"/>
      <c r="G594" s="197"/>
      <c r="H594" s="197"/>
      <c r="I594" s="175"/>
      <c r="J594" s="197"/>
      <c r="K594" s="197"/>
      <c r="L594" s="197"/>
      <c r="M594" s="197"/>
      <c r="N594" s="197"/>
    </row>
    <row r="595">
      <c r="A595" s="197"/>
      <c r="B595" s="197"/>
      <c r="C595" s="197"/>
      <c r="D595" s="197"/>
      <c r="E595" s="197"/>
      <c r="F595" s="175"/>
      <c r="G595" s="197"/>
      <c r="H595" s="197"/>
      <c r="I595" s="175"/>
      <c r="J595" s="197"/>
      <c r="K595" s="197"/>
      <c r="L595" s="197"/>
      <c r="M595" s="197"/>
      <c r="N595" s="197"/>
    </row>
    <row r="596">
      <c r="A596" s="197"/>
      <c r="B596" s="197"/>
      <c r="C596" s="197"/>
      <c r="D596" s="197"/>
      <c r="E596" s="197"/>
      <c r="F596" s="175"/>
      <c r="G596" s="197"/>
      <c r="H596" s="197"/>
      <c r="I596" s="175"/>
      <c r="J596" s="197"/>
      <c r="K596" s="197"/>
      <c r="L596" s="197"/>
      <c r="M596" s="197"/>
      <c r="N596" s="197"/>
    </row>
    <row r="597">
      <c r="A597" s="197"/>
      <c r="B597" s="197"/>
      <c r="C597" s="197"/>
      <c r="D597" s="197"/>
      <c r="E597" s="197"/>
      <c r="F597" s="175"/>
      <c r="G597" s="197"/>
      <c r="H597" s="197"/>
      <c r="I597" s="175"/>
      <c r="J597" s="197"/>
      <c r="K597" s="197"/>
      <c r="L597" s="197"/>
      <c r="M597" s="197"/>
      <c r="N597" s="197"/>
    </row>
    <row r="598">
      <c r="A598" s="197"/>
      <c r="B598" s="197"/>
      <c r="C598" s="197"/>
      <c r="D598" s="197"/>
      <c r="E598" s="197"/>
      <c r="F598" s="175"/>
      <c r="G598" s="197"/>
      <c r="H598" s="197"/>
      <c r="I598" s="175"/>
      <c r="J598" s="197"/>
      <c r="K598" s="197"/>
      <c r="L598" s="197"/>
      <c r="M598" s="197"/>
      <c r="N598" s="197"/>
    </row>
    <row r="599">
      <c r="A599" s="197"/>
      <c r="B599" s="197"/>
      <c r="C599" s="197"/>
      <c r="D599" s="197"/>
      <c r="E599" s="197"/>
      <c r="F599" s="175"/>
      <c r="G599" s="197"/>
      <c r="H599" s="197"/>
      <c r="I599" s="175"/>
      <c r="J599" s="197"/>
      <c r="K599" s="197"/>
      <c r="L599" s="197"/>
      <c r="M599" s="197"/>
      <c r="N599" s="197"/>
    </row>
    <row r="600">
      <c r="A600" s="197"/>
      <c r="B600" s="197"/>
      <c r="C600" s="197"/>
      <c r="D600" s="197"/>
      <c r="E600" s="197"/>
      <c r="F600" s="175"/>
      <c r="G600" s="197"/>
      <c r="H600" s="197"/>
      <c r="I600" s="175"/>
      <c r="J600" s="197"/>
      <c r="K600" s="197"/>
      <c r="L600" s="197"/>
      <c r="M600" s="197"/>
      <c r="N600" s="197"/>
    </row>
    <row r="601">
      <c r="A601" s="197"/>
      <c r="B601" s="197"/>
      <c r="C601" s="197"/>
      <c r="D601" s="197"/>
      <c r="E601" s="197"/>
      <c r="F601" s="175"/>
      <c r="G601" s="197"/>
      <c r="H601" s="197"/>
      <c r="I601" s="175"/>
      <c r="J601" s="197"/>
      <c r="K601" s="197"/>
      <c r="L601" s="197"/>
      <c r="M601" s="197"/>
      <c r="N601" s="197"/>
    </row>
    <row r="602">
      <c r="A602" s="197"/>
      <c r="B602" s="197"/>
      <c r="C602" s="197"/>
      <c r="D602" s="197"/>
      <c r="E602" s="197"/>
      <c r="F602" s="175"/>
      <c r="G602" s="197"/>
      <c r="H602" s="197"/>
      <c r="I602" s="175"/>
      <c r="J602" s="197"/>
      <c r="K602" s="197"/>
      <c r="L602" s="197"/>
      <c r="M602" s="197"/>
      <c r="N602" s="197"/>
    </row>
    <row r="603">
      <c r="A603" s="197"/>
      <c r="B603" s="197"/>
      <c r="C603" s="197"/>
      <c r="D603" s="197"/>
      <c r="E603" s="197"/>
      <c r="F603" s="175"/>
      <c r="G603" s="197"/>
      <c r="H603" s="197"/>
      <c r="I603" s="175"/>
      <c r="J603" s="197"/>
      <c r="K603" s="197"/>
      <c r="L603" s="197"/>
      <c r="M603" s="197"/>
      <c r="N603" s="197"/>
    </row>
    <row r="604">
      <c r="A604" s="197"/>
      <c r="B604" s="197"/>
      <c r="C604" s="197"/>
      <c r="D604" s="197"/>
      <c r="E604" s="197"/>
      <c r="F604" s="175"/>
      <c r="G604" s="197"/>
      <c r="H604" s="197"/>
      <c r="I604" s="175"/>
      <c r="J604" s="197"/>
      <c r="K604" s="197"/>
      <c r="L604" s="197"/>
      <c r="M604" s="197"/>
      <c r="N604" s="197"/>
    </row>
    <row r="605">
      <c r="A605" s="197"/>
      <c r="B605" s="197"/>
      <c r="C605" s="197"/>
      <c r="D605" s="197"/>
      <c r="E605" s="197"/>
      <c r="F605" s="175"/>
      <c r="G605" s="197"/>
      <c r="H605" s="197"/>
      <c r="I605" s="175"/>
      <c r="J605" s="197"/>
      <c r="K605" s="197"/>
      <c r="L605" s="197"/>
      <c r="M605" s="197"/>
      <c r="N605" s="197"/>
    </row>
    <row r="606">
      <c r="A606" s="197"/>
      <c r="B606" s="197"/>
      <c r="C606" s="197"/>
      <c r="D606" s="197"/>
      <c r="E606" s="197"/>
      <c r="F606" s="175"/>
      <c r="G606" s="197"/>
      <c r="H606" s="197"/>
      <c r="I606" s="175"/>
      <c r="J606" s="197"/>
      <c r="K606" s="197"/>
      <c r="L606" s="197"/>
      <c r="M606" s="197"/>
      <c r="N606" s="197"/>
    </row>
    <row r="607">
      <c r="A607" s="197"/>
      <c r="B607" s="197"/>
      <c r="C607" s="197"/>
      <c r="D607" s="197"/>
      <c r="E607" s="197"/>
      <c r="F607" s="175"/>
      <c r="G607" s="197"/>
      <c r="H607" s="197"/>
      <c r="I607" s="175"/>
      <c r="J607" s="197"/>
      <c r="K607" s="197"/>
      <c r="L607" s="197"/>
      <c r="M607" s="197"/>
      <c r="N607" s="197"/>
    </row>
    <row r="608">
      <c r="A608" s="197"/>
      <c r="B608" s="197"/>
      <c r="C608" s="197"/>
      <c r="D608" s="197"/>
      <c r="E608" s="197"/>
      <c r="F608" s="175"/>
      <c r="G608" s="197"/>
      <c r="H608" s="197"/>
      <c r="I608" s="175"/>
      <c r="J608" s="197"/>
      <c r="K608" s="197"/>
      <c r="L608" s="197"/>
      <c r="M608" s="197"/>
      <c r="N608" s="197"/>
    </row>
    <row r="609">
      <c r="A609" s="197"/>
      <c r="B609" s="197"/>
      <c r="C609" s="197"/>
      <c r="D609" s="197"/>
      <c r="E609" s="197"/>
      <c r="F609" s="175"/>
      <c r="G609" s="197"/>
      <c r="H609" s="197"/>
      <c r="I609" s="175"/>
      <c r="J609" s="197"/>
      <c r="K609" s="197"/>
      <c r="L609" s="197"/>
      <c r="M609" s="197"/>
      <c r="N609" s="197"/>
    </row>
    <row r="610">
      <c r="A610" s="197"/>
      <c r="B610" s="197"/>
      <c r="C610" s="197"/>
      <c r="D610" s="197"/>
      <c r="E610" s="197"/>
      <c r="F610" s="175"/>
      <c r="G610" s="197"/>
      <c r="H610" s="197"/>
      <c r="I610" s="175"/>
      <c r="J610" s="197"/>
      <c r="K610" s="197"/>
      <c r="L610" s="197"/>
      <c r="M610" s="197"/>
      <c r="N610" s="197"/>
    </row>
    <row r="611">
      <c r="A611" s="197"/>
      <c r="B611" s="197"/>
      <c r="C611" s="197"/>
      <c r="D611" s="197"/>
      <c r="E611" s="197"/>
      <c r="F611" s="175"/>
      <c r="G611" s="197"/>
      <c r="H611" s="197"/>
      <c r="I611" s="175"/>
      <c r="J611" s="197"/>
      <c r="K611" s="197"/>
      <c r="L611" s="197"/>
      <c r="M611" s="197"/>
      <c r="N611" s="197"/>
    </row>
    <row r="612">
      <c r="A612" s="197"/>
      <c r="B612" s="197"/>
      <c r="C612" s="197"/>
      <c r="D612" s="197"/>
      <c r="E612" s="197"/>
      <c r="F612" s="175"/>
      <c r="G612" s="197"/>
      <c r="H612" s="197"/>
      <c r="I612" s="175"/>
      <c r="J612" s="197"/>
      <c r="K612" s="197"/>
      <c r="L612" s="197"/>
      <c r="M612" s="197"/>
      <c r="N612" s="197"/>
    </row>
    <row r="613">
      <c r="A613" s="197"/>
      <c r="B613" s="197"/>
      <c r="C613" s="197"/>
      <c r="D613" s="197"/>
      <c r="E613" s="197"/>
      <c r="F613" s="175"/>
      <c r="G613" s="197"/>
      <c r="H613" s="197"/>
      <c r="I613" s="175"/>
      <c r="J613" s="197"/>
      <c r="K613" s="197"/>
      <c r="L613" s="197"/>
      <c r="M613" s="197"/>
      <c r="N613" s="197"/>
    </row>
    <row r="614">
      <c r="A614" s="197"/>
      <c r="B614" s="197"/>
      <c r="C614" s="197"/>
      <c r="D614" s="197"/>
      <c r="E614" s="197"/>
      <c r="F614" s="175"/>
      <c r="G614" s="197"/>
      <c r="H614" s="197"/>
      <c r="I614" s="175"/>
      <c r="J614" s="197"/>
      <c r="K614" s="197"/>
      <c r="L614" s="197"/>
      <c r="M614" s="197"/>
      <c r="N614" s="197"/>
    </row>
    <row r="615">
      <c r="A615" s="197"/>
      <c r="B615" s="197"/>
      <c r="C615" s="197"/>
      <c r="D615" s="197"/>
      <c r="E615" s="197"/>
      <c r="F615" s="175"/>
      <c r="G615" s="197"/>
      <c r="H615" s="197"/>
      <c r="I615" s="175"/>
      <c r="J615" s="197"/>
      <c r="K615" s="197"/>
      <c r="L615" s="197"/>
      <c r="M615" s="197"/>
      <c r="N615" s="197"/>
    </row>
    <row r="616">
      <c r="A616" s="197"/>
      <c r="B616" s="197"/>
      <c r="C616" s="197"/>
      <c r="D616" s="197"/>
      <c r="E616" s="197"/>
      <c r="F616" s="175"/>
      <c r="G616" s="197"/>
      <c r="H616" s="197"/>
      <c r="I616" s="175"/>
      <c r="J616" s="197"/>
      <c r="K616" s="197"/>
      <c r="L616" s="197"/>
      <c r="M616" s="197"/>
      <c r="N616" s="197"/>
    </row>
    <row r="617">
      <c r="A617" s="197"/>
      <c r="B617" s="197"/>
      <c r="C617" s="197"/>
      <c r="D617" s="197"/>
      <c r="E617" s="197"/>
      <c r="F617" s="175"/>
      <c r="G617" s="197"/>
      <c r="H617" s="197"/>
      <c r="I617" s="175"/>
      <c r="J617" s="197"/>
      <c r="K617" s="197"/>
      <c r="L617" s="197"/>
      <c r="M617" s="197"/>
      <c r="N617" s="197"/>
    </row>
    <row r="618">
      <c r="A618" s="197"/>
      <c r="B618" s="197"/>
      <c r="C618" s="197"/>
      <c r="D618" s="197"/>
      <c r="E618" s="197"/>
      <c r="F618" s="175"/>
      <c r="G618" s="197"/>
      <c r="H618" s="197"/>
      <c r="I618" s="175"/>
      <c r="J618" s="197"/>
      <c r="K618" s="197"/>
      <c r="L618" s="197"/>
      <c r="M618" s="197"/>
      <c r="N618" s="197"/>
    </row>
    <row r="619">
      <c r="A619" s="197"/>
      <c r="B619" s="197"/>
      <c r="C619" s="197"/>
      <c r="D619" s="197"/>
      <c r="E619" s="197"/>
      <c r="F619" s="175"/>
      <c r="G619" s="197"/>
      <c r="H619" s="197"/>
      <c r="I619" s="175"/>
      <c r="J619" s="197"/>
      <c r="K619" s="197"/>
      <c r="L619" s="197"/>
      <c r="M619" s="197"/>
      <c r="N619" s="197"/>
    </row>
    <row r="620">
      <c r="A620" s="197"/>
      <c r="B620" s="197"/>
      <c r="C620" s="197"/>
      <c r="D620" s="197"/>
      <c r="E620" s="197"/>
      <c r="F620" s="175"/>
      <c r="G620" s="197"/>
      <c r="H620" s="197"/>
      <c r="I620" s="175"/>
      <c r="J620" s="197"/>
      <c r="K620" s="197"/>
      <c r="L620" s="197"/>
      <c r="M620" s="197"/>
      <c r="N620" s="197"/>
    </row>
    <row r="621">
      <c r="A621" s="197"/>
      <c r="B621" s="197"/>
      <c r="C621" s="197"/>
      <c r="D621" s="197"/>
      <c r="E621" s="197"/>
      <c r="F621" s="175"/>
      <c r="G621" s="197"/>
      <c r="H621" s="197"/>
      <c r="I621" s="175"/>
      <c r="J621" s="197"/>
      <c r="K621" s="197"/>
      <c r="L621" s="197"/>
      <c r="M621" s="197"/>
      <c r="N621" s="197"/>
    </row>
    <row r="622">
      <c r="A622" s="197"/>
      <c r="B622" s="197"/>
      <c r="C622" s="197"/>
      <c r="D622" s="197"/>
      <c r="E622" s="197"/>
      <c r="F622" s="175"/>
      <c r="G622" s="197"/>
      <c r="H622" s="197"/>
      <c r="I622" s="175"/>
      <c r="J622" s="197"/>
      <c r="K622" s="197"/>
      <c r="L622" s="197"/>
      <c r="M622" s="197"/>
      <c r="N622" s="197"/>
    </row>
    <row r="623">
      <c r="A623" s="197"/>
      <c r="B623" s="197"/>
      <c r="C623" s="197"/>
      <c r="D623" s="197"/>
      <c r="E623" s="197"/>
      <c r="F623" s="175"/>
      <c r="G623" s="197"/>
      <c r="H623" s="197"/>
      <c r="I623" s="175"/>
      <c r="J623" s="197"/>
      <c r="K623" s="197"/>
      <c r="L623" s="197"/>
      <c r="M623" s="197"/>
      <c r="N623" s="197"/>
    </row>
    <row r="624">
      <c r="A624" s="197"/>
      <c r="B624" s="197"/>
      <c r="C624" s="197"/>
      <c r="D624" s="197"/>
      <c r="E624" s="197"/>
      <c r="F624" s="175"/>
      <c r="G624" s="197"/>
      <c r="H624" s="197"/>
      <c r="I624" s="175"/>
      <c r="J624" s="197"/>
      <c r="K624" s="197"/>
      <c r="L624" s="197"/>
      <c r="M624" s="197"/>
      <c r="N624" s="197"/>
    </row>
    <row r="625">
      <c r="A625" s="197"/>
      <c r="B625" s="197"/>
      <c r="C625" s="197"/>
      <c r="D625" s="197"/>
      <c r="E625" s="197"/>
      <c r="F625" s="175"/>
      <c r="G625" s="197"/>
      <c r="H625" s="197"/>
      <c r="I625" s="175"/>
      <c r="J625" s="197"/>
      <c r="K625" s="197"/>
      <c r="L625" s="197"/>
      <c r="M625" s="197"/>
      <c r="N625" s="197"/>
    </row>
    <row r="626">
      <c r="A626" s="197"/>
      <c r="B626" s="197"/>
      <c r="C626" s="197"/>
      <c r="D626" s="197"/>
      <c r="E626" s="197"/>
      <c r="F626" s="175"/>
      <c r="G626" s="197"/>
      <c r="H626" s="197"/>
      <c r="I626" s="175"/>
      <c r="J626" s="197"/>
      <c r="K626" s="197"/>
      <c r="L626" s="197"/>
      <c r="M626" s="197"/>
      <c r="N626" s="197"/>
    </row>
    <row r="627">
      <c r="A627" s="197"/>
      <c r="B627" s="197"/>
      <c r="C627" s="197"/>
      <c r="D627" s="197"/>
      <c r="E627" s="197"/>
      <c r="F627" s="175"/>
      <c r="G627" s="197"/>
      <c r="H627" s="197"/>
      <c r="I627" s="175"/>
      <c r="J627" s="197"/>
      <c r="K627" s="197"/>
      <c r="L627" s="197"/>
      <c r="M627" s="197"/>
      <c r="N627" s="197"/>
    </row>
    <row r="628">
      <c r="A628" s="197"/>
      <c r="B628" s="197"/>
      <c r="C628" s="197"/>
      <c r="D628" s="197"/>
      <c r="E628" s="197"/>
      <c r="F628" s="175"/>
      <c r="G628" s="197"/>
      <c r="H628" s="197"/>
      <c r="I628" s="175"/>
      <c r="J628" s="197"/>
      <c r="K628" s="197"/>
      <c r="L628" s="197"/>
      <c r="M628" s="197"/>
      <c r="N628" s="197"/>
    </row>
    <row r="629">
      <c r="A629" s="197"/>
      <c r="B629" s="197"/>
      <c r="C629" s="197"/>
      <c r="D629" s="197"/>
      <c r="E629" s="197"/>
      <c r="F629" s="175"/>
      <c r="G629" s="197"/>
      <c r="H629" s="197"/>
      <c r="I629" s="175"/>
      <c r="J629" s="197"/>
      <c r="K629" s="197"/>
      <c r="L629" s="197"/>
      <c r="M629" s="197"/>
      <c r="N629" s="197"/>
    </row>
    <row r="630">
      <c r="A630" s="197"/>
      <c r="B630" s="197"/>
      <c r="C630" s="197"/>
      <c r="D630" s="197"/>
      <c r="E630" s="197"/>
      <c r="F630" s="175"/>
      <c r="G630" s="197"/>
      <c r="H630" s="197"/>
      <c r="I630" s="175"/>
      <c r="J630" s="197"/>
      <c r="K630" s="197"/>
      <c r="L630" s="197"/>
      <c r="M630" s="197"/>
      <c r="N630" s="197"/>
    </row>
    <row r="631">
      <c r="A631" s="197"/>
      <c r="B631" s="197"/>
      <c r="C631" s="197"/>
      <c r="D631" s="197"/>
      <c r="E631" s="197"/>
      <c r="F631" s="175"/>
      <c r="G631" s="197"/>
      <c r="H631" s="197"/>
      <c r="I631" s="175"/>
      <c r="J631" s="197"/>
      <c r="K631" s="197"/>
      <c r="L631" s="197"/>
      <c r="M631" s="197"/>
      <c r="N631" s="197"/>
    </row>
    <row r="632">
      <c r="A632" s="197"/>
      <c r="B632" s="197"/>
      <c r="C632" s="197"/>
      <c r="D632" s="197"/>
      <c r="E632" s="197"/>
      <c r="F632" s="175"/>
      <c r="G632" s="197"/>
      <c r="H632" s="197"/>
      <c r="I632" s="175"/>
      <c r="J632" s="197"/>
      <c r="K632" s="197"/>
      <c r="L632" s="197"/>
      <c r="M632" s="197"/>
      <c r="N632" s="197"/>
    </row>
    <row r="633">
      <c r="A633" s="197"/>
      <c r="B633" s="197"/>
      <c r="C633" s="197"/>
      <c r="D633" s="197"/>
      <c r="E633" s="197"/>
      <c r="F633" s="175"/>
      <c r="G633" s="197"/>
      <c r="H633" s="197"/>
      <c r="I633" s="175"/>
      <c r="J633" s="197"/>
      <c r="K633" s="197"/>
      <c r="L633" s="197"/>
      <c r="M633" s="197"/>
      <c r="N633" s="197"/>
    </row>
    <row r="634">
      <c r="A634" s="197"/>
      <c r="B634" s="197"/>
      <c r="C634" s="197"/>
      <c r="D634" s="197"/>
      <c r="E634" s="197"/>
      <c r="F634" s="175"/>
      <c r="G634" s="197"/>
      <c r="H634" s="197"/>
      <c r="I634" s="175"/>
      <c r="J634" s="197"/>
      <c r="K634" s="197"/>
      <c r="L634" s="197"/>
      <c r="M634" s="197"/>
      <c r="N634" s="197"/>
    </row>
    <row r="635">
      <c r="A635" s="197"/>
      <c r="B635" s="197"/>
      <c r="C635" s="197"/>
      <c r="D635" s="197"/>
      <c r="E635" s="197"/>
      <c r="F635" s="175"/>
      <c r="G635" s="197"/>
      <c r="H635" s="197"/>
      <c r="I635" s="175"/>
      <c r="J635" s="197"/>
      <c r="K635" s="197"/>
      <c r="L635" s="197"/>
      <c r="M635" s="197"/>
      <c r="N635" s="197"/>
    </row>
    <row r="636">
      <c r="A636" s="197"/>
      <c r="B636" s="197"/>
      <c r="C636" s="197"/>
      <c r="D636" s="197"/>
      <c r="E636" s="197"/>
      <c r="F636" s="175"/>
      <c r="G636" s="197"/>
      <c r="H636" s="197"/>
      <c r="I636" s="175"/>
      <c r="J636" s="197"/>
      <c r="K636" s="197"/>
      <c r="L636" s="197"/>
      <c r="M636" s="197"/>
      <c r="N636" s="197"/>
    </row>
    <row r="637">
      <c r="A637" s="197"/>
      <c r="B637" s="197"/>
      <c r="C637" s="197"/>
      <c r="D637" s="197"/>
      <c r="E637" s="197"/>
      <c r="F637" s="175"/>
      <c r="G637" s="197"/>
      <c r="H637" s="197"/>
      <c r="I637" s="175"/>
      <c r="J637" s="197"/>
      <c r="K637" s="197"/>
      <c r="L637" s="197"/>
      <c r="M637" s="197"/>
      <c r="N637" s="197"/>
    </row>
    <row r="638">
      <c r="A638" s="197"/>
      <c r="B638" s="197"/>
      <c r="C638" s="197"/>
      <c r="D638" s="197"/>
      <c r="E638" s="197"/>
      <c r="F638" s="175"/>
      <c r="G638" s="197"/>
      <c r="H638" s="197"/>
      <c r="I638" s="175"/>
      <c r="J638" s="197"/>
      <c r="K638" s="197"/>
      <c r="L638" s="197"/>
      <c r="M638" s="197"/>
      <c r="N638" s="197"/>
    </row>
    <row r="639">
      <c r="A639" s="197"/>
      <c r="B639" s="197"/>
      <c r="C639" s="197"/>
      <c r="D639" s="197"/>
      <c r="E639" s="197"/>
      <c r="F639" s="175"/>
      <c r="G639" s="197"/>
      <c r="H639" s="197"/>
      <c r="I639" s="175"/>
      <c r="J639" s="197"/>
      <c r="K639" s="197"/>
      <c r="L639" s="197"/>
      <c r="M639" s="197"/>
      <c r="N639" s="197"/>
    </row>
    <row r="640">
      <c r="A640" s="197"/>
      <c r="B640" s="197"/>
      <c r="C640" s="197"/>
      <c r="D640" s="197"/>
      <c r="E640" s="197"/>
      <c r="F640" s="175"/>
      <c r="G640" s="197"/>
      <c r="H640" s="197"/>
      <c r="I640" s="175"/>
      <c r="J640" s="197"/>
      <c r="K640" s="197"/>
      <c r="L640" s="197"/>
      <c r="M640" s="197"/>
      <c r="N640" s="197"/>
    </row>
    <row r="641">
      <c r="A641" s="197"/>
      <c r="B641" s="197"/>
      <c r="C641" s="197"/>
      <c r="D641" s="197"/>
      <c r="E641" s="197"/>
      <c r="F641" s="175"/>
      <c r="G641" s="197"/>
      <c r="H641" s="197"/>
      <c r="I641" s="175"/>
      <c r="J641" s="197"/>
      <c r="K641" s="197"/>
      <c r="L641" s="197"/>
      <c r="M641" s="197"/>
      <c r="N641" s="197"/>
    </row>
    <row r="642">
      <c r="A642" s="197"/>
      <c r="B642" s="197"/>
      <c r="C642" s="197"/>
      <c r="D642" s="197"/>
      <c r="E642" s="197"/>
      <c r="F642" s="175"/>
      <c r="G642" s="197"/>
      <c r="H642" s="197"/>
      <c r="I642" s="175"/>
      <c r="J642" s="197"/>
      <c r="K642" s="197"/>
      <c r="L642" s="197"/>
      <c r="M642" s="197"/>
      <c r="N642" s="197"/>
    </row>
    <row r="643">
      <c r="A643" s="197"/>
      <c r="B643" s="197"/>
      <c r="C643" s="197"/>
      <c r="D643" s="197"/>
      <c r="E643" s="197"/>
      <c r="F643" s="175"/>
      <c r="G643" s="197"/>
      <c r="H643" s="197"/>
      <c r="I643" s="175"/>
      <c r="J643" s="197"/>
      <c r="K643" s="197"/>
      <c r="L643" s="197"/>
      <c r="M643" s="197"/>
      <c r="N643" s="197"/>
    </row>
    <row r="644">
      <c r="A644" s="197"/>
      <c r="B644" s="197"/>
      <c r="C644" s="197"/>
      <c r="D644" s="197"/>
      <c r="E644" s="197"/>
      <c r="F644" s="175"/>
      <c r="G644" s="197"/>
      <c r="H644" s="197"/>
      <c r="I644" s="175"/>
      <c r="J644" s="197"/>
      <c r="K644" s="197"/>
      <c r="L644" s="197"/>
      <c r="M644" s="197"/>
      <c r="N644" s="197"/>
    </row>
    <row r="645">
      <c r="A645" s="197"/>
      <c r="B645" s="197"/>
      <c r="C645" s="197"/>
      <c r="D645" s="197"/>
      <c r="E645" s="197"/>
      <c r="F645" s="175"/>
      <c r="G645" s="197"/>
      <c r="H645" s="197"/>
      <c r="I645" s="175"/>
      <c r="J645" s="197"/>
      <c r="K645" s="197"/>
      <c r="L645" s="197"/>
      <c r="M645" s="197"/>
      <c r="N645" s="197"/>
    </row>
    <row r="646">
      <c r="A646" s="197"/>
      <c r="B646" s="197"/>
      <c r="C646" s="197"/>
      <c r="D646" s="197"/>
      <c r="E646" s="197"/>
      <c r="F646" s="175"/>
      <c r="G646" s="197"/>
      <c r="H646" s="197"/>
      <c r="I646" s="175"/>
      <c r="J646" s="197"/>
      <c r="K646" s="197"/>
      <c r="L646" s="197"/>
      <c r="M646" s="197"/>
      <c r="N646" s="197"/>
    </row>
    <row r="647">
      <c r="A647" s="197"/>
      <c r="B647" s="197"/>
      <c r="C647" s="197"/>
      <c r="D647" s="197"/>
      <c r="E647" s="197"/>
      <c r="F647" s="175"/>
      <c r="G647" s="197"/>
      <c r="H647" s="197"/>
      <c r="I647" s="175"/>
      <c r="J647" s="197"/>
      <c r="K647" s="197"/>
      <c r="L647" s="197"/>
      <c r="M647" s="197"/>
      <c r="N647" s="197"/>
    </row>
    <row r="648">
      <c r="A648" s="197"/>
      <c r="B648" s="197"/>
      <c r="C648" s="197"/>
      <c r="D648" s="197"/>
      <c r="E648" s="197"/>
      <c r="F648" s="175"/>
      <c r="G648" s="197"/>
      <c r="H648" s="197"/>
      <c r="I648" s="175"/>
      <c r="J648" s="197"/>
      <c r="K648" s="197"/>
      <c r="L648" s="197"/>
      <c r="M648" s="197"/>
      <c r="N648" s="197"/>
    </row>
    <row r="649">
      <c r="A649" s="197"/>
      <c r="B649" s="197"/>
      <c r="C649" s="197"/>
      <c r="D649" s="197"/>
      <c r="E649" s="197"/>
      <c r="F649" s="175"/>
      <c r="G649" s="197"/>
      <c r="H649" s="197"/>
      <c r="I649" s="175"/>
      <c r="J649" s="197"/>
      <c r="K649" s="197"/>
      <c r="L649" s="197"/>
      <c r="M649" s="197"/>
      <c r="N649" s="197"/>
    </row>
    <row r="650">
      <c r="A650" s="197"/>
      <c r="B650" s="197"/>
      <c r="C650" s="197"/>
      <c r="D650" s="197"/>
      <c r="E650" s="197"/>
      <c r="F650" s="175"/>
      <c r="G650" s="197"/>
      <c r="H650" s="197"/>
      <c r="I650" s="175"/>
      <c r="J650" s="197"/>
      <c r="K650" s="197"/>
      <c r="L650" s="197"/>
      <c r="M650" s="197"/>
      <c r="N650" s="197"/>
    </row>
    <row r="651">
      <c r="A651" s="197"/>
      <c r="B651" s="197"/>
      <c r="C651" s="197"/>
      <c r="D651" s="197"/>
      <c r="E651" s="197"/>
      <c r="F651" s="175"/>
      <c r="G651" s="197"/>
      <c r="H651" s="197"/>
      <c r="I651" s="175"/>
      <c r="J651" s="197"/>
      <c r="K651" s="197"/>
      <c r="L651" s="197"/>
      <c r="M651" s="197"/>
      <c r="N651" s="197"/>
    </row>
    <row r="652">
      <c r="A652" s="197"/>
      <c r="B652" s="197"/>
      <c r="C652" s="197"/>
      <c r="D652" s="197"/>
      <c r="E652" s="197"/>
      <c r="F652" s="175"/>
      <c r="G652" s="197"/>
      <c r="H652" s="197"/>
      <c r="I652" s="175"/>
      <c r="J652" s="197"/>
      <c r="K652" s="197"/>
      <c r="L652" s="197"/>
      <c r="M652" s="197"/>
      <c r="N652" s="197"/>
    </row>
    <row r="653">
      <c r="A653" s="197"/>
      <c r="B653" s="197"/>
      <c r="C653" s="197"/>
      <c r="D653" s="197"/>
      <c r="E653" s="197"/>
      <c r="F653" s="175"/>
      <c r="G653" s="197"/>
      <c r="H653" s="197"/>
      <c r="I653" s="175"/>
      <c r="J653" s="197"/>
      <c r="K653" s="197"/>
      <c r="L653" s="197"/>
      <c r="M653" s="197"/>
      <c r="N653" s="197"/>
    </row>
  </sheetData>
  <mergeCells count="4">
    <mergeCell ref="K2:L2"/>
    <mergeCell ref="G5:H6"/>
    <mergeCell ref="J5:K6"/>
    <mergeCell ref="M5:N6"/>
  </mergeCells>
  <conditionalFormatting sqref="B2:D3">
    <cfRule type="expression" dxfId="1" priority="1">
      <formula>IF(D2="Correct",TRUE)</formula>
    </cfRule>
  </conditionalFormatting>
  <conditionalFormatting sqref="B4:D4">
    <cfRule type="expression" dxfId="1" priority="2">
      <formula>IF(D4="Correct",TRUE)</formula>
    </cfRule>
  </conditionalFormatting>
  <conditionalFormatting sqref="C2:C3">
    <cfRule type="expression" dxfId="1" priority="3">
      <formula>IF(D2="Correct",TRUE)</formula>
    </cfRule>
  </conditionalFormatting>
  <conditionalFormatting sqref="C4">
    <cfRule type="expression" dxfId="1" priority="4">
      <formula>IF(D4="Correct",TRUE)</formula>
    </cfRule>
  </conditionalFormatting>
  <conditionalFormatting sqref="D2:D3">
    <cfRule type="cellIs" dxfId="5" priority="5" operator="equal">
      <formula>"Difficult"</formula>
    </cfRule>
  </conditionalFormatting>
  <conditionalFormatting sqref="D2:D3">
    <cfRule type="cellIs" dxfId="1" priority="6" operator="equal">
      <formula>"Correct"</formula>
    </cfRule>
  </conditionalFormatting>
  <conditionalFormatting sqref="D4">
    <cfRule type="cellIs" dxfId="1" priority="7" operator="equal">
      <formula>"Correct"</formula>
    </cfRule>
  </conditionalFormatting>
  <conditionalFormatting sqref="D4">
    <cfRule type="cellIs" dxfId="5" priority="8" operator="equal">
      <formula>"Diffic"</formula>
    </cfRule>
  </conditionalFormatting>
  <hyperlinks>
    <hyperlink r:id="rId1" ref="L6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5.38"/>
    <col customWidth="1" min="3" max="3" width="6.0"/>
    <col customWidth="1" min="4" max="4" width="24.5"/>
    <col customWidth="1" min="5" max="5" width="21.25"/>
    <col customWidth="1" min="6" max="6" width="19.13"/>
    <col customWidth="1" min="7" max="7" width="14.0"/>
    <col customWidth="1" min="8" max="8" width="21.0"/>
    <col customWidth="1" min="9" max="9" width="40.63"/>
    <col customWidth="1" min="10" max="10" width="24.88"/>
  </cols>
  <sheetData>
    <row r="1" ht="18.75" customHeight="1">
      <c r="A1" s="46" t="s">
        <v>0</v>
      </c>
      <c r="F1" s="46"/>
      <c r="H1" s="198" t="s">
        <v>1</v>
      </c>
      <c r="I1" s="199">
        <v>568.0</v>
      </c>
      <c r="J1" s="200"/>
      <c r="K1" s="16"/>
    </row>
    <row r="2" ht="18.75" customHeight="1">
      <c r="H2" s="201" t="s">
        <v>6</v>
      </c>
      <c r="I2" s="202">
        <f>COUNTIF(H7:H574,"")</f>
        <v>439</v>
      </c>
      <c r="J2" s="203"/>
      <c r="K2" s="16"/>
    </row>
    <row r="3" ht="18.75" customHeight="1">
      <c r="A3" s="204" t="s">
        <v>8</v>
      </c>
      <c r="B3" s="26"/>
      <c r="C3" s="27"/>
      <c r="D3" s="35"/>
      <c r="E3" s="35"/>
      <c r="H3" s="205" t="s">
        <v>13</v>
      </c>
      <c r="I3" s="206">
        <f>COUNTIF(H7:H574,"&gt;&lt;")</f>
        <v>129</v>
      </c>
      <c r="J3" s="207">
        <f t="shared" ref="J3:J4" si="1">SUM(I3/568)</f>
        <v>0.2271126761</v>
      </c>
      <c r="K3" s="16"/>
    </row>
    <row r="4" ht="18.75" customHeight="1">
      <c r="A4" s="26" t="s">
        <v>1337</v>
      </c>
      <c r="B4" s="208" t="s">
        <v>1338</v>
      </c>
      <c r="C4" s="27"/>
      <c r="D4" s="35"/>
      <c r="E4" s="35"/>
      <c r="H4" s="209" t="s">
        <v>16</v>
      </c>
      <c r="I4" s="210">
        <f>COUNTIF(I7:I574,"&gt;&lt;")</f>
        <v>68</v>
      </c>
      <c r="J4" s="211">
        <f t="shared" si="1"/>
        <v>0.1197183099</v>
      </c>
      <c r="K4" s="16"/>
    </row>
    <row r="5" ht="18.75" customHeight="1">
      <c r="A5" s="26" t="s">
        <v>1339</v>
      </c>
      <c r="B5" s="212" t="s">
        <v>1340</v>
      </c>
      <c r="C5" s="27"/>
      <c r="D5" s="35"/>
      <c r="E5" s="35"/>
      <c r="H5" s="51" t="s">
        <v>24</v>
      </c>
      <c r="I5" s="51" t="s">
        <v>1341</v>
      </c>
      <c r="J5" s="27"/>
      <c r="K5" s="16"/>
    </row>
    <row r="6" ht="18.75" customHeight="1">
      <c r="A6" s="213" t="s">
        <v>27</v>
      </c>
      <c r="B6" s="213" t="s">
        <v>28</v>
      </c>
      <c r="C6" s="213" t="s">
        <v>29</v>
      </c>
      <c r="D6" s="214" t="s">
        <v>30</v>
      </c>
      <c r="E6" s="214" t="s">
        <v>31</v>
      </c>
      <c r="F6" s="215" t="s">
        <v>32</v>
      </c>
      <c r="G6" s="213" t="s">
        <v>33</v>
      </c>
      <c r="H6" s="213" t="s">
        <v>34</v>
      </c>
      <c r="I6" s="213" t="s">
        <v>35</v>
      </c>
      <c r="J6" s="213" t="s">
        <v>36</v>
      </c>
      <c r="K6" s="213" t="s">
        <v>37</v>
      </c>
    </row>
    <row r="7">
      <c r="A7" s="216" t="s">
        <v>1342</v>
      </c>
      <c r="B7" s="217">
        <v>1.0</v>
      </c>
      <c r="C7" s="217">
        <v>7.0</v>
      </c>
      <c r="D7" s="218">
        <v>52.122441</v>
      </c>
      <c r="E7" s="218">
        <v>5.38235</v>
      </c>
      <c r="F7" s="216" t="s">
        <v>51</v>
      </c>
      <c r="G7" s="216" t="s">
        <v>52</v>
      </c>
      <c r="H7" s="216" t="s">
        <v>53</v>
      </c>
      <c r="I7" s="219" t="s">
        <v>54</v>
      </c>
      <c r="J7" s="220"/>
      <c r="K7" s="216" t="b">
        <v>1</v>
      </c>
    </row>
    <row r="8">
      <c r="A8" s="216" t="s">
        <v>1343</v>
      </c>
      <c r="B8" s="217">
        <v>1.0</v>
      </c>
      <c r="C8" s="217">
        <v>8.0</v>
      </c>
      <c r="D8" s="218">
        <v>52.122441</v>
      </c>
      <c r="E8" s="218">
        <v>5.382116</v>
      </c>
      <c r="F8" s="216" t="s">
        <v>57</v>
      </c>
      <c r="G8" s="216" t="s">
        <v>58</v>
      </c>
      <c r="I8" s="221"/>
      <c r="J8" s="222"/>
      <c r="K8" s="216" t="b">
        <v>0</v>
      </c>
    </row>
    <row r="9">
      <c r="A9" s="216" t="s">
        <v>1344</v>
      </c>
      <c r="B9" s="217">
        <v>1.0</v>
      </c>
      <c r="C9" s="217">
        <v>9.0</v>
      </c>
      <c r="D9" s="218">
        <v>52.122441</v>
      </c>
      <c r="E9" s="218">
        <v>5.382584</v>
      </c>
      <c r="F9" s="216" t="s">
        <v>57</v>
      </c>
      <c r="G9" s="216" t="s">
        <v>58</v>
      </c>
      <c r="I9" s="221"/>
      <c r="J9" s="222"/>
      <c r="K9" s="216" t="b">
        <v>0</v>
      </c>
    </row>
    <row r="10">
      <c r="A10" s="216" t="s">
        <v>1345</v>
      </c>
      <c r="B10" s="217">
        <v>1.0</v>
      </c>
      <c r="C10" s="217">
        <v>10.0</v>
      </c>
      <c r="D10" s="218">
        <v>52.122441</v>
      </c>
      <c r="E10" s="218">
        <v>5.382818</v>
      </c>
      <c r="F10" s="216" t="s">
        <v>57</v>
      </c>
      <c r="G10" s="216" t="s">
        <v>58</v>
      </c>
      <c r="H10" s="216" t="s">
        <v>53</v>
      </c>
      <c r="I10" s="221"/>
      <c r="J10" s="220" t="s">
        <v>1346</v>
      </c>
      <c r="K10" s="216" t="b">
        <v>0</v>
      </c>
    </row>
    <row r="11">
      <c r="A11" s="216" t="s">
        <v>1347</v>
      </c>
      <c r="B11" s="217">
        <v>1.0</v>
      </c>
      <c r="C11" s="217">
        <v>11.0</v>
      </c>
      <c r="D11" s="218">
        <v>52.122441</v>
      </c>
      <c r="E11" s="218">
        <v>5.383052</v>
      </c>
      <c r="F11" s="216" t="s">
        <v>51</v>
      </c>
      <c r="G11" s="216" t="s">
        <v>52</v>
      </c>
      <c r="I11" s="221"/>
      <c r="J11" s="223"/>
      <c r="K11" s="216" t="b">
        <v>0</v>
      </c>
    </row>
    <row r="12">
      <c r="A12" s="216" t="s">
        <v>1348</v>
      </c>
      <c r="B12" s="217">
        <v>2.0</v>
      </c>
      <c r="C12" s="217">
        <v>6.0</v>
      </c>
      <c r="D12" s="218">
        <v>52.122298</v>
      </c>
      <c r="E12" s="218">
        <v>5.381882</v>
      </c>
      <c r="F12" s="216" t="s">
        <v>70</v>
      </c>
      <c r="G12" s="216" t="s">
        <v>71</v>
      </c>
      <c r="I12" s="221"/>
      <c r="J12" s="224"/>
      <c r="K12" s="216" t="b">
        <v>0</v>
      </c>
    </row>
    <row r="13">
      <c r="A13" s="216" t="s">
        <v>1349</v>
      </c>
      <c r="B13" s="217">
        <v>2.0</v>
      </c>
      <c r="C13" s="217">
        <v>7.0</v>
      </c>
      <c r="D13" s="218">
        <v>52.122298</v>
      </c>
      <c r="E13" s="218">
        <v>5.382116</v>
      </c>
      <c r="F13" s="216" t="s">
        <v>57</v>
      </c>
      <c r="G13" s="216" t="s">
        <v>58</v>
      </c>
      <c r="I13" s="221"/>
      <c r="J13" s="223"/>
      <c r="K13" s="216" t="b">
        <v>0</v>
      </c>
    </row>
    <row r="14">
      <c r="A14" s="216" t="s">
        <v>1350</v>
      </c>
      <c r="B14" s="217">
        <v>2.0</v>
      </c>
      <c r="C14" s="217">
        <v>8.0</v>
      </c>
      <c r="D14" s="218">
        <v>52.122298</v>
      </c>
      <c r="E14" s="218">
        <v>5.38235</v>
      </c>
      <c r="F14" s="216" t="s">
        <v>78</v>
      </c>
      <c r="G14" s="216" t="s">
        <v>79</v>
      </c>
      <c r="I14" s="221"/>
      <c r="J14" s="224"/>
      <c r="K14" s="216" t="b">
        <v>0</v>
      </c>
    </row>
    <row r="15">
      <c r="A15" s="216" t="s">
        <v>1351</v>
      </c>
      <c r="B15" s="217">
        <v>2.0</v>
      </c>
      <c r="C15" s="217">
        <v>9.0</v>
      </c>
      <c r="D15" s="218">
        <v>52.122298</v>
      </c>
      <c r="E15" s="218">
        <v>5.382584</v>
      </c>
      <c r="F15" s="216" t="s">
        <v>70</v>
      </c>
      <c r="G15" s="216" t="s">
        <v>71</v>
      </c>
      <c r="I15" s="221"/>
      <c r="J15" s="224"/>
      <c r="K15" s="216" t="b">
        <v>0</v>
      </c>
    </row>
    <row r="16">
      <c r="A16" s="216" t="s">
        <v>1352</v>
      </c>
      <c r="B16" s="217">
        <v>2.0</v>
      </c>
      <c r="C16" s="217">
        <v>10.0</v>
      </c>
      <c r="D16" s="218">
        <v>52.122298</v>
      </c>
      <c r="E16" s="218">
        <v>5.382818</v>
      </c>
      <c r="F16" s="216" t="s">
        <v>78</v>
      </c>
      <c r="G16" s="216" t="s">
        <v>79</v>
      </c>
      <c r="I16" s="221"/>
      <c r="J16" s="222"/>
      <c r="K16" s="216" t="b">
        <v>0</v>
      </c>
    </row>
    <row r="17">
      <c r="A17" s="216" t="s">
        <v>1353</v>
      </c>
      <c r="B17" s="217">
        <v>2.0</v>
      </c>
      <c r="C17" s="217">
        <v>11.0</v>
      </c>
      <c r="D17" s="218">
        <v>52.122298</v>
      </c>
      <c r="E17" s="218">
        <v>5.383052</v>
      </c>
      <c r="F17" s="216" t="s">
        <v>78</v>
      </c>
      <c r="G17" s="216" t="s">
        <v>79</v>
      </c>
      <c r="I17" s="221"/>
      <c r="J17" s="224"/>
      <c r="K17" s="216" t="b">
        <v>0</v>
      </c>
    </row>
    <row r="18">
      <c r="A18" s="216" t="s">
        <v>1354</v>
      </c>
      <c r="B18" s="217">
        <v>2.0</v>
      </c>
      <c r="C18" s="217">
        <v>12.0</v>
      </c>
      <c r="D18" s="218">
        <v>52.122298</v>
      </c>
      <c r="E18" s="218">
        <v>5.383287</v>
      </c>
      <c r="F18" s="216" t="s">
        <v>70</v>
      </c>
      <c r="G18" s="216" t="s">
        <v>71</v>
      </c>
      <c r="I18" s="221"/>
      <c r="J18" s="224"/>
      <c r="K18" s="216" t="b">
        <v>0</v>
      </c>
    </row>
    <row r="19">
      <c r="A19" s="216" t="s">
        <v>1355</v>
      </c>
      <c r="B19" s="217">
        <v>3.0</v>
      </c>
      <c r="C19" s="217">
        <v>6.0</v>
      </c>
      <c r="D19" s="218">
        <v>52.122154</v>
      </c>
      <c r="E19" s="218">
        <v>5.381882</v>
      </c>
      <c r="F19" s="216" t="s">
        <v>78</v>
      </c>
      <c r="G19" s="216" t="s">
        <v>79</v>
      </c>
      <c r="I19" s="221"/>
      <c r="J19" s="224"/>
      <c r="K19" s="216" t="b">
        <v>0</v>
      </c>
    </row>
    <row r="20">
      <c r="A20" s="216" t="s">
        <v>1356</v>
      </c>
      <c r="B20" s="217">
        <v>3.0</v>
      </c>
      <c r="C20" s="217">
        <v>7.0</v>
      </c>
      <c r="D20" s="218">
        <v>52.122154</v>
      </c>
      <c r="E20" s="218">
        <v>5.382116</v>
      </c>
      <c r="F20" s="216" t="s">
        <v>78</v>
      </c>
      <c r="G20" s="216" t="s">
        <v>79</v>
      </c>
      <c r="I20" s="221"/>
      <c r="J20" s="224"/>
      <c r="K20" s="216" t="b">
        <v>0</v>
      </c>
    </row>
    <row r="21">
      <c r="A21" s="216" t="s">
        <v>1357</v>
      </c>
      <c r="B21" s="217">
        <v>3.0</v>
      </c>
      <c r="C21" s="217">
        <v>8.0</v>
      </c>
      <c r="D21" s="218">
        <v>52.122154</v>
      </c>
      <c r="E21" s="218">
        <v>5.38235</v>
      </c>
      <c r="F21" s="216" t="s">
        <v>100</v>
      </c>
      <c r="G21" s="216" t="s">
        <v>101</v>
      </c>
      <c r="I21" s="221"/>
      <c r="J21" s="224"/>
      <c r="K21" s="216" t="b">
        <v>0</v>
      </c>
    </row>
    <row r="22">
      <c r="A22" s="216" t="s">
        <v>1358</v>
      </c>
      <c r="B22" s="217">
        <v>3.0</v>
      </c>
      <c r="C22" s="217">
        <v>9.0</v>
      </c>
      <c r="D22" s="218">
        <v>52.122154</v>
      </c>
      <c r="E22" s="218">
        <v>5.382584</v>
      </c>
      <c r="F22" s="216" t="s">
        <v>51</v>
      </c>
      <c r="G22" s="216" t="s">
        <v>52</v>
      </c>
      <c r="I22" s="221"/>
      <c r="J22" s="225"/>
      <c r="K22" s="216" t="b">
        <v>0</v>
      </c>
    </row>
    <row r="23">
      <c r="A23" s="216" t="s">
        <v>1359</v>
      </c>
      <c r="B23" s="217">
        <v>3.0</v>
      </c>
      <c r="C23" s="217">
        <v>10.0</v>
      </c>
      <c r="D23" s="218">
        <v>52.122154</v>
      </c>
      <c r="E23" s="218">
        <v>5.382818</v>
      </c>
      <c r="F23" s="216" t="s">
        <v>51</v>
      </c>
      <c r="G23" s="216" t="s">
        <v>52</v>
      </c>
      <c r="I23" s="221"/>
      <c r="J23" s="225"/>
      <c r="K23" s="216" t="b">
        <v>0</v>
      </c>
    </row>
    <row r="24">
      <c r="A24" s="216" t="s">
        <v>1360</v>
      </c>
      <c r="B24" s="217">
        <v>3.0</v>
      </c>
      <c r="C24" s="217">
        <v>11.0</v>
      </c>
      <c r="D24" s="218">
        <v>52.122154</v>
      </c>
      <c r="E24" s="218">
        <v>5.383052</v>
      </c>
      <c r="F24" s="216" t="s">
        <v>70</v>
      </c>
      <c r="G24" s="216" t="s">
        <v>71</v>
      </c>
      <c r="I24" s="221"/>
      <c r="J24" s="225"/>
      <c r="K24" s="216" t="b">
        <v>0</v>
      </c>
    </row>
    <row r="25">
      <c r="A25" s="216" t="s">
        <v>1361</v>
      </c>
      <c r="B25" s="217">
        <v>3.0</v>
      </c>
      <c r="C25" s="217">
        <v>12.0</v>
      </c>
      <c r="D25" s="218">
        <v>52.122154</v>
      </c>
      <c r="E25" s="218">
        <v>5.383287</v>
      </c>
      <c r="F25" s="216" t="s">
        <v>78</v>
      </c>
      <c r="G25" s="216" t="s">
        <v>79</v>
      </c>
      <c r="I25" s="221"/>
      <c r="J25" s="225"/>
      <c r="K25" s="216" t="b">
        <v>0</v>
      </c>
    </row>
    <row r="26">
      <c r="A26" s="216" t="s">
        <v>1362</v>
      </c>
      <c r="B26" s="217">
        <v>3.0</v>
      </c>
      <c r="C26" s="217">
        <v>13.0</v>
      </c>
      <c r="D26" s="218">
        <v>52.122154</v>
      </c>
      <c r="E26" s="218">
        <v>5.383521</v>
      </c>
      <c r="F26" s="216" t="s">
        <v>51</v>
      </c>
      <c r="G26" s="216" t="s">
        <v>52</v>
      </c>
      <c r="I26" s="221"/>
      <c r="J26" s="225"/>
      <c r="K26" s="216" t="b">
        <v>0</v>
      </c>
    </row>
    <row r="27">
      <c r="A27" s="216" t="s">
        <v>1363</v>
      </c>
      <c r="B27" s="217">
        <v>4.0</v>
      </c>
      <c r="C27" s="217">
        <v>5.0</v>
      </c>
      <c r="D27" s="218">
        <v>52.12201</v>
      </c>
      <c r="E27" s="218">
        <v>5.381648</v>
      </c>
      <c r="F27" s="216" t="s">
        <v>117</v>
      </c>
      <c r="G27" s="216" t="s">
        <v>118</v>
      </c>
      <c r="I27" s="221"/>
      <c r="J27" s="225"/>
      <c r="K27" s="216" t="b">
        <v>0</v>
      </c>
    </row>
    <row r="28">
      <c r="A28" s="216" t="s">
        <v>1364</v>
      </c>
      <c r="B28" s="217">
        <v>4.0</v>
      </c>
      <c r="C28" s="217">
        <v>6.0</v>
      </c>
      <c r="D28" s="218">
        <v>52.12201</v>
      </c>
      <c r="E28" s="218">
        <v>5.381882</v>
      </c>
      <c r="F28" s="216" t="s">
        <v>121</v>
      </c>
      <c r="G28" s="216" t="s">
        <v>122</v>
      </c>
      <c r="H28" s="216" t="s">
        <v>53</v>
      </c>
      <c r="I28" s="221"/>
      <c r="J28" s="220" t="s">
        <v>1346</v>
      </c>
      <c r="K28" s="216" t="b">
        <v>0</v>
      </c>
    </row>
    <row r="29">
      <c r="A29" s="216" t="s">
        <v>1365</v>
      </c>
      <c r="B29" s="217">
        <v>4.0</v>
      </c>
      <c r="C29" s="217">
        <v>7.0</v>
      </c>
      <c r="D29" s="218">
        <v>52.12201</v>
      </c>
      <c r="E29" s="218">
        <v>5.382116</v>
      </c>
      <c r="F29" s="216" t="s">
        <v>125</v>
      </c>
      <c r="G29" s="216" t="s">
        <v>126</v>
      </c>
      <c r="H29" s="216" t="s">
        <v>219</v>
      </c>
      <c r="I29" s="219" t="s">
        <v>1366</v>
      </c>
      <c r="J29" s="225"/>
      <c r="K29" s="216" t="b">
        <v>0</v>
      </c>
    </row>
    <row r="30">
      <c r="A30" s="216" t="s">
        <v>1367</v>
      </c>
      <c r="B30" s="217">
        <v>4.0</v>
      </c>
      <c r="C30" s="217">
        <v>8.0</v>
      </c>
      <c r="D30" s="218">
        <v>52.12201</v>
      </c>
      <c r="E30" s="218">
        <v>5.38235</v>
      </c>
      <c r="F30" s="216" t="s">
        <v>128</v>
      </c>
      <c r="G30" s="216" t="s">
        <v>129</v>
      </c>
      <c r="I30" s="221"/>
      <c r="J30" s="222"/>
      <c r="K30" s="216" t="b">
        <v>0</v>
      </c>
    </row>
    <row r="31">
      <c r="A31" s="216" t="s">
        <v>1368</v>
      </c>
      <c r="B31" s="217">
        <v>4.0</v>
      </c>
      <c r="C31" s="217">
        <v>9.0</v>
      </c>
      <c r="D31" s="218">
        <v>52.12201</v>
      </c>
      <c r="E31" s="218">
        <v>5.382584</v>
      </c>
      <c r="F31" s="216" t="s">
        <v>132</v>
      </c>
      <c r="G31" s="216" t="s">
        <v>133</v>
      </c>
      <c r="H31" s="216" t="s">
        <v>53</v>
      </c>
      <c r="I31" s="221"/>
      <c r="J31" s="220" t="s">
        <v>1346</v>
      </c>
      <c r="K31" s="216" t="b">
        <v>0</v>
      </c>
    </row>
    <row r="32">
      <c r="A32" s="216" t="s">
        <v>1369</v>
      </c>
      <c r="B32" s="217">
        <v>4.0</v>
      </c>
      <c r="C32" s="217">
        <v>10.0</v>
      </c>
      <c r="D32" s="218">
        <v>52.12201</v>
      </c>
      <c r="E32" s="218">
        <v>5.382818</v>
      </c>
      <c r="F32" s="216" t="s">
        <v>136</v>
      </c>
      <c r="G32" s="216" t="s">
        <v>137</v>
      </c>
      <c r="I32" s="221"/>
      <c r="J32" s="222"/>
      <c r="K32" s="216" t="b">
        <v>0</v>
      </c>
    </row>
    <row r="33">
      <c r="A33" s="216" t="s">
        <v>1370</v>
      </c>
      <c r="B33" s="217">
        <v>4.0</v>
      </c>
      <c r="C33" s="217">
        <v>11.0</v>
      </c>
      <c r="D33" s="218">
        <v>52.12201</v>
      </c>
      <c r="E33" s="218">
        <v>5.383052</v>
      </c>
      <c r="F33" s="216" t="s">
        <v>125</v>
      </c>
      <c r="G33" s="216" t="s">
        <v>126</v>
      </c>
      <c r="H33" s="216" t="s">
        <v>1371</v>
      </c>
      <c r="I33" s="219" t="s">
        <v>1372</v>
      </c>
      <c r="J33" s="222"/>
      <c r="K33" s="216" t="b">
        <v>0</v>
      </c>
    </row>
    <row r="34">
      <c r="A34" s="216" t="s">
        <v>1373</v>
      </c>
      <c r="B34" s="217">
        <v>4.0</v>
      </c>
      <c r="C34" s="217">
        <v>12.0</v>
      </c>
      <c r="D34" s="218">
        <v>52.12201</v>
      </c>
      <c r="E34" s="218">
        <v>5.383287</v>
      </c>
      <c r="F34" s="216" t="s">
        <v>78</v>
      </c>
      <c r="G34" s="216" t="s">
        <v>79</v>
      </c>
      <c r="H34" s="216" t="s">
        <v>53</v>
      </c>
      <c r="I34" s="221"/>
      <c r="J34" s="220" t="s">
        <v>1346</v>
      </c>
      <c r="K34" s="216" t="b">
        <v>0</v>
      </c>
    </row>
    <row r="35">
      <c r="A35" s="216" t="s">
        <v>1374</v>
      </c>
      <c r="B35" s="217">
        <v>4.0</v>
      </c>
      <c r="C35" s="217">
        <v>13.0</v>
      </c>
      <c r="D35" s="218">
        <v>52.12201</v>
      </c>
      <c r="E35" s="218">
        <v>5.383521</v>
      </c>
      <c r="F35" s="216" t="s">
        <v>70</v>
      </c>
      <c r="G35" s="216" t="s">
        <v>71</v>
      </c>
      <c r="I35" s="221"/>
      <c r="J35" s="222"/>
      <c r="K35" s="216" t="b">
        <v>0</v>
      </c>
    </row>
    <row r="36">
      <c r="A36" s="216" t="s">
        <v>1375</v>
      </c>
      <c r="B36" s="217">
        <v>4.0</v>
      </c>
      <c r="C36" s="217">
        <v>14.0</v>
      </c>
      <c r="D36" s="218">
        <v>52.12201</v>
      </c>
      <c r="E36" s="218">
        <v>5.383755</v>
      </c>
      <c r="F36" s="216" t="s">
        <v>51</v>
      </c>
      <c r="G36" s="216" t="s">
        <v>52</v>
      </c>
      <c r="I36" s="221"/>
      <c r="J36" s="222"/>
      <c r="K36" s="216" t="b">
        <v>0</v>
      </c>
    </row>
    <row r="37">
      <c r="A37" s="216" t="s">
        <v>1376</v>
      </c>
      <c r="B37" s="217">
        <v>5.0</v>
      </c>
      <c r="C37" s="217">
        <v>5.0</v>
      </c>
      <c r="D37" s="218">
        <v>52.121866</v>
      </c>
      <c r="E37" s="218">
        <v>5.381648</v>
      </c>
      <c r="F37" s="216" t="s">
        <v>147</v>
      </c>
      <c r="G37" s="216" t="s">
        <v>148</v>
      </c>
      <c r="I37" s="221"/>
      <c r="J37" s="222"/>
      <c r="K37" s="216" t="b">
        <v>0</v>
      </c>
    </row>
    <row r="38">
      <c r="A38" s="216" t="s">
        <v>1377</v>
      </c>
      <c r="B38" s="217">
        <v>5.0</v>
      </c>
      <c r="C38" s="217">
        <v>6.0</v>
      </c>
      <c r="D38" s="218">
        <v>52.121866</v>
      </c>
      <c r="E38" s="218">
        <v>5.381882</v>
      </c>
      <c r="F38" s="216" t="s">
        <v>151</v>
      </c>
      <c r="G38" s="216" t="s">
        <v>152</v>
      </c>
      <c r="I38" s="221"/>
      <c r="J38" s="222"/>
      <c r="K38" s="216" t="b">
        <v>0</v>
      </c>
    </row>
    <row r="39">
      <c r="A39" s="216" t="s">
        <v>1378</v>
      </c>
      <c r="B39" s="217">
        <v>5.0</v>
      </c>
      <c r="C39" s="217">
        <v>7.0</v>
      </c>
      <c r="D39" s="218">
        <v>52.121866</v>
      </c>
      <c r="E39" s="218">
        <v>5.382116</v>
      </c>
      <c r="F39" s="216" t="s">
        <v>117</v>
      </c>
      <c r="G39" s="216" t="s">
        <v>118</v>
      </c>
      <c r="I39" s="221"/>
      <c r="J39" s="222"/>
      <c r="K39" s="216" t="b">
        <v>0</v>
      </c>
    </row>
    <row r="40">
      <c r="A40" s="216" t="s">
        <v>1379</v>
      </c>
      <c r="B40" s="217">
        <v>5.0</v>
      </c>
      <c r="C40" s="217">
        <v>8.0</v>
      </c>
      <c r="D40" s="218">
        <v>52.121866</v>
      </c>
      <c r="E40" s="218">
        <v>5.38235</v>
      </c>
      <c r="F40" s="216" t="s">
        <v>128</v>
      </c>
      <c r="G40" s="216" t="s">
        <v>129</v>
      </c>
      <c r="I40" s="221"/>
      <c r="J40" s="222"/>
      <c r="K40" s="216" t="b">
        <v>0</v>
      </c>
    </row>
    <row r="41">
      <c r="A41" s="216" t="s">
        <v>1380</v>
      </c>
      <c r="B41" s="217">
        <v>5.0</v>
      </c>
      <c r="C41" s="217">
        <v>9.0</v>
      </c>
      <c r="D41" s="218">
        <v>52.121866</v>
      </c>
      <c r="E41" s="218">
        <v>5.382584</v>
      </c>
      <c r="F41" s="216" t="s">
        <v>128</v>
      </c>
      <c r="G41" s="216" t="s">
        <v>129</v>
      </c>
      <c r="I41" s="221"/>
      <c r="J41" s="222"/>
      <c r="K41" s="216" t="b">
        <v>0</v>
      </c>
    </row>
    <row r="42">
      <c r="A42" s="216" t="s">
        <v>1381</v>
      </c>
      <c r="B42" s="217">
        <v>5.0</v>
      </c>
      <c r="C42" s="217">
        <v>10.0</v>
      </c>
      <c r="D42" s="218">
        <v>52.121866</v>
      </c>
      <c r="E42" s="218">
        <v>5.382818</v>
      </c>
      <c r="F42" s="216" t="s">
        <v>128</v>
      </c>
      <c r="G42" s="216" t="s">
        <v>129</v>
      </c>
      <c r="I42" s="221"/>
      <c r="J42" s="222"/>
      <c r="K42" s="216" t="b">
        <v>0</v>
      </c>
    </row>
    <row r="43">
      <c r="A43" s="216" t="s">
        <v>1382</v>
      </c>
      <c r="B43" s="217">
        <v>5.0</v>
      </c>
      <c r="C43" s="217">
        <v>11.0</v>
      </c>
      <c r="D43" s="218">
        <v>52.121866</v>
      </c>
      <c r="E43" s="218">
        <v>5.383052</v>
      </c>
      <c r="F43" s="216" t="s">
        <v>70</v>
      </c>
      <c r="G43" s="216" t="s">
        <v>71</v>
      </c>
      <c r="I43" s="221"/>
      <c r="J43" s="222"/>
      <c r="K43" s="216" t="b">
        <v>0</v>
      </c>
    </row>
    <row r="44">
      <c r="A44" s="216" t="s">
        <v>1383</v>
      </c>
      <c r="B44" s="217">
        <v>5.0</v>
      </c>
      <c r="C44" s="217">
        <v>12.0</v>
      </c>
      <c r="D44" s="218">
        <v>52.121866</v>
      </c>
      <c r="E44" s="218">
        <v>5.383287</v>
      </c>
      <c r="F44" s="216" t="s">
        <v>78</v>
      </c>
      <c r="G44" s="216" t="s">
        <v>79</v>
      </c>
      <c r="I44" s="221"/>
      <c r="J44" s="222"/>
      <c r="K44" s="216" t="b">
        <v>0</v>
      </c>
    </row>
    <row r="45">
      <c r="A45" s="216" t="s">
        <v>1384</v>
      </c>
      <c r="B45" s="217">
        <v>5.0</v>
      </c>
      <c r="C45" s="217">
        <v>13.0</v>
      </c>
      <c r="D45" s="218">
        <v>52.121866</v>
      </c>
      <c r="E45" s="218">
        <v>5.383521</v>
      </c>
      <c r="F45" s="216" t="s">
        <v>125</v>
      </c>
      <c r="G45" s="216" t="s">
        <v>126</v>
      </c>
      <c r="I45" s="221"/>
      <c r="J45" s="222"/>
      <c r="K45" s="216" t="b">
        <v>0</v>
      </c>
    </row>
    <row r="46">
      <c r="A46" s="216" t="s">
        <v>1385</v>
      </c>
      <c r="B46" s="217">
        <v>5.0</v>
      </c>
      <c r="C46" s="217">
        <v>14.0</v>
      </c>
      <c r="D46" s="218">
        <v>52.121866</v>
      </c>
      <c r="E46" s="218">
        <v>5.383755</v>
      </c>
      <c r="F46" s="216" t="s">
        <v>125</v>
      </c>
      <c r="G46" s="216" t="s">
        <v>126</v>
      </c>
      <c r="I46" s="221"/>
      <c r="J46" s="222"/>
      <c r="K46" s="216" t="b">
        <v>0</v>
      </c>
    </row>
    <row r="47">
      <c r="A47" s="216" t="s">
        <v>1386</v>
      </c>
      <c r="B47" s="217">
        <v>5.0</v>
      </c>
      <c r="C47" s="217">
        <v>15.0</v>
      </c>
      <c r="D47" s="218">
        <v>52.121866</v>
      </c>
      <c r="E47" s="218">
        <v>5.383989</v>
      </c>
      <c r="F47" s="216" t="s">
        <v>51</v>
      </c>
      <c r="G47" s="216" t="s">
        <v>52</v>
      </c>
      <c r="I47" s="221"/>
      <c r="J47" s="222"/>
      <c r="K47" s="216" t="b">
        <v>0</v>
      </c>
    </row>
    <row r="48">
      <c r="A48" s="216" t="s">
        <v>1387</v>
      </c>
      <c r="B48" s="217">
        <v>6.0</v>
      </c>
      <c r="C48" s="217">
        <v>3.0</v>
      </c>
      <c r="D48" s="218">
        <v>52.121723</v>
      </c>
      <c r="E48" s="218">
        <v>5.38118</v>
      </c>
      <c r="F48" s="216" t="s">
        <v>147</v>
      </c>
      <c r="G48" s="216" t="s">
        <v>148</v>
      </c>
      <c r="I48" s="221"/>
      <c r="J48" s="222"/>
      <c r="K48" s="216" t="b">
        <v>0</v>
      </c>
    </row>
    <row r="49">
      <c r="A49" s="216" t="s">
        <v>1388</v>
      </c>
      <c r="B49" s="217">
        <v>6.0</v>
      </c>
      <c r="C49" s="217">
        <v>4.0</v>
      </c>
      <c r="D49" s="218">
        <v>52.121723</v>
      </c>
      <c r="E49" s="218">
        <v>5.381414</v>
      </c>
      <c r="F49" s="216" t="s">
        <v>177</v>
      </c>
      <c r="G49" s="216" t="s">
        <v>178</v>
      </c>
      <c r="I49" s="221"/>
      <c r="J49" s="222"/>
      <c r="K49" s="216" t="b">
        <v>0</v>
      </c>
    </row>
    <row r="50">
      <c r="A50" s="216" t="s">
        <v>1389</v>
      </c>
      <c r="B50" s="217">
        <v>6.0</v>
      </c>
      <c r="C50" s="217">
        <v>5.0</v>
      </c>
      <c r="D50" s="218">
        <v>52.121723</v>
      </c>
      <c r="E50" s="218">
        <v>5.381648</v>
      </c>
      <c r="F50" s="216" t="s">
        <v>177</v>
      </c>
      <c r="G50" s="216" t="s">
        <v>178</v>
      </c>
      <c r="I50" s="221"/>
      <c r="J50" s="222"/>
      <c r="K50" s="216" t="b">
        <v>0</v>
      </c>
    </row>
    <row r="51">
      <c r="A51" s="216" t="s">
        <v>1390</v>
      </c>
      <c r="B51" s="217">
        <v>6.0</v>
      </c>
      <c r="C51" s="217">
        <v>6.0</v>
      </c>
      <c r="D51" s="218">
        <v>52.121723</v>
      </c>
      <c r="E51" s="218">
        <v>5.381882</v>
      </c>
      <c r="F51" s="216" t="s">
        <v>177</v>
      </c>
      <c r="G51" s="216" t="s">
        <v>178</v>
      </c>
      <c r="I51" s="221"/>
      <c r="J51" s="222"/>
      <c r="K51" s="216" t="b">
        <v>0</v>
      </c>
    </row>
    <row r="52">
      <c r="A52" s="216" t="s">
        <v>1391</v>
      </c>
      <c r="B52" s="217">
        <v>6.0</v>
      </c>
      <c r="C52" s="217">
        <v>7.0</v>
      </c>
      <c r="D52" s="218">
        <v>52.121723</v>
      </c>
      <c r="E52" s="218">
        <v>5.382116</v>
      </c>
      <c r="F52" s="216" t="s">
        <v>186</v>
      </c>
      <c r="G52" s="216" t="s">
        <v>187</v>
      </c>
      <c r="I52" s="221"/>
      <c r="J52" s="222"/>
      <c r="K52" s="216" t="b">
        <v>0</v>
      </c>
    </row>
    <row r="53">
      <c r="A53" s="216" t="s">
        <v>1392</v>
      </c>
      <c r="B53" s="217">
        <v>6.0</v>
      </c>
      <c r="C53" s="217">
        <v>8.0</v>
      </c>
      <c r="D53" s="218">
        <v>52.121723</v>
      </c>
      <c r="E53" s="218">
        <v>5.38235</v>
      </c>
      <c r="F53" s="216" t="s">
        <v>51</v>
      </c>
      <c r="G53" s="216" t="s">
        <v>52</v>
      </c>
      <c r="I53" s="221"/>
      <c r="J53" s="222"/>
      <c r="K53" s="216" t="b">
        <v>0</v>
      </c>
    </row>
    <row r="54">
      <c r="A54" s="216" t="s">
        <v>1393</v>
      </c>
      <c r="B54" s="217">
        <v>6.0</v>
      </c>
      <c r="C54" s="217">
        <v>9.0</v>
      </c>
      <c r="D54" s="218">
        <v>52.121723</v>
      </c>
      <c r="E54" s="218">
        <v>5.382584</v>
      </c>
      <c r="F54" s="216" t="s">
        <v>136</v>
      </c>
      <c r="G54" s="216" t="s">
        <v>137</v>
      </c>
      <c r="I54" s="221"/>
      <c r="J54" s="222"/>
      <c r="K54" s="216" t="b">
        <v>0</v>
      </c>
    </row>
    <row r="55">
      <c r="A55" s="216" t="s">
        <v>1394</v>
      </c>
      <c r="B55" s="217">
        <v>6.0</v>
      </c>
      <c r="C55" s="217">
        <v>10.0</v>
      </c>
      <c r="D55" s="218">
        <v>52.121723</v>
      </c>
      <c r="E55" s="218">
        <v>5.382818</v>
      </c>
      <c r="F55" s="216" t="s">
        <v>57</v>
      </c>
      <c r="G55" s="216" t="s">
        <v>58</v>
      </c>
      <c r="I55" s="221"/>
      <c r="J55" s="222"/>
      <c r="K55" s="216" t="b">
        <v>0</v>
      </c>
    </row>
    <row r="56">
      <c r="A56" s="216" t="s">
        <v>1395</v>
      </c>
      <c r="B56" s="217">
        <v>6.0</v>
      </c>
      <c r="C56" s="217">
        <v>11.0</v>
      </c>
      <c r="D56" s="218">
        <v>52.121723</v>
      </c>
      <c r="E56" s="218">
        <v>5.383052</v>
      </c>
      <c r="F56" s="216" t="s">
        <v>78</v>
      </c>
      <c r="G56" s="216" t="s">
        <v>79</v>
      </c>
      <c r="I56" s="221"/>
      <c r="J56" s="222"/>
      <c r="K56" s="216" t="b">
        <v>0</v>
      </c>
    </row>
    <row r="57">
      <c r="A57" s="216" t="s">
        <v>1396</v>
      </c>
      <c r="B57" s="217">
        <v>6.0</v>
      </c>
      <c r="C57" s="217">
        <v>12.0</v>
      </c>
      <c r="D57" s="218">
        <v>52.121723</v>
      </c>
      <c r="E57" s="218">
        <v>5.383286</v>
      </c>
      <c r="F57" s="216" t="s">
        <v>70</v>
      </c>
      <c r="G57" s="216" t="s">
        <v>71</v>
      </c>
      <c r="I57" s="221"/>
      <c r="J57" s="222"/>
      <c r="K57" s="216" t="b">
        <v>0</v>
      </c>
    </row>
    <row r="58">
      <c r="A58" s="216" t="s">
        <v>1397</v>
      </c>
      <c r="B58" s="217">
        <v>6.0</v>
      </c>
      <c r="C58" s="217">
        <v>13.0</v>
      </c>
      <c r="D58" s="218">
        <v>52.121723</v>
      </c>
      <c r="E58" s="218">
        <v>5.383521</v>
      </c>
      <c r="F58" s="216" t="s">
        <v>100</v>
      </c>
      <c r="G58" s="216" t="s">
        <v>101</v>
      </c>
      <c r="I58" s="221"/>
      <c r="J58" s="222"/>
      <c r="K58" s="216" t="b">
        <v>0</v>
      </c>
    </row>
    <row r="59">
      <c r="A59" s="216" t="s">
        <v>1398</v>
      </c>
      <c r="B59" s="217">
        <v>6.0</v>
      </c>
      <c r="C59" s="217">
        <v>14.0</v>
      </c>
      <c r="D59" s="218">
        <v>52.121723</v>
      </c>
      <c r="E59" s="218">
        <v>5.383755</v>
      </c>
      <c r="F59" s="216" t="s">
        <v>125</v>
      </c>
      <c r="G59" s="216" t="s">
        <v>126</v>
      </c>
      <c r="I59" s="221"/>
      <c r="J59" s="222"/>
      <c r="K59" s="216" t="b">
        <v>0</v>
      </c>
    </row>
    <row r="60">
      <c r="A60" s="216" t="s">
        <v>1399</v>
      </c>
      <c r="B60" s="217">
        <v>6.0</v>
      </c>
      <c r="C60" s="217">
        <v>15.0</v>
      </c>
      <c r="D60" s="218">
        <v>52.121723</v>
      </c>
      <c r="E60" s="218">
        <v>5.383989</v>
      </c>
      <c r="F60" s="216" t="s">
        <v>57</v>
      </c>
      <c r="G60" s="216" t="s">
        <v>58</v>
      </c>
      <c r="I60" s="221"/>
      <c r="J60" s="222"/>
      <c r="K60" s="216" t="b">
        <v>0</v>
      </c>
    </row>
    <row r="61">
      <c r="A61" s="216" t="s">
        <v>1400</v>
      </c>
      <c r="B61" s="217">
        <v>6.0</v>
      </c>
      <c r="C61" s="217">
        <v>16.0</v>
      </c>
      <c r="D61" s="218">
        <v>52.121723</v>
      </c>
      <c r="E61" s="218">
        <v>5.384223</v>
      </c>
      <c r="F61" s="216" t="s">
        <v>128</v>
      </c>
      <c r="G61" s="216" t="s">
        <v>129</v>
      </c>
      <c r="I61" s="221"/>
      <c r="J61" s="222"/>
      <c r="K61" s="216" t="b">
        <v>0</v>
      </c>
    </row>
    <row r="62">
      <c r="A62" s="216" t="s">
        <v>1401</v>
      </c>
      <c r="B62" s="217">
        <v>7.0</v>
      </c>
      <c r="C62" s="217">
        <v>2.0</v>
      </c>
      <c r="D62" s="218">
        <v>52.121579</v>
      </c>
      <c r="E62" s="218">
        <v>5.380946</v>
      </c>
      <c r="F62" s="216" t="s">
        <v>147</v>
      </c>
      <c r="G62" s="216" t="s">
        <v>148</v>
      </c>
      <c r="I62" s="221"/>
      <c r="J62" s="222"/>
      <c r="K62" s="216" t="b">
        <v>0</v>
      </c>
    </row>
    <row r="63">
      <c r="A63" s="216" t="s">
        <v>1402</v>
      </c>
      <c r="B63" s="217">
        <v>7.0</v>
      </c>
      <c r="C63" s="217">
        <v>3.0</v>
      </c>
      <c r="D63" s="218">
        <v>52.121579</v>
      </c>
      <c r="E63" s="218">
        <v>5.38118</v>
      </c>
      <c r="F63" s="216" t="s">
        <v>214</v>
      </c>
      <c r="G63" s="216" t="s">
        <v>215</v>
      </c>
      <c r="I63" s="221"/>
      <c r="J63" s="222"/>
      <c r="K63" s="216" t="b">
        <v>0</v>
      </c>
    </row>
    <row r="64">
      <c r="A64" s="216" t="s">
        <v>1403</v>
      </c>
      <c r="B64" s="217">
        <v>7.0</v>
      </c>
      <c r="C64" s="217">
        <v>4.0</v>
      </c>
      <c r="D64" s="218">
        <v>52.121579</v>
      </c>
      <c r="E64" s="218">
        <v>5.381414</v>
      </c>
      <c r="F64" s="216" t="s">
        <v>177</v>
      </c>
      <c r="G64" s="216" t="s">
        <v>178</v>
      </c>
      <c r="H64" s="216" t="s">
        <v>1404</v>
      </c>
      <c r="I64" s="219" t="s">
        <v>1405</v>
      </c>
      <c r="J64" s="220" t="s">
        <v>1346</v>
      </c>
      <c r="K64" s="216" t="b">
        <v>0</v>
      </c>
    </row>
    <row r="65">
      <c r="A65" s="216" t="s">
        <v>1406</v>
      </c>
      <c r="B65" s="217">
        <v>7.0</v>
      </c>
      <c r="C65" s="217">
        <v>5.0</v>
      </c>
      <c r="D65" s="218">
        <v>52.121579</v>
      </c>
      <c r="E65" s="218">
        <v>5.381648</v>
      </c>
      <c r="F65" s="216" t="s">
        <v>177</v>
      </c>
      <c r="G65" s="216" t="s">
        <v>178</v>
      </c>
      <c r="I65" s="221"/>
      <c r="J65" s="222"/>
      <c r="K65" s="216" t="b">
        <v>0</v>
      </c>
    </row>
    <row r="66">
      <c r="A66" s="216" t="s">
        <v>1407</v>
      </c>
      <c r="B66" s="217">
        <v>7.0</v>
      </c>
      <c r="C66" s="217">
        <v>6.0</v>
      </c>
      <c r="D66" s="218">
        <v>52.121579</v>
      </c>
      <c r="E66" s="218">
        <v>5.381882</v>
      </c>
      <c r="F66" s="216" t="s">
        <v>151</v>
      </c>
      <c r="G66" s="216" t="s">
        <v>152</v>
      </c>
      <c r="I66" s="221"/>
      <c r="J66" s="222"/>
      <c r="K66" s="216" t="b">
        <v>0</v>
      </c>
    </row>
    <row r="67">
      <c r="A67" s="216" t="s">
        <v>1408</v>
      </c>
      <c r="B67" s="217">
        <v>7.0</v>
      </c>
      <c r="C67" s="217">
        <v>7.0</v>
      </c>
      <c r="D67" s="218">
        <v>52.121579</v>
      </c>
      <c r="E67" s="218">
        <v>5.382116</v>
      </c>
      <c r="F67" s="216" t="s">
        <v>186</v>
      </c>
      <c r="G67" s="216" t="s">
        <v>187</v>
      </c>
      <c r="H67" s="216" t="s">
        <v>1404</v>
      </c>
      <c r="I67" s="226" t="s">
        <v>1409</v>
      </c>
      <c r="J67" s="220" t="s">
        <v>1346</v>
      </c>
      <c r="K67" s="216" t="b">
        <v>0</v>
      </c>
    </row>
    <row r="68">
      <c r="A68" s="216" t="s">
        <v>1410</v>
      </c>
      <c r="B68" s="217">
        <v>7.0</v>
      </c>
      <c r="C68" s="217">
        <v>8.0</v>
      </c>
      <c r="D68" s="218">
        <v>52.121579</v>
      </c>
      <c r="E68" s="218">
        <v>5.38235</v>
      </c>
      <c r="F68" s="216" t="s">
        <v>125</v>
      </c>
      <c r="G68" s="216" t="s">
        <v>126</v>
      </c>
      <c r="I68" s="221"/>
      <c r="J68" s="222"/>
      <c r="K68" s="216" t="b">
        <v>0</v>
      </c>
    </row>
    <row r="69">
      <c r="A69" s="216" t="s">
        <v>1411</v>
      </c>
      <c r="B69" s="217">
        <v>7.0</v>
      </c>
      <c r="C69" s="217">
        <v>9.0</v>
      </c>
      <c r="D69" s="218">
        <v>52.121579</v>
      </c>
      <c r="E69" s="218">
        <v>5.382584</v>
      </c>
      <c r="F69" s="216" t="s">
        <v>78</v>
      </c>
      <c r="G69" s="216" t="s">
        <v>79</v>
      </c>
      <c r="I69" s="221"/>
      <c r="J69" s="222"/>
      <c r="K69" s="216" t="b">
        <v>0</v>
      </c>
    </row>
    <row r="70">
      <c r="A70" s="216" t="s">
        <v>1412</v>
      </c>
      <c r="B70" s="217">
        <v>7.0</v>
      </c>
      <c r="C70" s="217">
        <v>10.0</v>
      </c>
      <c r="D70" s="218">
        <v>52.121579</v>
      </c>
      <c r="E70" s="218">
        <v>5.382818</v>
      </c>
      <c r="F70" s="216" t="s">
        <v>78</v>
      </c>
      <c r="G70" s="216" t="s">
        <v>79</v>
      </c>
      <c r="I70" s="221"/>
      <c r="J70" s="222"/>
      <c r="K70" s="216" t="b">
        <v>0</v>
      </c>
    </row>
    <row r="71">
      <c r="A71" s="216" t="s">
        <v>1413</v>
      </c>
      <c r="B71" s="217">
        <v>7.0</v>
      </c>
      <c r="C71" s="217">
        <v>11.0</v>
      </c>
      <c r="D71" s="218">
        <v>52.121579</v>
      </c>
      <c r="E71" s="218">
        <v>5.383052</v>
      </c>
      <c r="F71" s="216" t="s">
        <v>78</v>
      </c>
      <c r="G71" s="216" t="s">
        <v>79</v>
      </c>
      <c r="I71" s="221"/>
      <c r="J71" s="222"/>
      <c r="K71" s="216" t="b">
        <v>0</v>
      </c>
    </row>
    <row r="72">
      <c r="A72" s="216" t="s">
        <v>1414</v>
      </c>
      <c r="B72" s="217">
        <v>7.0</v>
      </c>
      <c r="C72" s="217">
        <v>12.0</v>
      </c>
      <c r="D72" s="218">
        <v>52.121579</v>
      </c>
      <c r="E72" s="218">
        <v>5.383286</v>
      </c>
      <c r="F72" s="216" t="s">
        <v>100</v>
      </c>
      <c r="G72" s="216" t="s">
        <v>101</v>
      </c>
      <c r="H72" s="216" t="s">
        <v>1404</v>
      </c>
      <c r="I72" s="226" t="s">
        <v>1415</v>
      </c>
      <c r="J72" s="220" t="s">
        <v>1346</v>
      </c>
      <c r="K72" s="216" t="b">
        <v>0</v>
      </c>
    </row>
    <row r="73">
      <c r="A73" s="216" t="s">
        <v>1416</v>
      </c>
      <c r="B73" s="217">
        <v>7.0</v>
      </c>
      <c r="C73" s="217">
        <v>13.0</v>
      </c>
      <c r="D73" s="218">
        <v>52.121579</v>
      </c>
      <c r="E73" s="218">
        <v>5.383521</v>
      </c>
      <c r="F73" s="216" t="s">
        <v>100</v>
      </c>
      <c r="G73" s="216" t="s">
        <v>101</v>
      </c>
      <c r="I73" s="221"/>
      <c r="J73" s="222"/>
      <c r="K73" s="216" t="b">
        <v>0</v>
      </c>
    </row>
    <row r="74">
      <c r="A74" s="216" t="s">
        <v>1417</v>
      </c>
      <c r="B74" s="217">
        <v>7.0</v>
      </c>
      <c r="C74" s="217">
        <v>14.0</v>
      </c>
      <c r="D74" s="218">
        <v>52.121579</v>
      </c>
      <c r="E74" s="218">
        <v>5.383755</v>
      </c>
      <c r="F74" s="216" t="s">
        <v>100</v>
      </c>
      <c r="G74" s="216" t="s">
        <v>101</v>
      </c>
      <c r="I74" s="221"/>
      <c r="J74" s="222"/>
      <c r="K74" s="216" t="b">
        <v>0</v>
      </c>
    </row>
    <row r="75">
      <c r="A75" s="216" t="s">
        <v>1418</v>
      </c>
      <c r="B75" s="217">
        <v>7.0</v>
      </c>
      <c r="C75" s="217">
        <v>15.0</v>
      </c>
      <c r="D75" s="218">
        <v>52.121579</v>
      </c>
      <c r="E75" s="218">
        <v>5.383989</v>
      </c>
      <c r="F75" s="216" t="s">
        <v>57</v>
      </c>
      <c r="G75" s="216" t="s">
        <v>58</v>
      </c>
      <c r="I75" s="221"/>
      <c r="J75" s="222"/>
      <c r="K75" s="216" t="b">
        <v>0</v>
      </c>
    </row>
    <row r="76">
      <c r="A76" s="216" t="s">
        <v>1419</v>
      </c>
      <c r="B76" s="217">
        <v>7.0</v>
      </c>
      <c r="C76" s="217">
        <v>16.0</v>
      </c>
      <c r="D76" s="218">
        <v>52.121579</v>
      </c>
      <c r="E76" s="218">
        <v>5.384223</v>
      </c>
      <c r="F76" s="216" t="s">
        <v>57</v>
      </c>
      <c r="G76" s="216" t="s">
        <v>58</v>
      </c>
      <c r="I76" s="221"/>
      <c r="J76" s="222"/>
      <c r="K76" s="216" t="b">
        <v>0</v>
      </c>
    </row>
    <row r="77">
      <c r="A77" s="216" t="s">
        <v>1420</v>
      </c>
      <c r="B77" s="217">
        <v>8.0</v>
      </c>
      <c r="C77" s="217">
        <v>2.0</v>
      </c>
      <c r="D77" s="218">
        <v>52.121435</v>
      </c>
      <c r="E77" s="218">
        <v>5.380946</v>
      </c>
      <c r="F77" s="216" t="s">
        <v>247</v>
      </c>
      <c r="G77" s="216" t="s">
        <v>248</v>
      </c>
      <c r="H77" s="216" t="s">
        <v>53</v>
      </c>
      <c r="I77" s="221"/>
      <c r="J77" s="220" t="s">
        <v>1346</v>
      </c>
      <c r="K77" s="216" t="b">
        <v>0</v>
      </c>
    </row>
    <row r="78">
      <c r="A78" s="216" t="s">
        <v>1421</v>
      </c>
      <c r="B78" s="217">
        <v>8.0</v>
      </c>
      <c r="C78" s="217">
        <v>3.0</v>
      </c>
      <c r="D78" s="218">
        <v>52.121435</v>
      </c>
      <c r="E78" s="218">
        <v>5.38118</v>
      </c>
      <c r="F78" s="216" t="s">
        <v>186</v>
      </c>
      <c r="G78" s="216" t="s">
        <v>187</v>
      </c>
      <c r="I78" s="221"/>
      <c r="J78" s="222"/>
      <c r="K78" s="216" t="b">
        <v>0</v>
      </c>
    </row>
    <row r="79">
      <c r="A79" s="216" t="s">
        <v>1422</v>
      </c>
      <c r="B79" s="217">
        <v>8.0</v>
      </c>
      <c r="C79" s="217">
        <v>4.0</v>
      </c>
      <c r="D79" s="218">
        <v>52.121435</v>
      </c>
      <c r="E79" s="218">
        <v>5.381414</v>
      </c>
      <c r="F79" s="216" t="s">
        <v>151</v>
      </c>
      <c r="G79" s="216" t="s">
        <v>152</v>
      </c>
      <c r="I79" s="221"/>
      <c r="J79" s="222"/>
      <c r="K79" s="216" t="b">
        <v>0</v>
      </c>
    </row>
    <row r="80">
      <c r="A80" s="216" t="s">
        <v>1423</v>
      </c>
      <c r="B80" s="217">
        <v>8.0</v>
      </c>
      <c r="C80" s="217">
        <v>5.0</v>
      </c>
      <c r="D80" s="218">
        <v>52.121435</v>
      </c>
      <c r="E80" s="218">
        <v>5.381648</v>
      </c>
      <c r="F80" s="216" t="s">
        <v>151</v>
      </c>
      <c r="G80" s="216" t="s">
        <v>152</v>
      </c>
      <c r="H80" s="216" t="s">
        <v>53</v>
      </c>
      <c r="I80" s="221"/>
      <c r="J80" s="220" t="s">
        <v>1346</v>
      </c>
      <c r="K80" s="216" t="b">
        <v>0</v>
      </c>
    </row>
    <row r="81">
      <c r="A81" s="216" t="s">
        <v>1424</v>
      </c>
      <c r="B81" s="217">
        <v>8.0</v>
      </c>
      <c r="C81" s="217">
        <v>6.0</v>
      </c>
      <c r="D81" s="218">
        <v>52.121435</v>
      </c>
      <c r="E81" s="218">
        <v>5.381882</v>
      </c>
      <c r="F81" s="216" t="s">
        <v>186</v>
      </c>
      <c r="G81" s="216" t="s">
        <v>187</v>
      </c>
      <c r="I81" s="221"/>
      <c r="J81" s="222"/>
      <c r="K81" s="216" t="b">
        <v>0</v>
      </c>
    </row>
    <row r="82">
      <c r="A82" s="216" t="s">
        <v>1425</v>
      </c>
      <c r="B82" s="217">
        <v>8.0</v>
      </c>
      <c r="C82" s="217">
        <v>7.0</v>
      </c>
      <c r="D82" s="218">
        <v>52.121435</v>
      </c>
      <c r="E82" s="218">
        <v>5.382116</v>
      </c>
      <c r="F82" s="216" t="s">
        <v>100</v>
      </c>
      <c r="G82" s="216" t="s">
        <v>101</v>
      </c>
      <c r="I82" s="221"/>
      <c r="J82" s="222"/>
      <c r="K82" s="216" t="b">
        <v>0</v>
      </c>
    </row>
    <row r="83">
      <c r="A83" s="216" t="s">
        <v>1426</v>
      </c>
      <c r="B83" s="217">
        <v>8.0</v>
      </c>
      <c r="C83" s="217">
        <v>8.0</v>
      </c>
      <c r="D83" s="218">
        <v>52.121435</v>
      </c>
      <c r="E83" s="218">
        <v>5.38235</v>
      </c>
      <c r="F83" s="216" t="s">
        <v>100</v>
      </c>
      <c r="G83" s="216" t="s">
        <v>101</v>
      </c>
      <c r="H83" s="216" t="s">
        <v>53</v>
      </c>
      <c r="I83" s="221"/>
      <c r="J83" s="220" t="s">
        <v>1346</v>
      </c>
      <c r="K83" s="216" t="b">
        <v>0</v>
      </c>
    </row>
    <row r="84">
      <c r="A84" s="216" t="s">
        <v>1427</v>
      </c>
      <c r="B84" s="217">
        <v>8.0</v>
      </c>
      <c r="C84" s="217">
        <v>9.0</v>
      </c>
      <c r="D84" s="218">
        <v>52.121435</v>
      </c>
      <c r="E84" s="218">
        <v>5.382584</v>
      </c>
      <c r="F84" s="216" t="s">
        <v>125</v>
      </c>
      <c r="G84" s="216" t="s">
        <v>126</v>
      </c>
      <c r="I84" s="221"/>
      <c r="J84" s="222"/>
      <c r="K84" s="216" t="b">
        <v>0</v>
      </c>
    </row>
    <row r="85">
      <c r="A85" s="216" t="s">
        <v>1428</v>
      </c>
      <c r="B85" s="217">
        <v>8.0</v>
      </c>
      <c r="C85" s="217">
        <v>10.0</v>
      </c>
      <c r="D85" s="218">
        <v>52.121435</v>
      </c>
      <c r="E85" s="218">
        <v>5.382818</v>
      </c>
      <c r="F85" s="216" t="s">
        <v>125</v>
      </c>
      <c r="G85" s="216" t="s">
        <v>126</v>
      </c>
      <c r="I85" s="221"/>
      <c r="J85" s="222"/>
      <c r="K85" s="216" t="b">
        <v>0</v>
      </c>
    </row>
    <row r="86">
      <c r="A86" s="216" t="s">
        <v>1429</v>
      </c>
      <c r="B86" s="217">
        <v>8.0</v>
      </c>
      <c r="C86" s="217">
        <v>11.0</v>
      </c>
      <c r="D86" s="218">
        <v>52.121435</v>
      </c>
      <c r="E86" s="218">
        <v>5.383052</v>
      </c>
      <c r="F86" s="216" t="s">
        <v>100</v>
      </c>
      <c r="G86" s="216" t="s">
        <v>101</v>
      </c>
      <c r="H86" s="216" t="s">
        <v>53</v>
      </c>
      <c r="I86" s="221"/>
      <c r="J86" s="220" t="s">
        <v>1346</v>
      </c>
      <c r="K86" s="216" t="b">
        <v>0</v>
      </c>
    </row>
    <row r="87">
      <c r="A87" s="216" t="s">
        <v>1430</v>
      </c>
      <c r="B87" s="217">
        <v>8.0</v>
      </c>
      <c r="C87" s="217">
        <v>14.0</v>
      </c>
      <c r="D87" s="218">
        <v>52.121435</v>
      </c>
      <c r="E87" s="218">
        <v>5.383755</v>
      </c>
      <c r="F87" s="216" t="s">
        <v>100</v>
      </c>
      <c r="G87" s="216" t="s">
        <v>101</v>
      </c>
      <c r="I87" s="221"/>
      <c r="J87" s="222"/>
      <c r="K87" s="216" t="b">
        <v>0</v>
      </c>
    </row>
    <row r="88">
      <c r="A88" s="216" t="s">
        <v>1431</v>
      </c>
      <c r="B88" s="217">
        <v>8.0</v>
      </c>
      <c r="C88" s="217">
        <v>15.0</v>
      </c>
      <c r="D88" s="218">
        <v>52.121435</v>
      </c>
      <c r="E88" s="218">
        <v>5.383989</v>
      </c>
      <c r="F88" s="216" t="s">
        <v>78</v>
      </c>
      <c r="G88" s="216" t="s">
        <v>79</v>
      </c>
      <c r="I88" s="221"/>
      <c r="J88" s="222"/>
      <c r="K88" s="216" t="b">
        <v>0</v>
      </c>
    </row>
    <row r="89">
      <c r="A89" s="216" t="s">
        <v>1432</v>
      </c>
      <c r="B89" s="217">
        <v>8.0</v>
      </c>
      <c r="C89" s="217">
        <v>16.0</v>
      </c>
      <c r="D89" s="218">
        <v>52.121435</v>
      </c>
      <c r="E89" s="218">
        <v>5.384223</v>
      </c>
      <c r="F89" s="216" t="s">
        <v>57</v>
      </c>
      <c r="G89" s="216" t="s">
        <v>58</v>
      </c>
      <c r="H89" s="216" t="s">
        <v>53</v>
      </c>
      <c r="I89" s="221"/>
      <c r="J89" s="220" t="s">
        <v>1346</v>
      </c>
      <c r="K89" s="216" t="b">
        <v>0</v>
      </c>
    </row>
    <row r="90">
      <c r="A90" s="216" t="s">
        <v>1433</v>
      </c>
      <c r="B90" s="217">
        <v>9.0</v>
      </c>
      <c r="C90" s="217">
        <v>1.0</v>
      </c>
      <c r="D90" s="218">
        <v>52.121291</v>
      </c>
      <c r="E90" s="218">
        <v>5.380711</v>
      </c>
      <c r="F90" s="216" t="s">
        <v>132</v>
      </c>
      <c r="G90" s="216" t="s">
        <v>133</v>
      </c>
      <c r="H90" s="216" t="s">
        <v>1404</v>
      </c>
      <c r="I90" s="226" t="s">
        <v>1415</v>
      </c>
      <c r="J90" s="220" t="s">
        <v>1346</v>
      </c>
      <c r="K90" s="216" t="b">
        <v>0</v>
      </c>
    </row>
    <row r="91">
      <c r="A91" s="216" t="s">
        <v>1434</v>
      </c>
      <c r="B91" s="217">
        <v>9.0</v>
      </c>
      <c r="C91" s="217">
        <v>2.0</v>
      </c>
      <c r="D91" s="218">
        <v>52.121291</v>
      </c>
      <c r="E91" s="218">
        <v>5.380946</v>
      </c>
      <c r="F91" s="216" t="s">
        <v>132</v>
      </c>
      <c r="G91" s="216" t="s">
        <v>133</v>
      </c>
      <c r="I91" s="221"/>
      <c r="J91" s="222"/>
      <c r="K91" s="216" t="b">
        <v>0</v>
      </c>
    </row>
    <row r="92">
      <c r="A92" s="216" t="s">
        <v>1435</v>
      </c>
      <c r="B92" s="217">
        <v>9.0</v>
      </c>
      <c r="C92" s="217">
        <v>3.0</v>
      </c>
      <c r="D92" s="218">
        <v>52.121291</v>
      </c>
      <c r="E92" s="218">
        <v>5.38118</v>
      </c>
      <c r="F92" s="216" t="s">
        <v>247</v>
      </c>
      <c r="G92" s="216" t="s">
        <v>248</v>
      </c>
      <c r="I92" s="221"/>
      <c r="J92" s="222"/>
      <c r="K92" s="216" t="b">
        <v>0</v>
      </c>
    </row>
    <row r="93">
      <c r="A93" s="216" t="s">
        <v>1436</v>
      </c>
      <c r="B93" s="217">
        <v>9.0</v>
      </c>
      <c r="C93" s="217">
        <v>4.0</v>
      </c>
      <c r="D93" s="218">
        <v>52.121291</v>
      </c>
      <c r="E93" s="218">
        <v>5.381414</v>
      </c>
      <c r="F93" s="216" t="s">
        <v>186</v>
      </c>
      <c r="G93" s="216" t="s">
        <v>187</v>
      </c>
      <c r="I93" s="221"/>
      <c r="J93" s="222"/>
      <c r="K93" s="216" t="b">
        <v>0</v>
      </c>
    </row>
    <row r="94">
      <c r="A94" s="216" t="s">
        <v>1437</v>
      </c>
      <c r="B94" s="217">
        <v>9.0</v>
      </c>
      <c r="C94" s="217">
        <v>14.0</v>
      </c>
      <c r="D94" s="218">
        <v>52.121291</v>
      </c>
      <c r="E94" s="218">
        <v>5.383755</v>
      </c>
      <c r="F94" s="216" t="s">
        <v>100</v>
      </c>
      <c r="G94" s="216" t="s">
        <v>101</v>
      </c>
      <c r="I94" s="221"/>
      <c r="J94" s="222"/>
      <c r="K94" s="216" t="b">
        <v>0</v>
      </c>
    </row>
    <row r="95">
      <c r="A95" s="216" t="s">
        <v>1438</v>
      </c>
      <c r="B95" s="217">
        <v>9.0</v>
      </c>
      <c r="C95" s="217">
        <v>15.0</v>
      </c>
      <c r="D95" s="218">
        <v>52.121291</v>
      </c>
      <c r="E95" s="218">
        <v>5.383989</v>
      </c>
      <c r="F95" s="216" t="s">
        <v>78</v>
      </c>
      <c r="G95" s="216" t="s">
        <v>79</v>
      </c>
      <c r="I95" s="221"/>
      <c r="J95" s="222"/>
      <c r="K95" s="216" t="b">
        <v>0</v>
      </c>
    </row>
    <row r="96">
      <c r="A96" s="216" t="s">
        <v>1439</v>
      </c>
      <c r="B96" s="217">
        <v>9.0</v>
      </c>
      <c r="C96" s="217">
        <v>16.0</v>
      </c>
      <c r="D96" s="218">
        <v>52.121291</v>
      </c>
      <c r="E96" s="218">
        <v>5.384223</v>
      </c>
      <c r="F96" s="216" t="s">
        <v>57</v>
      </c>
      <c r="G96" s="216" t="s">
        <v>58</v>
      </c>
      <c r="I96" s="221"/>
      <c r="J96" s="222"/>
      <c r="K96" s="216" t="b">
        <v>0</v>
      </c>
    </row>
    <row r="97">
      <c r="A97" s="216" t="s">
        <v>1440</v>
      </c>
      <c r="B97" s="217">
        <v>10.0</v>
      </c>
      <c r="C97" s="217">
        <v>1.0</v>
      </c>
      <c r="D97" s="218">
        <v>52.121148</v>
      </c>
      <c r="E97" s="218">
        <v>5.380711</v>
      </c>
      <c r="F97" s="216" t="s">
        <v>132</v>
      </c>
      <c r="G97" s="216" t="s">
        <v>133</v>
      </c>
      <c r="I97" s="221"/>
      <c r="J97" s="222"/>
      <c r="K97" s="216" t="b">
        <v>0</v>
      </c>
    </row>
    <row r="98">
      <c r="A98" s="216" t="s">
        <v>1441</v>
      </c>
      <c r="B98" s="217">
        <v>10.0</v>
      </c>
      <c r="C98" s="217">
        <v>2.0</v>
      </c>
      <c r="D98" s="218">
        <v>52.121148</v>
      </c>
      <c r="E98" s="218">
        <v>5.380946</v>
      </c>
      <c r="F98" s="216" t="s">
        <v>132</v>
      </c>
      <c r="G98" s="216" t="s">
        <v>133</v>
      </c>
      <c r="I98" s="221"/>
      <c r="J98" s="222"/>
      <c r="K98" s="216" t="b">
        <v>0</v>
      </c>
    </row>
    <row r="99">
      <c r="A99" s="216" t="s">
        <v>1442</v>
      </c>
      <c r="B99" s="217">
        <v>10.0</v>
      </c>
      <c r="C99" s="217">
        <v>3.0</v>
      </c>
      <c r="D99" s="218">
        <v>52.121148</v>
      </c>
      <c r="E99" s="218">
        <v>5.38118</v>
      </c>
      <c r="F99" s="216" t="s">
        <v>294</v>
      </c>
      <c r="G99" s="216" t="s">
        <v>295</v>
      </c>
      <c r="I99" s="221"/>
      <c r="J99" s="222"/>
      <c r="K99" s="216" t="b">
        <v>0</v>
      </c>
    </row>
    <row r="100">
      <c r="A100" s="216" t="s">
        <v>1443</v>
      </c>
      <c r="B100" s="217">
        <v>10.0</v>
      </c>
      <c r="C100" s="217">
        <v>14.0</v>
      </c>
      <c r="D100" s="218">
        <v>52.121148</v>
      </c>
      <c r="E100" s="218">
        <v>5.383755</v>
      </c>
      <c r="F100" s="216" t="s">
        <v>100</v>
      </c>
      <c r="G100" s="216" t="s">
        <v>101</v>
      </c>
      <c r="I100" s="221"/>
      <c r="J100" s="222"/>
      <c r="K100" s="216" t="b">
        <v>0</v>
      </c>
    </row>
    <row r="101">
      <c r="A101" s="216" t="s">
        <v>1444</v>
      </c>
      <c r="B101" s="217">
        <v>10.0</v>
      </c>
      <c r="C101" s="217">
        <v>15.0</v>
      </c>
      <c r="D101" s="218">
        <v>52.121148</v>
      </c>
      <c r="E101" s="218">
        <v>5.383989</v>
      </c>
      <c r="F101" s="216" t="s">
        <v>70</v>
      </c>
      <c r="G101" s="216" t="s">
        <v>71</v>
      </c>
      <c r="I101" s="221"/>
      <c r="J101" s="222"/>
      <c r="K101" s="216" t="b">
        <v>0</v>
      </c>
    </row>
    <row r="102">
      <c r="A102" s="216" t="s">
        <v>1445</v>
      </c>
      <c r="B102" s="217">
        <v>10.0</v>
      </c>
      <c r="C102" s="217">
        <v>16.0</v>
      </c>
      <c r="D102" s="218">
        <v>52.121148</v>
      </c>
      <c r="E102" s="218">
        <v>5.384223</v>
      </c>
      <c r="F102" s="216" t="s">
        <v>57</v>
      </c>
      <c r="G102" s="216" t="s">
        <v>58</v>
      </c>
      <c r="I102" s="221"/>
      <c r="J102" s="222"/>
      <c r="K102" s="216" t="b">
        <v>0</v>
      </c>
    </row>
    <row r="103">
      <c r="A103" s="216" t="s">
        <v>1446</v>
      </c>
      <c r="B103" s="217">
        <v>11.0</v>
      </c>
      <c r="C103" s="217">
        <v>2.0</v>
      </c>
      <c r="D103" s="218">
        <v>52.121004</v>
      </c>
      <c r="E103" s="218">
        <v>5.380945</v>
      </c>
      <c r="F103" s="216" t="s">
        <v>132</v>
      </c>
      <c r="G103" s="216" t="s">
        <v>133</v>
      </c>
      <c r="I103" s="221"/>
      <c r="J103" s="222"/>
      <c r="K103" s="216" t="b">
        <v>0</v>
      </c>
    </row>
    <row r="104">
      <c r="A104" s="216" t="s">
        <v>1447</v>
      </c>
      <c r="B104" s="217">
        <v>11.0</v>
      </c>
      <c r="C104" s="217">
        <v>14.0</v>
      </c>
      <c r="D104" s="218">
        <v>52.121004</v>
      </c>
      <c r="E104" s="218">
        <v>5.383755</v>
      </c>
      <c r="F104" s="216" t="s">
        <v>100</v>
      </c>
      <c r="G104" s="216" t="s">
        <v>101</v>
      </c>
      <c r="I104" s="221"/>
      <c r="J104" s="222"/>
      <c r="K104" s="216" t="b">
        <v>0</v>
      </c>
    </row>
    <row r="105">
      <c r="A105" s="216" t="s">
        <v>1448</v>
      </c>
      <c r="B105" s="217">
        <v>11.0</v>
      </c>
      <c r="C105" s="217">
        <v>15.0</v>
      </c>
      <c r="D105" s="218">
        <v>52.121004</v>
      </c>
      <c r="E105" s="218">
        <v>5.383989</v>
      </c>
      <c r="F105" s="216" t="s">
        <v>78</v>
      </c>
      <c r="G105" s="216" t="s">
        <v>79</v>
      </c>
      <c r="I105" s="221"/>
      <c r="J105" s="222"/>
      <c r="K105" s="216" t="b">
        <v>0</v>
      </c>
    </row>
    <row r="106">
      <c r="A106" s="216" t="s">
        <v>1449</v>
      </c>
      <c r="B106" s="217">
        <v>11.0</v>
      </c>
      <c r="C106" s="217">
        <v>16.0</v>
      </c>
      <c r="D106" s="218">
        <v>52.121004</v>
      </c>
      <c r="E106" s="218">
        <v>5.384223</v>
      </c>
      <c r="F106" s="216" t="s">
        <v>57</v>
      </c>
      <c r="G106" s="216" t="s">
        <v>58</v>
      </c>
      <c r="I106" s="221"/>
      <c r="J106" s="222"/>
      <c r="K106" s="216" t="b">
        <v>0</v>
      </c>
    </row>
    <row r="107">
      <c r="A107" s="216" t="s">
        <v>1450</v>
      </c>
      <c r="B107" s="217">
        <v>12.0</v>
      </c>
      <c r="C107" s="217">
        <v>14.0</v>
      </c>
      <c r="D107" s="218">
        <v>52.12086</v>
      </c>
      <c r="E107" s="218">
        <v>5.383755</v>
      </c>
      <c r="F107" s="216" t="s">
        <v>100</v>
      </c>
      <c r="G107" s="216" t="s">
        <v>101</v>
      </c>
      <c r="I107" s="221"/>
      <c r="J107" s="222"/>
      <c r="K107" s="216" t="b">
        <v>0</v>
      </c>
    </row>
    <row r="108">
      <c r="A108" s="216" t="s">
        <v>1451</v>
      </c>
      <c r="B108" s="217">
        <v>12.0</v>
      </c>
      <c r="C108" s="217">
        <v>15.0</v>
      </c>
      <c r="D108" s="218">
        <v>52.12086</v>
      </c>
      <c r="E108" s="218">
        <v>5.383989</v>
      </c>
      <c r="F108" s="216" t="s">
        <v>78</v>
      </c>
      <c r="G108" s="216" t="s">
        <v>79</v>
      </c>
      <c r="I108" s="221"/>
      <c r="J108" s="222"/>
      <c r="K108" s="216" t="b">
        <v>0</v>
      </c>
    </row>
    <row r="109">
      <c r="A109" s="216" t="s">
        <v>1452</v>
      </c>
      <c r="B109" s="217">
        <v>12.0</v>
      </c>
      <c r="C109" s="217">
        <v>16.0</v>
      </c>
      <c r="D109" s="218">
        <v>52.12086</v>
      </c>
      <c r="E109" s="218">
        <v>5.384223</v>
      </c>
      <c r="F109" s="216" t="s">
        <v>78</v>
      </c>
      <c r="G109" s="216" t="s">
        <v>79</v>
      </c>
      <c r="I109" s="221"/>
      <c r="J109" s="222"/>
      <c r="K109" s="216" t="b">
        <v>0</v>
      </c>
    </row>
    <row r="110">
      <c r="A110" s="216" t="s">
        <v>1453</v>
      </c>
      <c r="B110" s="217">
        <v>13.0</v>
      </c>
      <c r="C110" s="217">
        <v>14.0</v>
      </c>
      <c r="D110" s="218">
        <v>52.120717</v>
      </c>
      <c r="E110" s="218">
        <v>5.383755</v>
      </c>
      <c r="F110" s="216" t="s">
        <v>125</v>
      </c>
      <c r="G110" s="216" t="s">
        <v>126</v>
      </c>
      <c r="I110" s="221"/>
      <c r="J110" s="222"/>
      <c r="K110" s="216" t="b">
        <v>0</v>
      </c>
    </row>
    <row r="111">
      <c r="A111" s="216" t="s">
        <v>1454</v>
      </c>
      <c r="B111" s="217">
        <v>13.0</v>
      </c>
      <c r="C111" s="217">
        <v>15.0</v>
      </c>
      <c r="D111" s="218">
        <v>52.120717</v>
      </c>
      <c r="E111" s="218">
        <v>5.383989</v>
      </c>
      <c r="F111" s="216" t="s">
        <v>57</v>
      </c>
      <c r="G111" s="216" t="s">
        <v>58</v>
      </c>
      <c r="I111" s="221"/>
      <c r="J111" s="222"/>
      <c r="K111" s="216" t="b">
        <v>0</v>
      </c>
    </row>
    <row r="112">
      <c r="A112" s="216" t="s">
        <v>1455</v>
      </c>
      <c r="B112" s="217">
        <v>13.0</v>
      </c>
      <c r="C112" s="217">
        <v>16.0</v>
      </c>
      <c r="D112" s="218">
        <v>52.120717</v>
      </c>
      <c r="E112" s="218">
        <v>5.384223</v>
      </c>
      <c r="F112" s="216" t="s">
        <v>51</v>
      </c>
      <c r="G112" s="216" t="s">
        <v>52</v>
      </c>
      <c r="I112" s="221"/>
      <c r="J112" s="222"/>
      <c r="K112" s="216" t="b">
        <v>0</v>
      </c>
    </row>
    <row r="113">
      <c r="A113" s="216" t="s">
        <v>1456</v>
      </c>
      <c r="B113" s="217">
        <v>14.0</v>
      </c>
      <c r="C113" s="217">
        <v>14.0</v>
      </c>
      <c r="D113" s="218">
        <v>52.120573</v>
      </c>
      <c r="E113" s="218">
        <v>5.383755</v>
      </c>
      <c r="F113" s="216" t="s">
        <v>78</v>
      </c>
      <c r="G113" s="216" t="s">
        <v>79</v>
      </c>
      <c r="I113" s="221"/>
      <c r="J113" s="222"/>
      <c r="K113" s="216" t="b">
        <v>0</v>
      </c>
    </row>
    <row r="114">
      <c r="A114" s="216" t="s">
        <v>1457</v>
      </c>
      <c r="B114" s="217">
        <v>14.0</v>
      </c>
      <c r="C114" s="217">
        <v>15.0</v>
      </c>
      <c r="D114" s="218">
        <v>52.120573</v>
      </c>
      <c r="E114" s="218">
        <v>5.383989</v>
      </c>
      <c r="F114" s="216" t="s">
        <v>57</v>
      </c>
      <c r="G114" s="216" t="s">
        <v>58</v>
      </c>
      <c r="I114" s="221"/>
      <c r="J114" s="222"/>
      <c r="K114" s="216" t="b">
        <v>0</v>
      </c>
    </row>
    <row r="115">
      <c r="A115" s="216" t="s">
        <v>1458</v>
      </c>
      <c r="B115" s="217">
        <v>14.0</v>
      </c>
      <c r="C115" s="217">
        <v>16.0</v>
      </c>
      <c r="D115" s="218">
        <v>52.120573</v>
      </c>
      <c r="E115" s="218">
        <v>5.384223</v>
      </c>
      <c r="F115" s="216" t="s">
        <v>100</v>
      </c>
      <c r="G115" s="216" t="s">
        <v>101</v>
      </c>
      <c r="I115" s="221"/>
      <c r="J115" s="222"/>
      <c r="K115" s="216" t="b">
        <v>0</v>
      </c>
    </row>
    <row r="116">
      <c r="A116" s="216" t="s">
        <v>1459</v>
      </c>
      <c r="B116" s="217">
        <v>15.0</v>
      </c>
      <c r="C116" s="217">
        <v>13.0</v>
      </c>
      <c r="D116" s="218">
        <v>52.120429</v>
      </c>
      <c r="E116" s="218">
        <v>5.38352</v>
      </c>
      <c r="F116" s="216" t="s">
        <v>51</v>
      </c>
      <c r="G116" s="216" t="s">
        <v>52</v>
      </c>
      <c r="I116" s="221"/>
      <c r="J116" s="222"/>
      <c r="K116" s="216" t="b">
        <v>0</v>
      </c>
    </row>
    <row r="117">
      <c r="A117" s="216" t="s">
        <v>1460</v>
      </c>
      <c r="B117" s="217">
        <v>15.0</v>
      </c>
      <c r="C117" s="217">
        <v>14.0</v>
      </c>
      <c r="D117" s="218">
        <v>52.120429</v>
      </c>
      <c r="E117" s="218">
        <v>5.383755</v>
      </c>
      <c r="F117" s="216" t="s">
        <v>57</v>
      </c>
      <c r="G117" s="216" t="s">
        <v>58</v>
      </c>
      <c r="I117" s="221"/>
      <c r="J117" s="222"/>
      <c r="K117" s="216" t="b">
        <v>0</v>
      </c>
    </row>
    <row r="118">
      <c r="A118" s="216" t="s">
        <v>1461</v>
      </c>
      <c r="B118" s="217">
        <v>15.0</v>
      </c>
      <c r="C118" s="217">
        <v>15.0</v>
      </c>
      <c r="D118" s="218">
        <v>52.120429</v>
      </c>
      <c r="E118" s="218">
        <v>5.383989</v>
      </c>
      <c r="F118" s="216" t="s">
        <v>125</v>
      </c>
      <c r="G118" s="216" t="s">
        <v>126</v>
      </c>
      <c r="I118" s="221"/>
      <c r="J118" s="222"/>
      <c r="K118" s="216" t="b">
        <v>0</v>
      </c>
    </row>
    <row r="119">
      <c r="A119" s="216" t="s">
        <v>1462</v>
      </c>
      <c r="B119" s="217">
        <v>16.0</v>
      </c>
      <c r="C119" s="217">
        <v>12.0</v>
      </c>
      <c r="D119" s="218">
        <v>52.120285</v>
      </c>
      <c r="E119" s="218">
        <v>5.383286</v>
      </c>
      <c r="F119" s="216" t="s">
        <v>51</v>
      </c>
      <c r="G119" s="216" t="s">
        <v>52</v>
      </c>
      <c r="I119" s="221"/>
      <c r="J119" s="222"/>
      <c r="K119" s="216" t="b">
        <v>0</v>
      </c>
    </row>
    <row r="120">
      <c r="A120" s="216" t="s">
        <v>1463</v>
      </c>
      <c r="B120" s="217">
        <v>16.0</v>
      </c>
      <c r="C120" s="217">
        <v>13.0</v>
      </c>
      <c r="D120" s="218">
        <v>52.120285</v>
      </c>
      <c r="E120" s="218">
        <v>5.38352</v>
      </c>
      <c r="F120" s="216" t="s">
        <v>78</v>
      </c>
      <c r="G120" s="216" t="s">
        <v>79</v>
      </c>
      <c r="I120" s="221"/>
      <c r="J120" s="222"/>
      <c r="K120" s="216" t="b">
        <v>0</v>
      </c>
    </row>
    <row r="121">
      <c r="A121" s="216" t="s">
        <v>1464</v>
      </c>
      <c r="B121" s="217">
        <v>16.0</v>
      </c>
      <c r="C121" s="217">
        <v>14.0</v>
      </c>
      <c r="D121" s="218">
        <v>52.120285</v>
      </c>
      <c r="E121" s="218">
        <v>5.383754</v>
      </c>
      <c r="F121" s="216" t="s">
        <v>78</v>
      </c>
      <c r="G121" s="216" t="s">
        <v>79</v>
      </c>
      <c r="I121" s="221"/>
      <c r="J121" s="222"/>
      <c r="K121" s="216" t="b">
        <v>0</v>
      </c>
    </row>
    <row r="122">
      <c r="A122" s="216" t="s">
        <v>1465</v>
      </c>
      <c r="B122" s="217">
        <v>16.0</v>
      </c>
      <c r="C122" s="217">
        <v>15.0</v>
      </c>
      <c r="D122" s="218">
        <v>52.120285</v>
      </c>
      <c r="E122" s="218">
        <v>5.383989</v>
      </c>
      <c r="F122" s="216" t="s">
        <v>100</v>
      </c>
      <c r="G122" s="216" t="s">
        <v>101</v>
      </c>
      <c r="I122" s="221"/>
      <c r="J122" s="222"/>
      <c r="K122" s="216" t="b">
        <v>0</v>
      </c>
    </row>
    <row r="123">
      <c r="A123" s="216" t="s">
        <v>1466</v>
      </c>
      <c r="B123" s="217">
        <v>17.0</v>
      </c>
      <c r="C123" s="217">
        <v>11.0</v>
      </c>
      <c r="D123" s="218">
        <v>52.120142</v>
      </c>
      <c r="E123" s="218">
        <v>5.383052</v>
      </c>
      <c r="F123" s="216" t="s">
        <v>51</v>
      </c>
      <c r="G123" s="216" t="s">
        <v>52</v>
      </c>
      <c r="I123" s="221"/>
      <c r="J123" s="222"/>
      <c r="K123" s="216" t="b">
        <v>0</v>
      </c>
    </row>
    <row r="124">
      <c r="A124" s="216" t="s">
        <v>1467</v>
      </c>
      <c r="B124" s="217">
        <v>17.0</v>
      </c>
      <c r="C124" s="217">
        <v>12.0</v>
      </c>
      <c r="D124" s="218">
        <v>52.120142</v>
      </c>
      <c r="E124" s="218">
        <v>5.383286</v>
      </c>
      <c r="F124" s="216" t="s">
        <v>78</v>
      </c>
      <c r="G124" s="216" t="s">
        <v>79</v>
      </c>
      <c r="H124" s="216" t="s">
        <v>1404</v>
      </c>
      <c r="I124" s="226" t="s">
        <v>1468</v>
      </c>
      <c r="J124" s="220" t="s">
        <v>1346</v>
      </c>
      <c r="K124" s="216" t="b">
        <v>0</v>
      </c>
    </row>
    <row r="125">
      <c r="A125" s="216" t="s">
        <v>1469</v>
      </c>
      <c r="B125" s="217">
        <v>17.0</v>
      </c>
      <c r="C125" s="217">
        <v>13.0</v>
      </c>
      <c r="D125" s="218">
        <v>52.120142</v>
      </c>
      <c r="E125" s="218">
        <v>5.38352</v>
      </c>
      <c r="F125" s="216" t="s">
        <v>78</v>
      </c>
      <c r="G125" s="216" t="s">
        <v>79</v>
      </c>
      <c r="I125" s="221"/>
      <c r="J125" s="222"/>
      <c r="K125" s="216" t="b">
        <v>0</v>
      </c>
    </row>
    <row r="126">
      <c r="A126" s="216" t="s">
        <v>1470</v>
      </c>
      <c r="B126" s="217">
        <v>17.0</v>
      </c>
      <c r="C126" s="217">
        <v>14.0</v>
      </c>
      <c r="D126" s="218">
        <v>52.120142</v>
      </c>
      <c r="E126" s="218">
        <v>5.383754</v>
      </c>
      <c r="F126" s="216" t="s">
        <v>51</v>
      </c>
      <c r="G126" s="216" t="s">
        <v>52</v>
      </c>
      <c r="I126" s="221"/>
      <c r="J126" s="222"/>
      <c r="K126" s="216" t="b">
        <v>0</v>
      </c>
    </row>
    <row r="127">
      <c r="A127" s="216" t="s">
        <v>1471</v>
      </c>
      <c r="B127" s="217">
        <v>18.0</v>
      </c>
      <c r="C127" s="217">
        <v>10.0</v>
      </c>
      <c r="D127" s="218">
        <v>52.119998</v>
      </c>
      <c r="E127" s="218">
        <v>5.382818</v>
      </c>
      <c r="F127" s="216" t="s">
        <v>51</v>
      </c>
      <c r="G127" s="216" t="s">
        <v>52</v>
      </c>
      <c r="I127" s="221"/>
      <c r="J127" s="222"/>
      <c r="K127" s="216" t="b">
        <v>0</v>
      </c>
    </row>
    <row r="128">
      <c r="A128" s="216" t="s">
        <v>1472</v>
      </c>
      <c r="B128" s="217">
        <v>18.0</v>
      </c>
      <c r="C128" s="217">
        <v>11.0</v>
      </c>
      <c r="D128" s="218">
        <v>52.119998</v>
      </c>
      <c r="E128" s="218">
        <v>5.383052</v>
      </c>
      <c r="F128" s="216" t="s">
        <v>78</v>
      </c>
      <c r="G128" s="216" t="s">
        <v>79</v>
      </c>
      <c r="I128" s="221"/>
      <c r="J128" s="222"/>
      <c r="K128" s="216" t="b">
        <v>0</v>
      </c>
    </row>
    <row r="129">
      <c r="A129" s="216" t="s">
        <v>1473</v>
      </c>
      <c r="B129" s="217">
        <v>18.0</v>
      </c>
      <c r="C129" s="217">
        <v>12.0</v>
      </c>
      <c r="D129" s="218">
        <v>52.119998</v>
      </c>
      <c r="E129" s="218">
        <v>5.383286</v>
      </c>
      <c r="F129" s="216" t="s">
        <v>78</v>
      </c>
      <c r="G129" s="216" t="s">
        <v>79</v>
      </c>
      <c r="I129" s="221"/>
      <c r="J129" s="222"/>
      <c r="K129" s="216" t="b">
        <v>0</v>
      </c>
    </row>
    <row r="130">
      <c r="A130" s="216" t="s">
        <v>1474</v>
      </c>
      <c r="B130" s="217">
        <v>18.0</v>
      </c>
      <c r="C130" s="217">
        <v>13.0</v>
      </c>
      <c r="D130" s="218">
        <v>52.119998</v>
      </c>
      <c r="E130" s="218">
        <v>5.38352</v>
      </c>
      <c r="F130" s="216" t="s">
        <v>125</v>
      </c>
      <c r="G130" s="216" t="s">
        <v>126</v>
      </c>
      <c r="I130" s="221"/>
      <c r="J130" s="222"/>
      <c r="K130" s="216" t="b">
        <v>0</v>
      </c>
    </row>
    <row r="131">
      <c r="A131" s="216" t="s">
        <v>1475</v>
      </c>
      <c r="B131" s="217">
        <v>19.0</v>
      </c>
      <c r="C131" s="217">
        <v>10.0</v>
      </c>
      <c r="D131" s="218">
        <v>52.119854</v>
      </c>
      <c r="E131" s="218">
        <v>5.382818</v>
      </c>
      <c r="F131" s="216" t="s">
        <v>78</v>
      </c>
      <c r="G131" s="216" t="s">
        <v>79</v>
      </c>
      <c r="I131" s="221"/>
      <c r="J131" s="222"/>
      <c r="K131" s="216" t="b">
        <v>0</v>
      </c>
    </row>
    <row r="132">
      <c r="A132" s="216" t="s">
        <v>1476</v>
      </c>
      <c r="B132" s="217">
        <v>19.0</v>
      </c>
      <c r="C132" s="217">
        <v>11.0</v>
      </c>
      <c r="D132" s="218">
        <v>52.119854</v>
      </c>
      <c r="E132" s="218">
        <v>5.383052</v>
      </c>
      <c r="F132" s="216" t="s">
        <v>78</v>
      </c>
      <c r="G132" s="216" t="s">
        <v>79</v>
      </c>
      <c r="I132" s="221"/>
      <c r="J132" s="222"/>
      <c r="K132" s="216" t="b">
        <v>0</v>
      </c>
    </row>
    <row r="133">
      <c r="A133" s="216" t="s">
        <v>1477</v>
      </c>
      <c r="B133" s="217">
        <v>19.0</v>
      </c>
      <c r="C133" s="217">
        <v>12.0</v>
      </c>
      <c r="D133" s="218">
        <v>52.119854</v>
      </c>
      <c r="E133" s="218">
        <v>5.383286</v>
      </c>
      <c r="F133" s="216" t="s">
        <v>125</v>
      </c>
      <c r="G133" s="216" t="s">
        <v>126</v>
      </c>
      <c r="I133" s="221"/>
      <c r="J133" s="222"/>
      <c r="K133" s="216" t="b">
        <v>0</v>
      </c>
    </row>
    <row r="134">
      <c r="A134" s="216" t="s">
        <v>1478</v>
      </c>
      <c r="B134" s="217">
        <v>20.0</v>
      </c>
      <c r="C134" s="217">
        <v>9.0</v>
      </c>
      <c r="D134" s="218">
        <v>52.11971</v>
      </c>
      <c r="E134" s="218">
        <v>5.382584</v>
      </c>
      <c r="F134" s="216" t="s">
        <v>70</v>
      </c>
      <c r="G134" s="216" t="s">
        <v>71</v>
      </c>
      <c r="I134" s="221"/>
      <c r="J134" s="222"/>
      <c r="K134" s="216" t="b">
        <v>0</v>
      </c>
    </row>
    <row r="135">
      <c r="A135" s="216" t="s">
        <v>1479</v>
      </c>
      <c r="B135" s="217">
        <v>20.0</v>
      </c>
      <c r="C135" s="217">
        <v>10.0</v>
      </c>
      <c r="D135" s="218">
        <v>52.11971</v>
      </c>
      <c r="E135" s="218">
        <v>5.382818</v>
      </c>
      <c r="F135" s="216" t="s">
        <v>78</v>
      </c>
      <c r="G135" s="216" t="s">
        <v>79</v>
      </c>
      <c r="I135" s="221"/>
      <c r="J135" s="222"/>
      <c r="K135" s="216" t="b">
        <v>0</v>
      </c>
    </row>
    <row r="136">
      <c r="A136" s="216" t="s">
        <v>1480</v>
      </c>
      <c r="B136" s="217">
        <v>20.0</v>
      </c>
      <c r="C136" s="217">
        <v>11.0</v>
      </c>
      <c r="D136" s="218">
        <v>52.11971</v>
      </c>
      <c r="E136" s="218">
        <v>5.383052</v>
      </c>
      <c r="F136" s="216" t="s">
        <v>125</v>
      </c>
      <c r="G136" s="216" t="s">
        <v>126</v>
      </c>
      <c r="I136" s="221"/>
      <c r="J136" s="222"/>
      <c r="K136" s="216" t="b">
        <v>0</v>
      </c>
    </row>
    <row r="137">
      <c r="A137" s="216" t="s">
        <v>1481</v>
      </c>
      <c r="B137" s="217">
        <v>20.0</v>
      </c>
      <c r="C137" s="217">
        <v>12.0</v>
      </c>
      <c r="D137" s="218">
        <v>52.11971</v>
      </c>
      <c r="E137" s="218">
        <v>5.383286</v>
      </c>
      <c r="F137" s="216" t="s">
        <v>100</v>
      </c>
      <c r="G137" s="216" t="s">
        <v>101</v>
      </c>
      <c r="I137" s="221"/>
      <c r="J137" s="222"/>
      <c r="K137" s="216" t="b">
        <v>0</v>
      </c>
    </row>
    <row r="138">
      <c r="A138" s="216" t="s">
        <v>1482</v>
      </c>
      <c r="B138" s="217">
        <v>21.0</v>
      </c>
      <c r="C138" s="217">
        <v>8.0</v>
      </c>
      <c r="D138" s="218">
        <v>52.119567</v>
      </c>
      <c r="E138" s="218">
        <v>5.38235</v>
      </c>
      <c r="F138" s="216" t="s">
        <v>70</v>
      </c>
      <c r="G138" s="216" t="s">
        <v>71</v>
      </c>
      <c r="I138" s="221"/>
      <c r="J138" s="222"/>
      <c r="K138" s="216" t="b">
        <v>0</v>
      </c>
    </row>
    <row r="139">
      <c r="A139" s="216" t="s">
        <v>1483</v>
      </c>
      <c r="B139" s="217">
        <v>21.0</v>
      </c>
      <c r="C139" s="217">
        <v>9.0</v>
      </c>
      <c r="D139" s="218">
        <v>52.119567</v>
      </c>
      <c r="E139" s="218">
        <v>5.382584</v>
      </c>
      <c r="F139" s="216" t="s">
        <v>78</v>
      </c>
      <c r="G139" s="216" t="s">
        <v>79</v>
      </c>
      <c r="I139" s="221"/>
      <c r="J139" s="222"/>
      <c r="K139" s="216" t="b">
        <v>0</v>
      </c>
    </row>
    <row r="140">
      <c r="A140" s="216" t="s">
        <v>1484</v>
      </c>
      <c r="B140" s="217">
        <v>21.0</v>
      </c>
      <c r="C140" s="217">
        <v>10.0</v>
      </c>
      <c r="D140" s="218">
        <v>52.119567</v>
      </c>
      <c r="E140" s="218">
        <v>5.382818</v>
      </c>
      <c r="F140" s="216" t="s">
        <v>125</v>
      </c>
      <c r="G140" s="216" t="s">
        <v>126</v>
      </c>
      <c r="I140" s="221"/>
      <c r="J140" s="222"/>
      <c r="K140" s="216" t="b">
        <v>0</v>
      </c>
    </row>
    <row r="141">
      <c r="A141" s="216" t="s">
        <v>1485</v>
      </c>
      <c r="B141" s="217">
        <v>21.0</v>
      </c>
      <c r="C141" s="217">
        <v>11.0</v>
      </c>
      <c r="D141" s="218">
        <v>52.119567</v>
      </c>
      <c r="E141" s="218">
        <v>5.383052</v>
      </c>
      <c r="F141" s="216" t="s">
        <v>100</v>
      </c>
      <c r="G141" s="216" t="s">
        <v>101</v>
      </c>
      <c r="I141" s="221"/>
      <c r="J141" s="222"/>
      <c r="K141" s="216" t="b">
        <v>0</v>
      </c>
    </row>
    <row r="142">
      <c r="A142" s="216" t="s">
        <v>1486</v>
      </c>
      <c r="B142" s="217">
        <v>21.0</v>
      </c>
      <c r="C142" s="217">
        <v>19.0</v>
      </c>
      <c r="D142" s="218">
        <v>52.119567</v>
      </c>
      <c r="E142" s="218">
        <v>5.384925</v>
      </c>
      <c r="F142" s="216" t="s">
        <v>394</v>
      </c>
      <c r="G142" s="216" t="s">
        <v>395</v>
      </c>
      <c r="I142" s="221"/>
      <c r="J142" s="222"/>
      <c r="K142" s="216" t="b">
        <v>0</v>
      </c>
    </row>
    <row r="143">
      <c r="A143" s="216" t="s">
        <v>1487</v>
      </c>
      <c r="B143" s="217">
        <v>21.0</v>
      </c>
      <c r="C143" s="217">
        <v>20.0</v>
      </c>
      <c r="D143" s="218">
        <v>52.119567</v>
      </c>
      <c r="E143" s="218">
        <v>5.385159</v>
      </c>
      <c r="F143" s="216" t="s">
        <v>57</v>
      </c>
      <c r="G143" s="216" t="s">
        <v>58</v>
      </c>
      <c r="I143" s="221"/>
      <c r="J143" s="222"/>
      <c r="K143" s="216" t="b">
        <v>0</v>
      </c>
    </row>
    <row r="144">
      <c r="A144" s="216" t="s">
        <v>1488</v>
      </c>
      <c r="B144" s="217">
        <v>21.0</v>
      </c>
      <c r="C144" s="217">
        <v>21.0</v>
      </c>
      <c r="D144" s="218">
        <v>52.119567</v>
      </c>
      <c r="E144" s="218">
        <v>5.385393</v>
      </c>
      <c r="F144" s="216" t="s">
        <v>57</v>
      </c>
      <c r="G144" s="216" t="s">
        <v>58</v>
      </c>
      <c r="I144" s="221"/>
      <c r="J144" s="222"/>
      <c r="K144" s="216" t="b">
        <v>0</v>
      </c>
    </row>
    <row r="145">
      <c r="A145" s="216" t="s">
        <v>1489</v>
      </c>
      <c r="B145" s="217">
        <v>21.0</v>
      </c>
      <c r="C145" s="217">
        <v>22.0</v>
      </c>
      <c r="D145" s="218">
        <v>52.119567</v>
      </c>
      <c r="E145" s="218">
        <v>5.385627</v>
      </c>
      <c r="F145" s="216" t="s">
        <v>394</v>
      </c>
      <c r="G145" s="216" t="s">
        <v>395</v>
      </c>
      <c r="I145" s="221"/>
      <c r="J145" s="222"/>
      <c r="K145" s="216" t="b">
        <v>0</v>
      </c>
    </row>
    <row r="146">
      <c r="A146" s="216" t="s">
        <v>1490</v>
      </c>
      <c r="B146" s="217">
        <v>22.0</v>
      </c>
      <c r="C146" s="217">
        <v>7.0</v>
      </c>
      <c r="D146" s="218">
        <v>52.119423</v>
      </c>
      <c r="E146" s="218">
        <v>5.382116</v>
      </c>
      <c r="F146" s="216" t="s">
        <v>136</v>
      </c>
      <c r="G146" s="216" t="s">
        <v>137</v>
      </c>
      <c r="H146" s="216" t="s">
        <v>1491</v>
      </c>
      <c r="I146" s="219" t="s">
        <v>1492</v>
      </c>
      <c r="J146" s="222"/>
      <c r="K146" s="216" t="b">
        <v>0</v>
      </c>
    </row>
    <row r="147">
      <c r="A147" s="216" t="s">
        <v>1493</v>
      </c>
      <c r="B147" s="217">
        <v>22.0</v>
      </c>
      <c r="C147" s="217">
        <v>8.0</v>
      </c>
      <c r="D147" s="218">
        <v>52.119423</v>
      </c>
      <c r="E147" s="218">
        <v>5.38235</v>
      </c>
      <c r="F147" s="216" t="s">
        <v>57</v>
      </c>
      <c r="G147" s="216" t="s">
        <v>58</v>
      </c>
      <c r="I147" s="221"/>
      <c r="J147" s="222"/>
      <c r="K147" s="216" t="b">
        <v>0</v>
      </c>
    </row>
    <row r="148">
      <c r="A148" s="216" t="s">
        <v>1494</v>
      </c>
      <c r="B148" s="217">
        <v>22.0</v>
      </c>
      <c r="C148" s="217">
        <v>9.0</v>
      </c>
      <c r="D148" s="218">
        <v>52.119423</v>
      </c>
      <c r="E148" s="218">
        <v>5.382584</v>
      </c>
      <c r="F148" s="216" t="s">
        <v>78</v>
      </c>
      <c r="G148" s="216" t="s">
        <v>79</v>
      </c>
      <c r="I148" s="221"/>
      <c r="J148" s="222"/>
      <c r="K148" s="216" t="b">
        <v>0</v>
      </c>
    </row>
    <row r="149">
      <c r="A149" s="216" t="s">
        <v>1495</v>
      </c>
      <c r="B149" s="217">
        <v>22.0</v>
      </c>
      <c r="C149" s="217">
        <v>10.0</v>
      </c>
      <c r="D149" s="218">
        <v>52.119423</v>
      </c>
      <c r="E149" s="218">
        <v>5.382818</v>
      </c>
      <c r="F149" s="216" t="s">
        <v>51</v>
      </c>
      <c r="G149" s="216" t="s">
        <v>52</v>
      </c>
      <c r="H149" s="216" t="s">
        <v>1491</v>
      </c>
      <c r="I149" s="219" t="s">
        <v>1496</v>
      </c>
      <c r="J149" s="222"/>
      <c r="K149" s="216" t="b">
        <v>0</v>
      </c>
    </row>
    <row r="150">
      <c r="A150" s="216" t="s">
        <v>1497</v>
      </c>
      <c r="B150" s="217">
        <v>22.0</v>
      </c>
      <c r="C150" s="217">
        <v>16.0</v>
      </c>
      <c r="D150" s="218">
        <v>52.119423</v>
      </c>
      <c r="E150" s="218">
        <v>5.384223</v>
      </c>
      <c r="F150" s="216" t="s">
        <v>51</v>
      </c>
      <c r="G150" s="216" t="s">
        <v>52</v>
      </c>
      <c r="H150" s="216" t="s">
        <v>1491</v>
      </c>
      <c r="I150" s="219" t="s">
        <v>1498</v>
      </c>
      <c r="J150" s="222"/>
      <c r="K150" s="216" t="b">
        <v>0</v>
      </c>
    </row>
    <row r="151">
      <c r="A151" s="216" t="s">
        <v>1499</v>
      </c>
      <c r="B151" s="217">
        <v>22.0</v>
      </c>
      <c r="C151" s="217">
        <v>17.0</v>
      </c>
      <c r="D151" s="218">
        <v>52.119423</v>
      </c>
      <c r="E151" s="218">
        <v>5.384457</v>
      </c>
      <c r="F151" s="216" t="s">
        <v>57</v>
      </c>
      <c r="G151" s="216" t="s">
        <v>58</v>
      </c>
      <c r="I151" s="221"/>
      <c r="J151" s="222"/>
      <c r="K151" s="216" t="b">
        <v>0</v>
      </c>
    </row>
    <row r="152">
      <c r="A152" s="216" t="s">
        <v>1500</v>
      </c>
      <c r="B152" s="217">
        <v>22.0</v>
      </c>
      <c r="C152" s="217">
        <v>18.0</v>
      </c>
      <c r="D152" s="218">
        <v>52.119423</v>
      </c>
      <c r="E152" s="218">
        <v>5.384691</v>
      </c>
      <c r="F152" s="216" t="s">
        <v>415</v>
      </c>
      <c r="G152" s="216" t="s">
        <v>416</v>
      </c>
      <c r="I152" s="221"/>
      <c r="J152" s="222"/>
      <c r="K152" s="216" t="b">
        <v>0</v>
      </c>
    </row>
    <row r="153">
      <c r="A153" s="216" t="s">
        <v>1501</v>
      </c>
      <c r="B153" s="217">
        <v>22.0</v>
      </c>
      <c r="C153" s="217">
        <v>19.0</v>
      </c>
      <c r="D153" s="218">
        <v>52.119423</v>
      </c>
      <c r="E153" s="218">
        <v>5.384925</v>
      </c>
      <c r="F153" s="216" t="s">
        <v>419</v>
      </c>
      <c r="G153" s="216" t="s">
        <v>420</v>
      </c>
      <c r="H153" s="216" t="s">
        <v>1491</v>
      </c>
      <c r="I153" s="219" t="s">
        <v>1502</v>
      </c>
      <c r="J153" s="222"/>
      <c r="K153" s="216" t="b">
        <v>0</v>
      </c>
    </row>
    <row r="154">
      <c r="A154" s="216" t="s">
        <v>1503</v>
      </c>
      <c r="B154" s="217">
        <v>22.0</v>
      </c>
      <c r="C154" s="217">
        <v>20.0</v>
      </c>
      <c r="D154" s="218">
        <v>52.119423</v>
      </c>
      <c r="E154" s="218">
        <v>5.385159</v>
      </c>
      <c r="F154" s="216" t="s">
        <v>419</v>
      </c>
      <c r="G154" s="216" t="s">
        <v>420</v>
      </c>
      <c r="H154" s="216" t="s">
        <v>1504</v>
      </c>
      <c r="I154" s="219" t="s">
        <v>1505</v>
      </c>
      <c r="J154" s="222"/>
      <c r="K154" s="216" t="b">
        <v>0</v>
      </c>
    </row>
    <row r="155">
      <c r="A155" s="216" t="s">
        <v>1506</v>
      </c>
      <c r="B155" s="217">
        <v>22.0</v>
      </c>
      <c r="C155" s="217">
        <v>21.0</v>
      </c>
      <c r="D155" s="218">
        <v>52.119423</v>
      </c>
      <c r="E155" s="218">
        <v>5.385393</v>
      </c>
      <c r="F155" s="216" t="s">
        <v>419</v>
      </c>
      <c r="G155" s="216" t="s">
        <v>420</v>
      </c>
      <c r="I155" s="221"/>
      <c r="J155" s="222"/>
      <c r="K155" s="216" t="b">
        <v>0</v>
      </c>
    </row>
    <row r="156">
      <c r="A156" s="216" t="s">
        <v>1507</v>
      </c>
      <c r="B156" s="217">
        <v>22.0</v>
      </c>
      <c r="C156" s="217">
        <v>22.0</v>
      </c>
      <c r="D156" s="218">
        <v>52.119423</v>
      </c>
      <c r="E156" s="218">
        <v>5.385627</v>
      </c>
      <c r="F156" s="216" t="s">
        <v>419</v>
      </c>
      <c r="G156" s="216" t="s">
        <v>420</v>
      </c>
      <c r="H156" s="216" t="s">
        <v>1491</v>
      </c>
      <c r="I156" s="219" t="s">
        <v>1508</v>
      </c>
      <c r="J156" s="222"/>
      <c r="K156" s="216" t="b">
        <v>0</v>
      </c>
    </row>
    <row r="157">
      <c r="A157" s="216" t="s">
        <v>1509</v>
      </c>
      <c r="B157" s="217">
        <v>22.0</v>
      </c>
      <c r="C157" s="217">
        <v>23.0</v>
      </c>
      <c r="D157" s="218">
        <v>52.119423</v>
      </c>
      <c r="E157" s="218">
        <v>5.385861</v>
      </c>
      <c r="F157" s="216" t="s">
        <v>415</v>
      </c>
      <c r="G157" s="216" t="s">
        <v>416</v>
      </c>
      <c r="I157" s="221"/>
      <c r="J157" s="222"/>
      <c r="K157" s="216" t="b">
        <v>0</v>
      </c>
    </row>
    <row r="158">
      <c r="A158" s="216" t="s">
        <v>1510</v>
      </c>
      <c r="B158" s="217">
        <v>22.0</v>
      </c>
      <c r="C158" s="217">
        <v>24.0</v>
      </c>
      <c r="D158" s="218">
        <v>52.119423</v>
      </c>
      <c r="E158" s="218">
        <v>5.386095</v>
      </c>
      <c r="F158" s="216" t="s">
        <v>57</v>
      </c>
      <c r="G158" s="216" t="s">
        <v>58</v>
      </c>
      <c r="I158" s="221"/>
      <c r="J158" s="222"/>
      <c r="K158" s="216" t="b">
        <v>0</v>
      </c>
    </row>
    <row r="159">
      <c r="A159" s="216" t="s">
        <v>1511</v>
      </c>
      <c r="B159" s="217">
        <v>22.0</v>
      </c>
      <c r="C159" s="217">
        <v>25.0</v>
      </c>
      <c r="D159" s="218">
        <v>52.119423</v>
      </c>
      <c r="E159" s="218">
        <v>5.386329</v>
      </c>
      <c r="F159" s="216" t="s">
        <v>57</v>
      </c>
      <c r="G159" s="216" t="s">
        <v>58</v>
      </c>
      <c r="H159" s="216" t="s">
        <v>1491</v>
      </c>
      <c r="I159" s="219" t="s">
        <v>1512</v>
      </c>
      <c r="J159" s="222"/>
      <c r="K159" s="216" t="b">
        <v>0</v>
      </c>
    </row>
    <row r="160">
      <c r="A160" s="216" t="s">
        <v>1513</v>
      </c>
      <c r="B160" s="217">
        <v>23.0</v>
      </c>
      <c r="C160" s="217">
        <v>7.0</v>
      </c>
      <c r="D160" s="218">
        <v>52.119279</v>
      </c>
      <c r="E160" s="218">
        <v>5.382116</v>
      </c>
      <c r="F160" s="216" t="s">
        <v>57</v>
      </c>
      <c r="G160" s="216" t="s">
        <v>58</v>
      </c>
      <c r="H160" s="216" t="s">
        <v>432</v>
      </c>
      <c r="I160" s="221"/>
      <c r="J160" s="222"/>
      <c r="K160" s="216" t="b">
        <v>0</v>
      </c>
    </row>
    <row r="161">
      <c r="A161" s="216" t="s">
        <v>1514</v>
      </c>
      <c r="B161" s="217">
        <v>23.0</v>
      </c>
      <c r="C161" s="217">
        <v>8.0</v>
      </c>
      <c r="D161" s="218">
        <v>52.119279</v>
      </c>
      <c r="E161" s="218">
        <v>5.38235</v>
      </c>
      <c r="F161" s="216" t="s">
        <v>57</v>
      </c>
      <c r="G161" s="216" t="s">
        <v>58</v>
      </c>
      <c r="H161" s="216" t="s">
        <v>435</v>
      </c>
      <c r="I161" s="221"/>
      <c r="J161" s="222"/>
      <c r="K161" s="216" t="b">
        <v>0</v>
      </c>
    </row>
    <row r="162">
      <c r="A162" s="216" t="s">
        <v>1515</v>
      </c>
      <c r="B162" s="217">
        <v>23.0</v>
      </c>
      <c r="C162" s="217">
        <v>9.0</v>
      </c>
      <c r="D162" s="218">
        <v>52.119279</v>
      </c>
      <c r="E162" s="218">
        <v>5.382584</v>
      </c>
      <c r="F162" s="216" t="s">
        <v>70</v>
      </c>
      <c r="G162" s="216" t="s">
        <v>71</v>
      </c>
      <c r="H162" s="216" t="s">
        <v>438</v>
      </c>
      <c r="I162" s="221"/>
      <c r="J162" s="222"/>
      <c r="K162" s="216" t="b">
        <v>0</v>
      </c>
    </row>
    <row r="163">
      <c r="A163" s="216" t="s">
        <v>1516</v>
      </c>
      <c r="B163" s="217">
        <v>23.0</v>
      </c>
      <c r="C163" s="217">
        <v>10.0</v>
      </c>
      <c r="D163" s="218">
        <v>52.119279</v>
      </c>
      <c r="E163" s="218">
        <v>5.382818</v>
      </c>
      <c r="F163" s="216" t="s">
        <v>100</v>
      </c>
      <c r="G163" s="216" t="s">
        <v>101</v>
      </c>
      <c r="H163" s="216" t="s">
        <v>432</v>
      </c>
      <c r="I163" s="221"/>
      <c r="J163" s="222"/>
      <c r="K163" s="216" t="b">
        <v>0</v>
      </c>
    </row>
    <row r="164">
      <c r="A164" s="216" t="s">
        <v>1517</v>
      </c>
      <c r="B164" s="217">
        <v>23.0</v>
      </c>
      <c r="C164" s="217">
        <v>15.0</v>
      </c>
      <c r="D164" s="218">
        <v>52.119279</v>
      </c>
      <c r="E164" s="218">
        <v>5.383988</v>
      </c>
      <c r="F164" s="216" t="s">
        <v>51</v>
      </c>
      <c r="G164" s="216" t="s">
        <v>52</v>
      </c>
      <c r="H164" s="216" t="s">
        <v>435</v>
      </c>
      <c r="I164" s="221"/>
      <c r="J164" s="222"/>
      <c r="K164" s="216" t="b">
        <v>0</v>
      </c>
    </row>
    <row r="165">
      <c r="A165" s="216" t="s">
        <v>1518</v>
      </c>
      <c r="B165" s="217">
        <v>23.0</v>
      </c>
      <c r="C165" s="217">
        <v>16.0</v>
      </c>
      <c r="D165" s="218">
        <v>52.119279</v>
      </c>
      <c r="E165" s="218">
        <v>5.384223</v>
      </c>
      <c r="F165" s="216" t="s">
        <v>419</v>
      </c>
      <c r="G165" s="216" t="s">
        <v>420</v>
      </c>
      <c r="H165" s="216" t="s">
        <v>438</v>
      </c>
      <c r="I165" s="221"/>
      <c r="J165" s="222"/>
      <c r="K165" s="216" t="b">
        <v>0</v>
      </c>
    </row>
    <row r="166">
      <c r="A166" s="216" t="s">
        <v>1519</v>
      </c>
      <c r="B166" s="217">
        <v>23.0</v>
      </c>
      <c r="C166" s="217">
        <v>17.0</v>
      </c>
      <c r="D166" s="218">
        <v>52.119279</v>
      </c>
      <c r="E166" s="218">
        <v>5.384457</v>
      </c>
      <c r="F166" s="216" t="s">
        <v>419</v>
      </c>
      <c r="G166" s="216" t="s">
        <v>420</v>
      </c>
      <c r="H166" s="216" t="s">
        <v>432</v>
      </c>
      <c r="I166" s="221"/>
      <c r="J166" s="222"/>
      <c r="K166" s="216" t="b">
        <v>0</v>
      </c>
    </row>
    <row r="167">
      <c r="A167" s="216" t="s">
        <v>1520</v>
      </c>
      <c r="B167" s="217">
        <v>23.0</v>
      </c>
      <c r="C167" s="217">
        <v>18.0</v>
      </c>
      <c r="D167" s="218">
        <v>52.119279</v>
      </c>
      <c r="E167" s="218">
        <v>5.384691</v>
      </c>
      <c r="F167" s="216" t="s">
        <v>419</v>
      </c>
      <c r="G167" s="216" t="s">
        <v>420</v>
      </c>
      <c r="H167" s="216" t="s">
        <v>435</v>
      </c>
      <c r="I167" s="221"/>
      <c r="J167" s="222"/>
      <c r="K167" s="216" t="b">
        <v>0</v>
      </c>
    </row>
    <row r="168">
      <c r="A168" s="216" t="s">
        <v>1521</v>
      </c>
      <c r="B168" s="217">
        <v>23.0</v>
      </c>
      <c r="C168" s="217">
        <v>19.0</v>
      </c>
      <c r="D168" s="218">
        <v>52.119279</v>
      </c>
      <c r="E168" s="218">
        <v>5.384925</v>
      </c>
      <c r="F168" s="216" t="s">
        <v>419</v>
      </c>
      <c r="G168" s="216" t="s">
        <v>420</v>
      </c>
      <c r="H168" s="216" t="s">
        <v>438</v>
      </c>
      <c r="I168" s="221"/>
      <c r="J168" s="222"/>
      <c r="K168" s="216" t="b">
        <v>0</v>
      </c>
    </row>
    <row r="169">
      <c r="A169" s="216" t="s">
        <v>1522</v>
      </c>
      <c r="B169" s="217">
        <v>23.0</v>
      </c>
      <c r="C169" s="217">
        <v>20.0</v>
      </c>
      <c r="D169" s="218">
        <v>52.119279</v>
      </c>
      <c r="E169" s="218">
        <v>5.385159</v>
      </c>
      <c r="F169" s="216" t="s">
        <v>419</v>
      </c>
      <c r="G169" s="216" t="s">
        <v>420</v>
      </c>
      <c r="H169" s="216" t="s">
        <v>432</v>
      </c>
      <c r="I169" s="221"/>
      <c r="J169" s="222"/>
      <c r="K169" s="216" t="b">
        <v>0</v>
      </c>
    </row>
    <row r="170">
      <c r="A170" s="216" t="s">
        <v>1523</v>
      </c>
      <c r="B170" s="217">
        <v>23.0</v>
      </c>
      <c r="C170" s="217">
        <v>21.0</v>
      </c>
      <c r="D170" s="218">
        <v>52.119279</v>
      </c>
      <c r="E170" s="218">
        <v>5.385393</v>
      </c>
      <c r="F170" s="216" t="s">
        <v>419</v>
      </c>
      <c r="G170" s="216" t="s">
        <v>420</v>
      </c>
      <c r="H170" s="216" t="s">
        <v>435</v>
      </c>
      <c r="I170" s="221"/>
      <c r="J170" s="222"/>
      <c r="K170" s="216" t="b">
        <v>0</v>
      </c>
    </row>
    <row r="171">
      <c r="A171" s="216" t="s">
        <v>1524</v>
      </c>
      <c r="B171" s="217">
        <v>23.0</v>
      </c>
      <c r="C171" s="217">
        <v>22.0</v>
      </c>
      <c r="D171" s="218">
        <v>52.119279</v>
      </c>
      <c r="E171" s="218">
        <v>5.385627</v>
      </c>
      <c r="F171" s="216" t="s">
        <v>419</v>
      </c>
      <c r="G171" s="216" t="s">
        <v>420</v>
      </c>
      <c r="H171" s="216" t="s">
        <v>438</v>
      </c>
      <c r="I171" s="221"/>
      <c r="J171" s="222"/>
      <c r="K171" s="216" t="b">
        <v>0</v>
      </c>
    </row>
    <row r="172">
      <c r="A172" s="216" t="s">
        <v>1525</v>
      </c>
      <c r="B172" s="217">
        <v>23.0</v>
      </c>
      <c r="C172" s="217">
        <v>23.0</v>
      </c>
      <c r="D172" s="218">
        <v>52.119279</v>
      </c>
      <c r="E172" s="218">
        <v>5.385861</v>
      </c>
      <c r="F172" s="216" t="s">
        <v>419</v>
      </c>
      <c r="G172" s="216" t="s">
        <v>420</v>
      </c>
      <c r="H172" s="216" t="s">
        <v>432</v>
      </c>
      <c r="I172" s="221"/>
      <c r="J172" s="222"/>
      <c r="K172" s="216" t="b">
        <v>0</v>
      </c>
    </row>
    <row r="173">
      <c r="A173" s="216" t="s">
        <v>1526</v>
      </c>
      <c r="B173" s="217">
        <v>23.0</v>
      </c>
      <c r="C173" s="217">
        <v>24.0</v>
      </c>
      <c r="D173" s="218">
        <v>52.119279</v>
      </c>
      <c r="E173" s="218">
        <v>5.386095</v>
      </c>
      <c r="F173" s="216" t="s">
        <v>57</v>
      </c>
      <c r="G173" s="216" t="s">
        <v>58</v>
      </c>
      <c r="H173" s="216" t="s">
        <v>435</v>
      </c>
      <c r="I173" s="221"/>
      <c r="J173" s="222"/>
      <c r="K173" s="216" t="b">
        <v>0</v>
      </c>
    </row>
    <row r="174">
      <c r="A174" s="216" t="s">
        <v>1527</v>
      </c>
      <c r="B174" s="217">
        <v>23.0</v>
      </c>
      <c r="C174" s="217">
        <v>25.0</v>
      </c>
      <c r="D174" s="218">
        <v>52.119279</v>
      </c>
      <c r="E174" s="218">
        <v>5.386329</v>
      </c>
      <c r="F174" s="216" t="s">
        <v>57</v>
      </c>
      <c r="G174" s="216" t="s">
        <v>58</v>
      </c>
      <c r="H174" s="216" t="s">
        <v>438</v>
      </c>
      <c r="I174" s="221"/>
      <c r="J174" s="222"/>
      <c r="K174" s="216" t="b">
        <v>0</v>
      </c>
    </row>
    <row r="175">
      <c r="A175" s="216" t="s">
        <v>1528</v>
      </c>
      <c r="B175" s="217">
        <v>23.0</v>
      </c>
      <c r="C175" s="217">
        <v>26.0</v>
      </c>
      <c r="D175" s="218">
        <v>52.119279</v>
      </c>
      <c r="E175" s="218">
        <v>5.386563</v>
      </c>
      <c r="F175" s="216" t="s">
        <v>415</v>
      </c>
      <c r="G175" s="216" t="s">
        <v>416</v>
      </c>
      <c r="I175" s="221"/>
      <c r="J175" s="222"/>
      <c r="K175" s="216" t="b">
        <v>0</v>
      </c>
    </row>
    <row r="176">
      <c r="A176" s="216" t="s">
        <v>1529</v>
      </c>
      <c r="B176" s="217">
        <v>23.0</v>
      </c>
      <c r="C176" s="217">
        <v>27.0</v>
      </c>
      <c r="D176" s="218">
        <v>52.119279</v>
      </c>
      <c r="E176" s="218">
        <v>5.386797</v>
      </c>
      <c r="F176" s="216" t="s">
        <v>394</v>
      </c>
      <c r="G176" s="216" t="s">
        <v>395</v>
      </c>
      <c r="I176" s="221"/>
      <c r="J176" s="222"/>
      <c r="K176" s="216" t="b">
        <v>0</v>
      </c>
    </row>
    <row r="177">
      <c r="A177" s="216" t="s">
        <v>1530</v>
      </c>
      <c r="B177" s="217">
        <v>24.0</v>
      </c>
      <c r="C177" s="217">
        <v>6.0</v>
      </c>
      <c r="D177" s="218">
        <v>52.119136</v>
      </c>
      <c r="E177" s="218">
        <v>5.381882</v>
      </c>
      <c r="F177" s="216" t="s">
        <v>57</v>
      </c>
      <c r="G177" s="216" t="s">
        <v>58</v>
      </c>
      <c r="I177" s="221"/>
      <c r="J177" s="222"/>
      <c r="K177" s="216" t="b">
        <v>0</v>
      </c>
    </row>
    <row r="178">
      <c r="A178" s="216" t="s">
        <v>1531</v>
      </c>
      <c r="B178" s="217">
        <v>24.0</v>
      </c>
      <c r="C178" s="217">
        <v>7.0</v>
      </c>
      <c r="D178" s="218">
        <v>52.119136</v>
      </c>
      <c r="E178" s="218">
        <v>5.382116</v>
      </c>
      <c r="F178" s="216" t="s">
        <v>57</v>
      </c>
      <c r="G178" s="216" t="s">
        <v>58</v>
      </c>
      <c r="I178" s="221"/>
      <c r="J178" s="222"/>
      <c r="K178" s="216" t="b">
        <v>0</v>
      </c>
    </row>
    <row r="179">
      <c r="A179" s="216" t="s">
        <v>1532</v>
      </c>
      <c r="B179" s="217">
        <v>24.0</v>
      </c>
      <c r="C179" s="217">
        <v>8.0</v>
      </c>
      <c r="D179" s="218">
        <v>52.119136</v>
      </c>
      <c r="E179" s="218">
        <v>5.38235</v>
      </c>
      <c r="F179" s="216" t="s">
        <v>57</v>
      </c>
      <c r="G179" s="216" t="s">
        <v>58</v>
      </c>
      <c r="I179" s="221"/>
      <c r="J179" s="222"/>
      <c r="K179" s="216" t="b">
        <v>0</v>
      </c>
    </row>
    <row r="180">
      <c r="A180" s="216" t="s">
        <v>1533</v>
      </c>
      <c r="B180" s="217">
        <v>24.0</v>
      </c>
      <c r="C180" s="217">
        <v>9.0</v>
      </c>
      <c r="D180" s="218">
        <v>52.119136</v>
      </c>
      <c r="E180" s="218">
        <v>5.382584</v>
      </c>
      <c r="F180" s="216" t="s">
        <v>70</v>
      </c>
      <c r="G180" s="216" t="s">
        <v>71</v>
      </c>
      <c r="I180" s="221"/>
      <c r="J180" s="222"/>
      <c r="K180" s="216" t="b">
        <v>0</v>
      </c>
    </row>
    <row r="181">
      <c r="A181" s="216" t="s">
        <v>1534</v>
      </c>
      <c r="B181" s="217">
        <v>24.0</v>
      </c>
      <c r="C181" s="217">
        <v>10.0</v>
      </c>
      <c r="D181" s="218">
        <v>52.119136</v>
      </c>
      <c r="E181" s="218">
        <v>5.382818</v>
      </c>
      <c r="F181" s="216" t="s">
        <v>100</v>
      </c>
      <c r="G181" s="216" t="s">
        <v>101</v>
      </c>
      <c r="I181" s="221"/>
      <c r="J181" s="222"/>
      <c r="K181" s="216" t="b">
        <v>0</v>
      </c>
    </row>
    <row r="182">
      <c r="A182" s="216" t="s">
        <v>1535</v>
      </c>
      <c r="B182" s="217">
        <v>24.0</v>
      </c>
      <c r="C182" s="217">
        <v>14.0</v>
      </c>
      <c r="D182" s="218">
        <v>52.119136</v>
      </c>
      <c r="E182" s="218">
        <v>5.383754</v>
      </c>
      <c r="F182" s="216" t="s">
        <v>51</v>
      </c>
      <c r="G182" s="216" t="s">
        <v>52</v>
      </c>
      <c r="I182" s="221"/>
      <c r="J182" s="222"/>
      <c r="K182" s="216" t="b">
        <v>0</v>
      </c>
    </row>
    <row r="183">
      <c r="A183" s="216" t="s">
        <v>1536</v>
      </c>
      <c r="B183" s="217">
        <v>24.0</v>
      </c>
      <c r="C183" s="217">
        <v>15.0</v>
      </c>
      <c r="D183" s="218">
        <v>52.119136</v>
      </c>
      <c r="E183" s="218">
        <v>5.383988</v>
      </c>
      <c r="F183" s="216" t="s">
        <v>415</v>
      </c>
      <c r="G183" s="216" t="s">
        <v>416</v>
      </c>
      <c r="I183" s="221"/>
      <c r="J183" s="222"/>
      <c r="K183" s="216" t="b">
        <v>0</v>
      </c>
    </row>
    <row r="184">
      <c r="A184" s="216" t="s">
        <v>1537</v>
      </c>
      <c r="B184" s="217">
        <v>24.0</v>
      </c>
      <c r="C184" s="217">
        <v>16.0</v>
      </c>
      <c r="D184" s="218">
        <v>52.119136</v>
      </c>
      <c r="E184" s="218">
        <v>5.384222</v>
      </c>
      <c r="F184" s="216" t="s">
        <v>487</v>
      </c>
      <c r="G184" s="216" t="s">
        <v>488</v>
      </c>
      <c r="I184" s="221"/>
      <c r="J184" s="222"/>
      <c r="K184" s="216" t="b">
        <v>0</v>
      </c>
    </row>
    <row r="185">
      <c r="A185" s="216" t="s">
        <v>1538</v>
      </c>
      <c r="B185" s="217">
        <v>24.0</v>
      </c>
      <c r="C185" s="217">
        <v>17.0</v>
      </c>
      <c r="D185" s="218">
        <v>52.119136</v>
      </c>
      <c r="E185" s="218">
        <v>5.384457</v>
      </c>
      <c r="F185" s="216" t="s">
        <v>419</v>
      </c>
      <c r="G185" s="216" t="s">
        <v>420</v>
      </c>
      <c r="I185" s="221"/>
      <c r="J185" s="222"/>
      <c r="K185" s="216" t="b">
        <v>0</v>
      </c>
    </row>
    <row r="186">
      <c r="A186" s="216" t="s">
        <v>1539</v>
      </c>
      <c r="B186" s="217">
        <v>24.0</v>
      </c>
      <c r="C186" s="217">
        <v>18.0</v>
      </c>
      <c r="D186" s="218">
        <v>52.119136</v>
      </c>
      <c r="E186" s="218">
        <v>5.384691</v>
      </c>
      <c r="F186" s="216" t="s">
        <v>419</v>
      </c>
      <c r="G186" s="216" t="s">
        <v>420</v>
      </c>
      <c r="I186" s="221"/>
      <c r="J186" s="222"/>
      <c r="K186" s="216" t="b">
        <v>0</v>
      </c>
    </row>
    <row r="187">
      <c r="A187" s="216" t="s">
        <v>1540</v>
      </c>
      <c r="B187" s="217">
        <v>24.0</v>
      </c>
      <c r="C187" s="217">
        <v>19.0</v>
      </c>
      <c r="D187" s="218">
        <v>52.119136</v>
      </c>
      <c r="E187" s="218">
        <v>5.384925</v>
      </c>
      <c r="F187" s="216" t="s">
        <v>419</v>
      </c>
      <c r="G187" s="216" t="s">
        <v>420</v>
      </c>
      <c r="I187" s="221"/>
      <c r="J187" s="222"/>
      <c r="K187" s="216" t="b">
        <v>0</v>
      </c>
    </row>
    <row r="188">
      <c r="A188" s="216" t="s">
        <v>1541</v>
      </c>
      <c r="B188" s="217">
        <v>24.0</v>
      </c>
      <c r="C188" s="217">
        <v>20.0</v>
      </c>
      <c r="D188" s="218">
        <v>52.119136</v>
      </c>
      <c r="E188" s="218">
        <v>5.385159</v>
      </c>
      <c r="F188" s="216" t="s">
        <v>419</v>
      </c>
      <c r="G188" s="216" t="s">
        <v>420</v>
      </c>
      <c r="I188" s="221"/>
      <c r="J188" s="222"/>
      <c r="K188" s="216" t="b">
        <v>0</v>
      </c>
    </row>
    <row r="189">
      <c r="A189" s="216" t="s">
        <v>1542</v>
      </c>
      <c r="B189" s="217">
        <v>24.0</v>
      </c>
      <c r="C189" s="217">
        <v>21.0</v>
      </c>
      <c r="D189" s="218">
        <v>52.119136</v>
      </c>
      <c r="E189" s="218">
        <v>5.385393</v>
      </c>
      <c r="F189" s="216" t="s">
        <v>487</v>
      </c>
      <c r="G189" s="216" t="s">
        <v>488</v>
      </c>
      <c r="I189" s="221"/>
      <c r="J189" s="222"/>
      <c r="K189" s="216" t="b">
        <v>0</v>
      </c>
    </row>
    <row r="190">
      <c r="A190" s="216" t="s">
        <v>1543</v>
      </c>
      <c r="B190" s="217">
        <v>24.0</v>
      </c>
      <c r="C190" s="217">
        <v>22.0</v>
      </c>
      <c r="D190" s="218">
        <v>52.119136</v>
      </c>
      <c r="E190" s="218">
        <v>5.385627</v>
      </c>
      <c r="F190" s="216" t="s">
        <v>57</v>
      </c>
      <c r="G190" s="216" t="s">
        <v>58</v>
      </c>
      <c r="I190" s="221"/>
      <c r="J190" s="222"/>
      <c r="K190" s="216" t="b">
        <v>0</v>
      </c>
    </row>
    <row r="191">
      <c r="A191" s="216" t="s">
        <v>1544</v>
      </c>
      <c r="B191" s="217">
        <v>24.0</v>
      </c>
      <c r="C191" s="217">
        <v>23.0</v>
      </c>
      <c r="D191" s="218">
        <v>52.119136</v>
      </c>
      <c r="E191" s="218">
        <v>5.385861</v>
      </c>
      <c r="F191" s="216" t="s">
        <v>57</v>
      </c>
      <c r="G191" s="216" t="s">
        <v>58</v>
      </c>
      <c r="I191" s="221"/>
      <c r="J191" s="222"/>
      <c r="K191" s="216" t="b">
        <v>0</v>
      </c>
    </row>
    <row r="192">
      <c r="A192" s="216" t="s">
        <v>1545</v>
      </c>
      <c r="B192" s="217">
        <v>24.0</v>
      </c>
      <c r="C192" s="217">
        <v>24.0</v>
      </c>
      <c r="D192" s="218">
        <v>52.119136</v>
      </c>
      <c r="E192" s="218">
        <v>5.386095</v>
      </c>
      <c r="F192" s="216" t="s">
        <v>57</v>
      </c>
      <c r="G192" s="216" t="s">
        <v>58</v>
      </c>
      <c r="I192" s="221"/>
      <c r="J192" s="222"/>
      <c r="K192" s="216" t="b">
        <v>0</v>
      </c>
    </row>
    <row r="193">
      <c r="A193" s="216" t="s">
        <v>1546</v>
      </c>
      <c r="B193" s="217">
        <v>24.0</v>
      </c>
      <c r="C193" s="217">
        <v>25.0</v>
      </c>
      <c r="D193" s="218">
        <v>52.119136</v>
      </c>
      <c r="E193" s="218">
        <v>5.386329</v>
      </c>
      <c r="F193" s="216" t="s">
        <v>57</v>
      </c>
      <c r="G193" s="216" t="s">
        <v>58</v>
      </c>
      <c r="I193" s="221"/>
      <c r="J193" s="222"/>
      <c r="K193" s="216" t="b">
        <v>0</v>
      </c>
    </row>
    <row r="194">
      <c r="A194" s="216" t="s">
        <v>1547</v>
      </c>
      <c r="B194" s="217">
        <v>24.0</v>
      </c>
      <c r="C194" s="217">
        <v>26.0</v>
      </c>
      <c r="D194" s="218">
        <v>52.119136</v>
      </c>
      <c r="E194" s="218">
        <v>5.386563</v>
      </c>
      <c r="F194" s="216" t="s">
        <v>57</v>
      </c>
      <c r="G194" s="216" t="s">
        <v>58</v>
      </c>
      <c r="I194" s="221"/>
      <c r="J194" s="222"/>
      <c r="K194" s="216" t="b">
        <v>0</v>
      </c>
    </row>
    <row r="195">
      <c r="A195" s="216" t="s">
        <v>1548</v>
      </c>
      <c r="B195" s="217">
        <v>24.0</v>
      </c>
      <c r="C195" s="217">
        <v>27.0</v>
      </c>
      <c r="D195" s="218">
        <v>52.119136</v>
      </c>
      <c r="E195" s="218">
        <v>5.386797</v>
      </c>
      <c r="F195" s="216" t="s">
        <v>487</v>
      </c>
      <c r="G195" s="216" t="s">
        <v>488</v>
      </c>
      <c r="I195" s="221"/>
      <c r="J195" s="222"/>
      <c r="K195" s="216" t="b">
        <v>0</v>
      </c>
    </row>
    <row r="196">
      <c r="A196" s="216" t="s">
        <v>1549</v>
      </c>
      <c r="B196" s="217">
        <v>24.0</v>
      </c>
      <c r="C196" s="217">
        <v>28.0</v>
      </c>
      <c r="D196" s="218">
        <v>52.119136</v>
      </c>
      <c r="E196" s="218">
        <v>5.387031</v>
      </c>
      <c r="F196" s="216" t="s">
        <v>57</v>
      </c>
      <c r="G196" s="216" t="s">
        <v>58</v>
      </c>
      <c r="I196" s="221"/>
      <c r="J196" s="222"/>
      <c r="K196" s="216" t="b">
        <v>0</v>
      </c>
    </row>
    <row r="197">
      <c r="A197" s="216" t="s">
        <v>1550</v>
      </c>
      <c r="B197" s="217">
        <v>25.0</v>
      </c>
      <c r="C197" s="217">
        <v>6.0</v>
      </c>
      <c r="D197" s="218">
        <v>52.118992</v>
      </c>
      <c r="E197" s="218">
        <v>5.381882</v>
      </c>
      <c r="F197" s="216" t="s">
        <v>57</v>
      </c>
      <c r="G197" s="216" t="s">
        <v>58</v>
      </c>
      <c r="I197" s="221"/>
      <c r="J197" s="222"/>
      <c r="K197" s="216" t="b">
        <v>0</v>
      </c>
    </row>
    <row r="198">
      <c r="A198" s="216" t="s">
        <v>1551</v>
      </c>
      <c r="B198" s="217">
        <v>25.0</v>
      </c>
      <c r="C198" s="217">
        <v>7.0</v>
      </c>
      <c r="D198" s="218">
        <v>52.118992</v>
      </c>
      <c r="E198" s="218">
        <v>5.382116</v>
      </c>
      <c r="F198" s="216" t="s">
        <v>57</v>
      </c>
      <c r="G198" s="216" t="s">
        <v>58</v>
      </c>
      <c r="H198" s="216" t="s">
        <v>1491</v>
      </c>
      <c r="I198" s="219" t="s">
        <v>1552</v>
      </c>
      <c r="J198" s="222"/>
      <c r="K198" s="216" t="b">
        <v>0</v>
      </c>
    </row>
    <row r="199">
      <c r="A199" s="216" t="s">
        <v>1553</v>
      </c>
      <c r="B199" s="217">
        <v>25.0</v>
      </c>
      <c r="C199" s="217">
        <v>8.0</v>
      </c>
      <c r="D199" s="218">
        <v>52.118992</v>
      </c>
      <c r="E199" s="218">
        <v>5.38235</v>
      </c>
      <c r="F199" s="216" t="s">
        <v>57</v>
      </c>
      <c r="G199" s="216" t="s">
        <v>58</v>
      </c>
      <c r="H199" s="216" t="s">
        <v>1554</v>
      </c>
      <c r="I199" s="219" t="s">
        <v>1555</v>
      </c>
      <c r="J199" s="222"/>
      <c r="K199" s="216" t="b">
        <v>1</v>
      </c>
    </row>
    <row r="200">
      <c r="A200" s="216" t="s">
        <v>1556</v>
      </c>
      <c r="B200" s="217">
        <v>25.0</v>
      </c>
      <c r="C200" s="217">
        <v>9.0</v>
      </c>
      <c r="D200" s="218">
        <v>52.118992</v>
      </c>
      <c r="E200" s="218">
        <v>5.382584</v>
      </c>
      <c r="F200" s="216" t="s">
        <v>78</v>
      </c>
      <c r="G200" s="216" t="s">
        <v>79</v>
      </c>
      <c r="I200" s="221"/>
      <c r="J200" s="222"/>
      <c r="K200" s="216" t="b">
        <v>0</v>
      </c>
    </row>
    <row r="201">
      <c r="A201" s="216" t="s">
        <v>1557</v>
      </c>
      <c r="B201" s="217">
        <v>25.0</v>
      </c>
      <c r="C201" s="217">
        <v>10.0</v>
      </c>
      <c r="D201" s="218">
        <v>52.118992</v>
      </c>
      <c r="E201" s="218">
        <v>5.382818</v>
      </c>
      <c r="F201" s="216" t="s">
        <v>51</v>
      </c>
      <c r="G201" s="216" t="s">
        <v>52</v>
      </c>
      <c r="H201" s="216" t="s">
        <v>1491</v>
      </c>
      <c r="I201" s="219" t="s">
        <v>1558</v>
      </c>
      <c r="J201" s="222"/>
      <c r="K201" s="216" t="b">
        <v>0</v>
      </c>
    </row>
    <row r="202">
      <c r="A202" s="216" t="s">
        <v>1559</v>
      </c>
      <c r="B202" s="217">
        <v>25.0</v>
      </c>
      <c r="C202" s="217">
        <v>13.0</v>
      </c>
      <c r="D202" s="218">
        <v>52.118992</v>
      </c>
      <c r="E202" s="218">
        <v>5.38352</v>
      </c>
      <c r="F202" s="216" t="s">
        <v>51</v>
      </c>
      <c r="G202" s="216" t="s">
        <v>52</v>
      </c>
      <c r="I202" s="221"/>
      <c r="J202" s="222"/>
      <c r="K202" s="216" t="b">
        <v>0</v>
      </c>
    </row>
    <row r="203">
      <c r="A203" s="216" t="s">
        <v>1560</v>
      </c>
      <c r="B203" s="217">
        <v>25.0</v>
      </c>
      <c r="C203" s="217">
        <v>14.0</v>
      </c>
      <c r="D203" s="218">
        <v>52.118992</v>
      </c>
      <c r="E203" s="218">
        <v>5.383754</v>
      </c>
      <c r="F203" s="216" t="s">
        <v>57</v>
      </c>
      <c r="G203" s="216" t="s">
        <v>58</v>
      </c>
      <c r="I203" s="221"/>
      <c r="J203" s="222"/>
      <c r="K203" s="216" t="b">
        <v>0</v>
      </c>
    </row>
    <row r="204">
      <c r="A204" s="216" t="s">
        <v>1561</v>
      </c>
      <c r="B204" s="217">
        <v>25.0</v>
      </c>
      <c r="C204" s="217">
        <v>15.0</v>
      </c>
      <c r="D204" s="218">
        <v>52.118992</v>
      </c>
      <c r="E204" s="218">
        <v>5.383988</v>
      </c>
      <c r="F204" s="216" t="s">
        <v>57</v>
      </c>
      <c r="G204" s="216" t="s">
        <v>58</v>
      </c>
      <c r="H204" s="216" t="s">
        <v>1491</v>
      </c>
      <c r="I204" s="219" t="s">
        <v>1562</v>
      </c>
      <c r="J204" s="222"/>
      <c r="K204" s="216" t="b">
        <v>0</v>
      </c>
    </row>
    <row r="205">
      <c r="A205" s="216" t="s">
        <v>1563</v>
      </c>
      <c r="B205" s="217">
        <v>25.0</v>
      </c>
      <c r="C205" s="217">
        <v>16.0</v>
      </c>
      <c r="D205" s="218">
        <v>52.118992</v>
      </c>
      <c r="E205" s="218">
        <v>5.384222</v>
      </c>
      <c r="F205" s="216" t="s">
        <v>57</v>
      </c>
      <c r="G205" s="216" t="s">
        <v>58</v>
      </c>
      <c r="I205" s="221"/>
      <c r="J205" s="222"/>
      <c r="K205" s="216" t="b">
        <v>0</v>
      </c>
    </row>
    <row r="206">
      <c r="A206" s="216" t="s">
        <v>1564</v>
      </c>
      <c r="B206" s="217">
        <v>25.0</v>
      </c>
      <c r="C206" s="217">
        <v>17.0</v>
      </c>
      <c r="D206" s="218">
        <v>52.118992</v>
      </c>
      <c r="E206" s="218">
        <v>5.384457</v>
      </c>
      <c r="F206" s="216" t="s">
        <v>487</v>
      </c>
      <c r="G206" s="216" t="s">
        <v>488</v>
      </c>
      <c r="I206" s="221"/>
      <c r="J206" s="222"/>
      <c r="K206" s="216" t="b">
        <v>0</v>
      </c>
    </row>
    <row r="207">
      <c r="A207" s="216" t="s">
        <v>1565</v>
      </c>
      <c r="B207" s="217">
        <v>25.0</v>
      </c>
      <c r="C207" s="217">
        <v>18.0</v>
      </c>
      <c r="D207" s="218">
        <v>52.118992</v>
      </c>
      <c r="E207" s="218">
        <v>5.384691</v>
      </c>
      <c r="F207" s="216" t="s">
        <v>487</v>
      </c>
      <c r="G207" s="216" t="s">
        <v>488</v>
      </c>
      <c r="H207" s="216" t="s">
        <v>1491</v>
      </c>
      <c r="I207" s="219" t="s">
        <v>1566</v>
      </c>
      <c r="J207" s="222"/>
      <c r="K207" s="216" t="b">
        <v>0</v>
      </c>
    </row>
    <row r="208">
      <c r="A208" s="216" t="s">
        <v>1567</v>
      </c>
      <c r="B208" s="217">
        <v>25.0</v>
      </c>
      <c r="C208" s="217">
        <v>19.0</v>
      </c>
      <c r="D208" s="218">
        <v>52.118992</v>
      </c>
      <c r="E208" s="218">
        <v>5.384925</v>
      </c>
      <c r="F208" s="216" t="s">
        <v>487</v>
      </c>
      <c r="G208" s="216" t="s">
        <v>488</v>
      </c>
      <c r="I208" s="221"/>
      <c r="J208" s="222"/>
      <c r="K208" s="216" t="b">
        <v>0</v>
      </c>
    </row>
    <row r="209">
      <c r="A209" s="216" t="s">
        <v>1568</v>
      </c>
      <c r="B209" s="217">
        <v>25.0</v>
      </c>
      <c r="C209" s="217">
        <v>20.0</v>
      </c>
      <c r="D209" s="218">
        <v>52.118992</v>
      </c>
      <c r="E209" s="218">
        <v>5.385159</v>
      </c>
      <c r="F209" s="216" t="s">
        <v>487</v>
      </c>
      <c r="G209" s="216" t="s">
        <v>488</v>
      </c>
      <c r="I209" s="221"/>
      <c r="J209" s="222"/>
      <c r="K209" s="216" t="b">
        <v>0</v>
      </c>
    </row>
    <row r="210">
      <c r="A210" s="216" t="s">
        <v>1569</v>
      </c>
      <c r="B210" s="217">
        <v>25.0</v>
      </c>
      <c r="C210" s="217">
        <v>21.0</v>
      </c>
      <c r="D210" s="218">
        <v>52.118992</v>
      </c>
      <c r="E210" s="218">
        <v>5.385393</v>
      </c>
      <c r="F210" s="216" t="s">
        <v>57</v>
      </c>
      <c r="G210" s="216" t="s">
        <v>58</v>
      </c>
      <c r="H210" s="216" t="s">
        <v>1491</v>
      </c>
      <c r="I210" s="219" t="s">
        <v>1570</v>
      </c>
      <c r="J210" s="222"/>
      <c r="K210" s="216" t="b">
        <v>0</v>
      </c>
    </row>
    <row r="211">
      <c r="A211" s="216" t="s">
        <v>1571</v>
      </c>
      <c r="B211" s="217">
        <v>25.0</v>
      </c>
      <c r="C211" s="217">
        <v>22.0</v>
      </c>
      <c r="D211" s="218">
        <v>52.118992</v>
      </c>
      <c r="E211" s="218">
        <v>5.385627</v>
      </c>
      <c r="F211" s="216" t="s">
        <v>57</v>
      </c>
      <c r="G211" s="216" t="s">
        <v>58</v>
      </c>
      <c r="I211" s="221"/>
      <c r="J211" s="222"/>
      <c r="K211" s="216" t="b">
        <v>0</v>
      </c>
    </row>
    <row r="212">
      <c r="A212" s="216" t="s">
        <v>1572</v>
      </c>
      <c r="B212" s="217">
        <v>25.0</v>
      </c>
      <c r="C212" s="217">
        <v>23.0</v>
      </c>
      <c r="D212" s="218">
        <v>52.118992</v>
      </c>
      <c r="E212" s="218">
        <v>5.385861</v>
      </c>
      <c r="F212" s="216" t="s">
        <v>57</v>
      </c>
      <c r="G212" s="216" t="s">
        <v>58</v>
      </c>
      <c r="I212" s="221"/>
      <c r="J212" s="222"/>
      <c r="K212" s="216" t="b">
        <v>0</v>
      </c>
    </row>
    <row r="213">
      <c r="A213" s="216" t="s">
        <v>1573</v>
      </c>
      <c r="B213" s="217">
        <v>25.0</v>
      </c>
      <c r="C213" s="217">
        <v>24.0</v>
      </c>
      <c r="D213" s="218">
        <v>52.118992</v>
      </c>
      <c r="E213" s="218">
        <v>5.386095</v>
      </c>
      <c r="F213" s="216" t="s">
        <v>78</v>
      </c>
      <c r="G213" s="216" t="s">
        <v>79</v>
      </c>
      <c r="H213" s="216" t="s">
        <v>1491</v>
      </c>
      <c r="I213" s="219" t="s">
        <v>1574</v>
      </c>
      <c r="J213" s="222"/>
      <c r="K213" s="216" t="b">
        <v>0</v>
      </c>
    </row>
    <row r="214">
      <c r="A214" s="216" t="s">
        <v>1575</v>
      </c>
      <c r="B214" s="217">
        <v>25.0</v>
      </c>
      <c r="C214" s="217">
        <v>25.0</v>
      </c>
      <c r="D214" s="218">
        <v>52.118992</v>
      </c>
      <c r="E214" s="218">
        <v>5.386329</v>
      </c>
      <c r="F214" s="216" t="s">
        <v>125</v>
      </c>
      <c r="G214" s="216" t="s">
        <v>126</v>
      </c>
      <c r="I214" s="221"/>
      <c r="J214" s="222"/>
      <c r="K214" s="216" t="b">
        <v>0</v>
      </c>
    </row>
    <row r="215">
      <c r="A215" s="216" t="s">
        <v>1576</v>
      </c>
      <c r="B215" s="217">
        <v>25.0</v>
      </c>
      <c r="C215" s="217">
        <v>26.0</v>
      </c>
      <c r="D215" s="218">
        <v>52.118992</v>
      </c>
      <c r="E215" s="218">
        <v>5.386563</v>
      </c>
      <c r="F215" s="216" t="s">
        <v>70</v>
      </c>
      <c r="G215" s="216" t="s">
        <v>71</v>
      </c>
      <c r="I215" s="221"/>
      <c r="J215" s="222"/>
      <c r="K215" s="216" t="b">
        <v>0</v>
      </c>
    </row>
    <row r="216">
      <c r="A216" s="216" t="s">
        <v>1577</v>
      </c>
      <c r="B216" s="217">
        <v>25.0</v>
      </c>
      <c r="C216" s="217">
        <v>27.0</v>
      </c>
      <c r="D216" s="218">
        <v>52.118992</v>
      </c>
      <c r="E216" s="218">
        <v>5.386797</v>
      </c>
      <c r="F216" s="216" t="s">
        <v>78</v>
      </c>
      <c r="G216" s="216" t="s">
        <v>79</v>
      </c>
      <c r="H216" s="216" t="s">
        <v>1491</v>
      </c>
      <c r="I216" s="219" t="s">
        <v>1578</v>
      </c>
      <c r="J216" s="222"/>
      <c r="K216" s="216" t="b">
        <v>0</v>
      </c>
    </row>
    <row r="217">
      <c r="A217" s="216" t="s">
        <v>1579</v>
      </c>
      <c r="B217" s="217">
        <v>25.0</v>
      </c>
      <c r="C217" s="217">
        <v>28.0</v>
      </c>
      <c r="D217" s="218">
        <v>52.118992</v>
      </c>
      <c r="E217" s="218">
        <v>5.387031</v>
      </c>
      <c r="F217" s="216" t="s">
        <v>78</v>
      </c>
      <c r="G217" s="216" t="s">
        <v>79</v>
      </c>
      <c r="I217" s="221"/>
      <c r="J217" s="222"/>
      <c r="K217" s="216" t="b">
        <v>0</v>
      </c>
    </row>
    <row r="218">
      <c r="A218" s="216" t="s">
        <v>1580</v>
      </c>
      <c r="B218" s="217">
        <v>25.0</v>
      </c>
      <c r="C218" s="217">
        <v>29.0</v>
      </c>
      <c r="D218" s="218">
        <v>52.118992</v>
      </c>
      <c r="E218" s="218">
        <v>5.387266</v>
      </c>
      <c r="F218" s="216" t="s">
        <v>78</v>
      </c>
      <c r="G218" s="216" t="s">
        <v>79</v>
      </c>
      <c r="I218" s="221"/>
      <c r="J218" s="222"/>
      <c r="K218" s="216" t="b">
        <v>0</v>
      </c>
    </row>
    <row r="219">
      <c r="A219" s="216" t="s">
        <v>1581</v>
      </c>
      <c r="B219" s="217">
        <v>26.0</v>
      </c>
      <c r="C219" s="217">
        <v>6.0</v>
      </c>
      <c r="D219" s="218">
        <v>52.118848</v>
      </c>
      <c r="E219" s="218">
        <v>5.381882</v>
      </c>
      <c r="F219" s="216" t="s">
        <v>57</v>
      </c>
      <c r="G219" s="216" t="s">
        <v>58</v>
      </c>
      <c r="H219" s="216" t="s">
        <v>432</v>
      </c>
      <c r="I219" s="221"/>
      <c r="J219" s="222"/>
      <c r="K219" s="216" t="b">
        <v>0</v>
      </c>
    </row>
    <row r="220">
      <c r="A220" s="216" t="s">
        <v>1582</v>
      </c>
      <c r="B220" s="217">
        <v>26.0</v>
      </c>
      <c r="C220" s="217">
        <v>7.0</v>
      </c>
      <c r="D220" s="218">
        <v>52.118848</v>
      </c>
      <c r="E220" s="218">
        <v>5.382116</v>
      </c>
      <c r="F220" s="216" t="s">
        <v>57</v>
      </c>
      <c r="G220" s="216" t="s">
        <v>58</v>
      </c>
      <c r="H220" s="216" t="s">
        <v>435</v>
      </c>
      <c r="I220" s="221"/>
      <c r="J220" s="222"/>
      <c r="K220" s="216" t="b">
        <v>0</v>
      </c>
    </row>
    <row r="221">
      <c r="A221" s="216" t="s">
        <v>1583</v>
      </c>
      <c r="B221" s="217">
        <v>26.0</v>
      </c>
      <c r="C221" s="217">
        <v>8.0</v>
      </c>
      <c r="D221" s="218">
        <v>52.118848</v>
      </c>
      <c r="E221" s="218">
        <v>5.38235</v>
      </c>
      <c r="F221" s="216" t="s">
        <v>78</v>
      </c>
      <c r="G221" s="216" t="s">
        <v>79</v>
      </c>
      <c r="H221" s="216" t="s">
        <v>438</v>
      </c>
      <c r="I221" s="221"/>
      <c r="J221" s="222"/>
      <c r="K221" s="216" t="b">
        <v>0</v>
      </c>
    </row>
    <row r="222">
      <c r="A222" s="216" t="s">
        <v>1584</v>
      </c>
      <c r="B222" s="217">
        <v>26.0</v>
      </c>
      <c r="C222" s="217">
        <v>9.0</v>
      </c>
      <c r="D222" s="218">
        <v>52.118848</v>
      </c>
      <c r="E222" s="218">
        <v>5.382584</v>
      </c>
      <c r="F222" s="216" t="s">
        <v>78</v>
      </c>
      <c r="G222" s="216" t="s">
        <v>79</v>
      </c>
      <c r="H222" s="216" t="s">
        <v>432</v>
      </c>
      <c r="I222" s="221"/>
      <c r="J222" s="222"/>
      <c r="K222" s="216" t="b">
        <v>0</v>
      </c>
    </row>
    <row r="223">
      <c r="A223" s="216" t="s">
        <v>1585</v>
      </c>
      <c r="B223" s="217">
        <v>26.0</v>
      </c>
      <c r="C223" s="217">
        <v>10.0</v>
      </c>
      <c r="D223" s="218">
        <v>52.118848</v>
      </c>
      <c r="E223" s="218">
        <v>5.382818</v>
      </c>
      <c r="F223" s="216" t="s">
        <v>70</v>
      </c>
      <c r="G223" s="216" t="s">
        <v>71</v>
      </c>
      <c r="H223" s="216" t="s">
        <v>435</v>
      </c>
      <c r="I223" s="221"/>
      <c r="J223" s="222"/>
      <c r="K223" s="216" t="b">
        <v>0</v>
      </c>
    </row>
    <row r="224">
      <c r="A224" s="216" t="s">
        <v>1586</v>
      </c>
      <c r="B224" s="217">
        <v>26.0</v>
      </c>
      <c r="C224" s="217">
        <v>11.0</v>
      </c>
      <c r="D224" s="218">
        <v>52.118848</v>
      </c>
      <c r="E224" s="218">
        <v>5.383052</v>
      </c>
      <c r="F224" s="216" t="s">
        <v>70</v>
      </c>
      <c r="G224" s="216" t="s">
        <v>71</v>
      </c>
      <c r="H224" s="216" t="s">
        <v>438</v>
      </c>
      <c r="I224" s="221"/>
      <c r="J224" s="222"/>
      <c r="K224" s="216" t="b">
        <v>0</v>
      </c>
    </row>
    <row r="225">
      <c r="A225" s="216" t="s">
        <v>1587</v>
      </c>
      <c r="B225" s="217">
        <v>26.0</v>
      </c>
      <c r="C225" s="217">
        <v>12.0</v>
      </c>
      <c r="D225" s="218">
        <v>52.118848</v>
      </c>
      <c r="E225" s="218">
        <v>5.383286</v>
      </c>
      <c r="F225" s="216" t="s">
        <v>57</v>
      </c>
      <c r="G225" s="216" t="s">
        <v>58</v>
      </c>
      <c r="H225" s="216" t="s">
        <v>432</v>
      </c>
      <c r="I225" s="221"/>
      <c r="J225" s="222"/>
      <c r="K225" s="216" t="b">
        <v>0</v>
      </c>
    </row>
    <row r="226">
      <c r="A226" s="216" t="s">
        <v>1588</v>
      </c>
      <c r="B226" s="217">
        <v>26.0</v>
      </c>
      <c r="C226" s="217">
        <v>13.0</v>
      </c>
      <c r="D226" s="218">
        <v>52.118848</v>
      </c>
      <c r="E226" s="218">
        <v>5.38352</v>
      </c>
      <c r="F226" s="216" t="s">
        <v>57</v>
      </c>
      <c r="G226" s="216" t="s">
        <v>58</v>
      </c>
      <c r="H226" s="216" t="s">
        <v>435</v>
      </c>
      <c r="I226" s="221"/>
      <c r="J226" s="222"/>
      <c r="K226" s="216" t="b">
        <v>0</v>
      </c>
    </row>
    <row r="227">
      <c r="A227" s="216" t="s">
        <v>1589</v>
      </c>
      <c r="B227" s="217">
        <v>26.0</v>
      </c>
      <c r="C227" s="217">
        <v>14.0</v>
      </c>
      <c r="D227" s="218">
        <v>52.118848</v>
      </c>
      <c r="E227" s="218">
        <v>5.383754</v>
      </c>
      <c r="F227" s="216" t="s">
        <v>57</v>
      </c>
      <c r="G227" s="216" t="s">
        <v>58</v>
      </c>
      <c r="H227" s="216" t="s">
        <v>438</v>
      </c>
      <c r="I227" s="221"/>
      <c r="J227" s="222"/>
      <c r="K227" s="216" t="b">
        <v>0</v>
      </c>
    </row>
    <row r="228">
      <c r="A228" s="216" t="s">
        <v>1590</v>
      </c>
      <c r="B228" s="217">
        <v>26.0</v>
      </c>
      <c r="C228" s="217">
        <v>15.0</v>
      </c>
      <c r="D228" s="218">
        <v>52.118848</v>
      </c>
      <c r="E228" s="218">
        <v>5.383988</v>
      </c>
      <c r="F228" s="216" t="s">
        <v>57</v>
      </c>
      <c r="G228" s="216" t="s">
        <v>58</v>
      </c>
      <c r="H228" s="216" t="s">
        <v>432</v>
      </c>
      <c r="I228" s="221"/>
      <c r="J228" s="222"/>
      <c r="K228" s="216" t="b">
        <v>0</v>
      </c>
    </row>
    <row r="229">
      <c r="A229" s="216" t="s">
        <v>1591</v>
      </c>
      <c r="B229" s="217">
        <v>26.0</v>
      </c>
      <c r="C229" s="217">
        <v>16.0</v>
      </c>
      <c r="D229" s="218">
        <v>52.118848</v>
      </c>
      <c r="E229" s="218">
        <v>5.384222</v>
      </c>
      <c r="F229" s="216" t="s">
        <v>57</v>
      </c>
      <c r="G229" s="216" t="s">
        <v>58</v>
      </c>
      <c r="H229" s="216" t="s">
        <v>435</v>
      </c>
      <c r="I229" s="221"/>
      <c r="J229" s="222"/>
      <c r="K229" s="216" t="b">
        <v>0</v>
      </c>
    </row>
    <row r="230">
      <c r="A230" s="216" t="s">
        <v>1592</v>
      </c>
      <c r="B230" s="217">
        <v>26.0</v>
      </c>
      <c r="C230" s="217">
        <v>17.0</v>
      </c>
      <c r="D230" s="218">
        <v>52.118848</v>
      </c>
      <c r="E230" s="218">
        <v>5.384457</v>
      </c>
      <c r="F230" s="216" t="s">
        <v>57</v>
      </c>
      <c r="G230" s="216" t="s">
        <v>58</v>
      </c>
      <c r="H230" s="216" t="s">
        <v>438</v>
      </c>
      <c r="I230" s="221"/>
      <c r="J230" s="222"/>
      <c r="K230" s="216" t="b">
        <v>0</v>
      </c>
    </row>
    <row r="231">
      <c r="A231" s="216" t="s">
        <v>1593</v>
      </c>
      <c r="B231" s="217">
        <v>26.0</v>
      </c>
      <c r="C231" s="217">
        <v>18.0</v>
      </c>
      <c r="D231" s="218">
        <v>52.118848</v>
      </c>
      <c r="E231" s="218">
        <v>5.384691</v>
      </c>
      <c r="F231" s="216" t="s">
        <v>57</v>
      </c>
      <c r="G231" s="216" t="s">
        <v>58</v>
      </c>
      <c r="H231" s="216" t="s">
        <v>432</v>
      </c>
      <c r="I231" s="221"/>
      <c r="J231" s="222"/>
      <c r="K231" s="216" t="b">
        <v>0</v>
      </c>
    </row>
    <row r="232">
      <c r="A232" s="216" t="s">
        <v>1594</v>
      </c>
      <c r="B232" s="217">
        <v>26.0</v>
      </c>
      <c r="C232" s="217">
        <v>19.0</v>
      </c>
      <c r="D232" s="218">
        <v>52.118848</v>
      </c>
      <c r="E232" s="218">
        <v>5.384925</v>
      </c>
      <c r="F232" s="216" t="s">
        <v>57</v>
      </c>
      <c r="G232" s="216" t="s">
        <v>58</v>
      </c>
      <c r="H232" s="216" t="s">
        <v>435</v>
      </c>
      <c r="I232" s="221"/>
      <c r="J232" s="222"/>
      <c r="K232" s="216" t="b">
        <v>0</v>
      </c>
    </row>
    <row r="233">
      <c r="A233" s="216" t="s">
        <v>1595</v>
      </c>
      <c r="B233" s="217">
        <v>26.0</v>
      </c>
      <c r="C233" s="217">
        <v>20.0</v>
      </c>
      <c r="D233" s="218">
        <v>52.118848</v>
      </c>
      <c r="E233" s="218">
        <v>5.385159</v>
      </c>
      <c r="F233" s="216" t="s">
        <v>57</v>
      </c>
      <c r="G233" s="216" t="s">
        <v>58</v>
      </c>
      <c r="H233" s="216" t="s">
        <v>438</v>
      </c>
      <c r="I233" s="221"/>
      <c r="J233" s="222"/>
      <c r="K233" s="216" t="b">
        <v>0</v>
      </c>
    </row>
    <row r="234">
      <c r="A234" s="216" t="s">
        <v>1596</v>
      </c>
      <c r="B234" s="217">
        <v>26.0</v>
      </c>
      <c r="C234" s="217">
        <v>21.0</v>
      </c>
      <c r="D234" s="218">
        <v>52.118848</v>
      </c>
      <c r="E234" s="218">
        <v>5.385393</v>
      </c>
      <c r="F234" s="216" t="s">
        <v>57</v>
      </c>
      <c r="G234" s="216" t="s">
        <v>58</v>
      </c>
      <c r="I234" s="221"/>
      <c r="J234" s="222"/>
      <c r="K234" s="216" t="b">
        <v>0</v>
      </c>
    </row>
    <row r="235">
      <c r="A235" s="216" t="s">
        <v>1597</v>
      </c>
      <c r="B235" s="217">
        <v>26.0</v>
      </c>
      <c r="C235" s="217">
        <v>22.0</v>
      </c>
      <c r="D235" s="218">
        <v>52.118848</v>
      </c>
      <c r="E235" s="218">
        <v>5.385627</v>
      </c>
      <c r="F235" s="216" t="s">
        <v>70</v>
      </c>
      <c r="G235" s="216" t="s">
        <v>71</v>
      </c>
      <c r="I235" s="221"/>
      <c r="J235" s="222"/>
      <c r="K235" s="216" t="b">
        <v>0</v>
      </c>
    </row>
    <row r="236">
      <c r="A236" s="216" t="s">
        <v>1598</v>
      </c>
      <c r="B236" s="217">
        <v>26.0</v>
      </c>
      <c r="C236" s="217">
        <v>23.0</v>
      </c>
      <c r="D236" s="218">
        <v>52.118848</v>
      </c>
      <c r="E236" s="218">
        <v>5.385861</v>
      </c>
      <c r="F236" s="216" t="s">
        <v>125</v>
      </c>
      <c r="G236" s="216" t="s">
        <v>126</v>
      </c>
      <c r="I236" s="221"/>
      <c r="J236" s="222"/>
      <c r="K236" s="216" t="b">
        <v>0</v>
      </c>
    </row>
    <row r="237">
      <c r="A237" s="216" t="s">
        <v>1599</v>
      </c>
      <c r="B237" s="217">
        <v>26.0</v>
      </c>
      <c r="C237" s="217">
        <v>24.0</v>
      </c>
      <c r="D237" s="218">
        <v>52.118848</v>
      </c>
      <c r="E237" s="218">
        <v>5.386095</v>
      </c>
      <c r="F237" s="216" t="s">
        <v>51</v>
      </c>
      <c r="G237" s="216" t="s">
        <v>52</v>
      </c>
      <c r="I237" s="221"/>
      <c r="J237" s="222"/>
      <c r="K237" s="216" t="b">
        <v>0</v>
      </c>
    </row>
    <row r="238">
      <c r="A238" s="216" t="s">
        <v>1600</v>
      </c>
      <c r="B238" s="217">
        <v>26.0</v>
      </c>
      <c r="C238" s="217">
        <v>25.0</v>
      </c>
      <c r="D238" s="218">
        <v>52.118848</v>
      </c>
      <c r="E238" s="218">
        <v>5.386329</v>
      </c>
      <c r="F238" s="216" t="s">
        <v>70</v>
      </c>
      <c r="G238" s="216" t="s">
        <v>71</v>
      </c>
      <c r="I238" s="221"/>
      <c r="J238" s="222"/>
      <c r="K238" s="216" t="b">
        <v>0</v>
      </c>
    </row>
    <row r="239">
      <c r="A239" s="216" t="s">
        <v>1601</v>
      </c>
      <c r="B239" s="217">
        <v>26.0</v>
      </c>
      <c r="C239" s="217">
        <v>26.0</v>
      </c>
      <c r="D239" s="218">
        <v>52.118848</v>
      </c>
      <c r="E239" s="218">
        <v>5.386563</v>
      </c>
      <c r="F239" s="216" t="s">
        <v>125</v>
      </c>
      <c r="G239" s="216" t="s">
        <v>126</v>
      </c>
      <c r="I239" s="221"/>
      <c r="J239" s="222"/>
      <c r="K239" s="216" t="b">
        <v>0</v>
      </c>
    </row>
    <row r="240">
      <c r="A240" s="216" t="s">
        <v>1602</v>
      </c>
      <c r="B240" s="217">
        <v>26.0</v>
      </c>
      <c r="C240" s="217">
        <v>27.0</v>
      </c>
      <c r="D240" s="218">
        <v>52.118848</v>
      </c>
      <c r="E240" s="218">
        <v>5.386797</v>
      </c>
      <c r="F240" s="216" t="s">
        <v>125</v>
      </c>
      <c r="G240" s="216" t="s">
        <v>126</v>
      </c>
      <c r="I240" s="221"/>
      <c r="J240" s="222"/>
      <c r="K240" s="216" t="b">
        <v>0</v>
      </c>
    </row>
    <row r="241">
      <c r="A241" s="216" t="s">
        <v>1603</v>
      </c>
      <c r="B241" s="217">
        <v>26.0</v>
      </c>
      <c r="C241" s="217">
        <v>28.0</v>
      </c>
      <c r="D241" s="218">
        <v>52.118848</v>
      </c>
      <c r="E241" s="218">
        <v>5.387031</v>
      </c>
      <c r="F241" s="216" t="s">
        <v>70</v>
      </c>
      <c r="G241" s="216" t="s">
        <v>71</v>
      </c>
      <c r="I241" s="221"/>
      <c r="J241" s="222"/>
      <c r="K241" s="216" t="b">
        <v>0</v>
      </c>
    </row>
    <row r="242">
      <c r="A242" s="216" t="s">
        <v>1604</v>
      </c>
      <c r="B242" s="217">
        <v>26.0</v>
      </c>
      <c r="C242" s="217">
        <v>29.0</v>
      </c>
      <c r="D242" s="218">
        <v>52.118848</v>
      </c>
      <c r="E242" s="218">
        <v>5.387265</v>
      </c>
      <c r="F242" s="216" t="s">
        <v>70</v>
      </c>
      <c r="G242" s="216" t="s">
        <v>71</v>
      </c>
      <c r="I242" s="221"/>
      <c r="J242" s="222"/>
      <c r="K242" s="216" t="b">
        <v>0</v>
      </c>
    </row>
    <row r="243">
      <c r="A243" s="216" t="s">
        <v>1605</v>
      </c>
      <c r="B243" s="217">
        <v>26.0</v>
      </c>
      <c r="C243" s="217">
        <v>30.0</v>
      </c>
      <c r="D243" s="218">
        <v>52.118848</v>
      </c>
      <c r="E243" s="218">
        <v>5.3875</v>
      </c>
      <c r="F243" s="216" t="s">
        <v>51</v>
      </c>
      <c r="G243" s="216" t="s">
        <v>52</v>
      </c>
      <c r="I243" s="221"/>
      <c r="J243" s="222"/>
      <c r="K243" s="216" t="b">
        <v>0</v>
      </c>
    </row>
    <row r="244">
      <c r="A244" s="216" t="s">
        <v>1606</v>
      </c>
      <c r="B244" s="217">
        <v>27.0</v>
      </c>
      <c r="C244" s="217">
        <v>6.0</v>
      </c>
      <c r="D244" s="218">
        <v>52.118704</v>
      </c>
      <c r="E244" s="218">
        <v>5.381882</v>
      </c>
      <c r="F244" s="216" t="s">
        <v>78</v>
      </c>
      <c r="G244" s="216" t="s">
        <v>79</v>
      </c>
      <c r="I244" s="221"/>
      <c r="J244" s="222"/>
      <c r="K244" s="216" t="b">
        <v>0</v>
      </c>
    </row>
    <row r="245">
      <c r="A245" s="216" t="s">
        <v>1607</v>
      </c>
      <c r="B245" s="217">
        <v>27.0</v>
      </c>
      <c r="C245" s="217">
        <v>7.0</v>
      </c>
      <c r="D245" s="218">
        <v>52.118704</v>
      </c>
      <c r="E245" s="218">
        <v>5.382116</v>
      </c>
      <c r="F245" s="216" t="s">
        <v>57</v>
      </c>
      <c r="G245" s="216" t="s">
        <v>58</v>
      </c>
      <c r="I245" s="221"/>
      <c r="J245" s="222"/>
      <c r="K245" s="216" t="b">
        <v>0</v>
      </c>
    </row>
    <row r="246">
      <c r="A246" s="216" t="s">
        <v>1608</v>
      </c>
      <c r="B246" s="217">
        <v>27.0</v>
      </c>
      <c r="C246" s="217">
        <v>8.0</v>
      </c>
      <c r="D246" s="218">
        <v>52.118704</v>
      </c>
      <c r="E246" s="218">
        <v>5.38235</v>
      </c>
      <c r="F246" s="216" t="s">
        <v>78</v>
      </c>
      <c r="G246" s="216" t="s">
        <v>79</v>
      </c>
      <c r="I246" s="221"/>
      <c r="J246" s="222"/>
      <c r="K246" s="216" t="b">
        <v>0</v>
      </c>
    </row>
    <row r="247">
      <c r="A247" s="216" t="s">
        <v>1609</v>
      </c>
      <c r="B247" s="217">
        <v>27.0</v>
      </c>
      <c r="C247" s="217">
        <v>9.0</v>
      </c>
      <c r="D247" s="218">
        <v>52.118704</v>
      </c>
      <c r="E247" s="218">
        <v>5.382584</v>
      </c>
      <c r="F247" s="216" t="s">
        <v>78</v>
      </c>
      <c r="G247" s="216" t="s">
        <v>79</v>
      </c>
      <c r="I247" s="221"/>
      <c r="J247" s="222"/>
      <c r="K247" s="216" t="b">
        <v>0</v>
      </c>
    </row>
    <row r="248">
      <c r="A248" s="216" t="s">
        <v>1610</v>
      </c>
      <c r="B248" s="217">
        <v>27.0</v>
      </c>
      <c r="C248" s="217">
        <v>10.0</v>
      </c>
      <c r="D248" s="218">
        <v>52.118704</v>
      </c>
      <c r="E248" s="218">
        <v>5.382818</v>
      </c>
      <c r="F248" s="216" t="s">
        <v>78</v>
      </c>
      <c r="G248" s="216" t="s">
        <v>79</v>
      </c>
      <c r="I248" s="221"/>
      <c r="J248" s="222"/>
      <c r="K248" s="216" t="b">
        <v>0</v>
      </c>
    </row>
    <row r="249">
      <c r="A249" s="216" t="s">
        <v>1611</v>
      </c>
      <c r="B249" s="217">
        <v>27.0</v>
      </c>
      <c r="C249" s="217">
        <v>11.0</v>
      </c>
      <c r="D249" s="218">
        <v>52.118704</v>
      </c>
      <c r="E249" s="218">
        <v>5.383052</v>
      </c>
      <c r="F249" s="216" t="s">
        <v>78</v>
      </c>
      <c r="G249" s="216" t="s">
        <v>79</v>
      </c>
      <c r="I249" s="221"/>
      <c r="J249" s="222"/>
      <c r="K249" s="216" t="b">
        <v>0</v>
      </c>
    </row>
    <row r="250">
      <c r="A250" s="216" t="s">
        <v>1612</v>
      </c>
      <c r="B250" s="217">
        <v>27.0</v>
      </c>
      <c r="C250" s="217">
        <v>12.0</v>
      </c>
      <c r="D250" s="218">
        <v>52.118704</v>
      </c>
      <c r="E250" s="218">
        <v>5.383286</v>
      </c>
      <c r="F250" s="216" t="s">
        <v>78</v>
      </c>
      <c r="G250" s="216" t="s">
        <v>79</v>
      </c>
      <c r="I250" s="221"/>
      <c r="J250" s="222"/>
      <c r="K250" s="216" t="b">
        <v>0</v>
      </c>
    </row>
    <row r="251">
      <c r="A251" s="216" t="s">
        <v>1613</v>
      </c>
      <c r="B251" s="217">
        <v>27.0</v>
      </c>
      <c r="C251" s="217">
        <v>13.0</v>
      </c>
      <c r="D251" s="218">
        <v>52.118704</v>
      </c>
      <c r="E251" s="218">
        <v>5.38352</v>
      </c>
      <c r="F251" s="216" t="s">
        <v>78</v>
      </c>
      <c r="G251" s="216" t="s">
        <v>79</v>
      </c>
      <c r="I251" s="221"/>
      <c r="J251" s="222"/>
      <c r="K251" s="216" t="b">
        <v>0</v>
      </c>
    </row>
    <row r="252">
      <c r="A252" s="216" t="s">
        <v>1614</v>
      </c>
      <c r="B252" s="217">
        <v>27.0</v>
      </c>
      <c r="C252" s="217">
        <v>14.0</v>
      </c>
      <c r="D252" s="218">
        <v>52.118704</v>
      </c>
      <c r="E252" s="218">
        <v>5.383754</v>
      </c>
      <c r="F252" s="216" t="s">
        <v>78</v>
      </c>
      <c r="G252" s="216" t="s">
        <v>79</v>
      </c>
      <c r="I252" s="221"/>
      <c r="J252" s="222"/>
      <c r="K252" s="216" t="b">
        <v>0</v>
      </c>
    </row>
    <row r="253">
      <c r="A253" s="216" t="s">
        <v>1615</v>
      </c>
      <c r="B253" s="217">
        <v>27.0</v>
      </c>
      <c r="C253" s="217">
        <v>15.0</v>
      </c>
      <c r="D253" s="218">
        <v>52.118704</v>
      </c>
      <c r="E253" s="218">
        <v>5.383988</v>
      </c>
      <c r="F253" s="216" t="s">
        <v>57</v>
      </c>
      <c r="G253" s="216" t="s">
        <v>58</v>
      </c>
      <c r="I253" s="221"/>
      <c r="J253" s="222"/>
      <c r="K253" s="216" t="b">
        <v>0</v>
      </c>
    </row>
    <row r="254">
      <c r="A254" s="216" t="s">
        <v>1616</v>
      </c>
      <c r="B254" s="217">
        <v>27.0</v>
      </c>
      <c r="C254" s="217">
        <v>16.0</v>
      </c>
      <c r="D254" s="218">
        <v>52.118704</v>
      </c>
      <c r="E254" s="218">
        <v>5.384222</v>
      </c>
      <c r="F254" s="216" t="s">
        <v>487</v>
      </c>
      <c r="G254" s="216" t="s">
        <v>488</v>
      </c>
      <c r="I254" s="221"/>
      <c r="J254" s="222"/>
      <c r="K254" s="216" t="b">
        <v>0</v>
      </c>
    </row>
    <row r="255">
      <c r="A255" s="216" t="s">
        <v>1617</v>
      </c>
      <c r="B255" s="217">
        <v>27.0</v>
      </c>
      <c r="C255" s="217">
        <v>17.0</v>
      </c>
      <c r="D255" s="218">
        <v>52.118704</v>
      </c>
      <c r="E255" s="218">
        <v>5.384457</v>
      </c>
      <c r="F255" s="216" t="s">
        <v>57</v>
      </c>
      <c r="G255" s="216" t="s">
        <v>58</v>
      </c>
      <c r="I255" s="221"/>
      <c r="J255" s="222"/>
      <c r="K255" s="216" t="b">
        <v>0</v>
      </c>
    </row>
    <row r="256">
      <c r="A256" s="216" t="s">
        <v>1618</v>
      </c>
      <c r="B256" s="217">
        <v>27.0</v>
      </c>
      <c r="C256" s="217">
        <v>18.0</v>
      </c>
      <c r="D256" s="218">
        <v>52.118704</v>
      </c>
      <c r="E256" s="218">
        <v>5.384691</v>
      </c>
      <c r="F256" s="216" t="s">
        <v>57</v>
      </c>
      <c r="G256" s="216" t="s">
        <v>58</v>
      </c>
      <c r="I256" s="221"/>
      <c r="J256" s="222"/>
      <c r="K256" s="216" t="b">
        <v>0</v>
      </c>
    </row>
    <row r="257">
      <c r="A257" s="216" t="s">
        <v>1619</v>
      </c>
      <c r="B257" s="217">
        <v>27.0</v>
      </c>
      <c r="C257" s="217">
        <v>19.0</v>
      </c>
      <c r="D257" s="218">
        <v>52.118704</v>
      </c>
      <c r="E257" s="218">
        <v>5.384925</v>
      </c>
      <c r="F257" s="216" t="s">
        <v>70</v>
      </c>
      <c r="G257" s="216" t="s">
        <v>71</v>
      </c>
      <c r="I257" s="221"/>
      <c r="J257" s="222"/>
      <c r="K257" s="216" t="b">
        <v>0</v>
      </c>
    </row>
    <row r="258">
      <c r="A258" s="216" t="s">
        <v>1620</v>
      </c>
      <c r="B258" s="217">
        <v>27.0</v>
      </c>
      <c r="C258" s="217">
        <v>20.0</v>
      </c>
      <c r="D258" s="218">
        <v>52.118704</v>
      </c>
      <c r="E258" s="218">
        <v>5.385159</v>
      </c>
      <c r="F258" s="216" t="s">
        <v>100</v>
      </c>
      <c r="G258" s="216" t="s">
        <v>101</v>
      </c>
      <c r="I258" s="221"/>
      <c r="J258" s="222"/>
      <c r="K258" s="216" t="b">
        <v>0</v>
      </c>
    </row>
    <row r="259">
      <c r="A259" s="216" t="s">
        <v>1621</v>
      </c>
      <c r="B259" s="217">
        <v>27.0</v>
      </c>
      <c r="C259" s="217">
        <v>21.0</v>
      </c>
      <c r="D259" s="218">
        <v>52.118704</v>
      </c>
      <c r="E259" s="218">
        <v>5.385393</v>
      </c>
      <c r="F259" s="216" t="s">
        <v>51</v>
      </c>
      <c r="G259" s="216" t="s">
        <v>52</v>
      </c>
      <c r="I259" s="221"/>
      <c r="J259" s="222"/>
      <c r="K259" s="216" t="b">
        <v>0</v>
      </c>
    </row>
    <row r="260">
      <c r="A260" s="216" t="s">
        <v>1622</v>
      </c>
      <c r="B260" s="217">
        <v>27.0</v>
      </c>
      <c r="C260" s="217">
        <v>22.0</v>
      </c>
      <c r="D260" s="218">
        <v>52.118704</v>
      </c>
      <c r="E260" s="218">
        <v>5.385627</v>
      </c>
      <c r="F260" s="216" t="s">
        <v>51</v>
      </c>
      <c r="G260" s="216" t="s">
        <v>52</v>
      </c>
      <c r="I260" s="221"/>
      <c r="J260" s="222"/>
      <c r="K260" s="216" t="b">
        <v>0</v>
      </c>
    </row>
    <row r="261">
      <c r="A261" s="216" t="s">
        <v>1623</v>
      </c>
      <c r="B261" s="217">
        <v>27.0</v>
      </c>
      <c r="C261" s="217">
        <v>23.0</v>
      </c>
      <c r="D261" s="218">
        <v>52.118704</v>
      </c>
      <c r="E261" s="218">
        <v>5.385861</v>
      </c>
      <c r="F261" s="216" t="s">
        <v>70</v>
      </c>
      <c r="G261" s="216" t="s">
        <v>71</v>
      </c>
      <c r="I261" s="221"/>
      <c r="J261" s="222"/>
      <c r="K261" s="216" t="b">
        <v>0</v>
      </c>
    </row>
    <row r="262">
      <c r="A262" s="216" t="s">
        <v>1624</v>
      </c>
      <c r="B262" s="217">
        <v>27.0</v>
      </c>
      <c r="C262" s="217">
        <v>24.0</v>
      </c>
      <c r="D262" s="218">
        <v>52.118704</v>
      </c>
      <c r="E262" s="218">
        <v>5.386095</v>
      </c>
      <c r="F262" s="216" t="s">
        <v>125</v>
      </c>
      <c r="G262" s="216" t="s">
        <v>126</v>
      </c>
      <c r="I262" s="221"/>
      <c r="J262" s="222"/>
      <c r="K262" s="216" t="b">
        <v>0</v>
      </c>
    </row>
    <row r="263">
      <c r="A263" s="216" t="s">
        <v>1625</v>
      </c>
      <c r="B263" s="217">
        <v>27.0</v>
      </c>
      <c r="C263" s="217">
        <v>25.0</v>
      </c>
      <c r="D263" s="218">
        <v>52.118704</v>
      </c>
      <c r="E263" s="218">
        <v>5.386329</v>
      </c>
      <c r="F263" s="216" t="s">
        <v>78</v>
      </c>
      <c r="G263" s="216" t="s">
        <v>79</v>
      </c>
      <c r="I263" s="221"/>
      <c r="J263" s="222"/>
      <c r="K263" s="216" t="b">
        <v>0</v>
      </c>
    </row>
    <row r="264">
      <c r="A264" s="216" t="s">
        <v>1626</v>
      </c>
      <c r="B264" s="217">
        <v>27.0</v>
      </c>
      <c r="C264" s="217">
        <v>26.0</v>
      </c>
      <c r="D264" s="218">
        <v>52.118704</v>
      </c>
      <c r="E264" s="218">
        <v>5.386563</v>
      </c>
      <c r="F264" s="216" t="s">
        <v>70</v>
      </c>
      <c r="G264" s="216" t="s">
        <v>71</v>
      </c>
      <c r="I264" s="221"/>
      <c r="J264" s="222"/>
      <c r="K264" s="216" t="b">
        <v>0</v>
      </c>
    </row>
    <row r="265">
      <c r="A265" s="216" t="s">
        <v>1627</v>
      </c>
      <c r="B265" s="217">
        <v>27.0</v>
      </c>
      <c r="C265" s="217">
        <v>27.0</v>
      </c>
      <c r="D265" s="218">
        <v>52.118704</v>
      </c>
      <c r="E265" s="218">
        <v>5.386797</v>
      </c>
      <c r="F265" s="216" t="s">
        <v>78</v>
      </c>
      <c r="G265" s="216" t="s">
        <v>79</v>
      </c>
      <c r="I265" s="221"/>
      <c r="J265" s="222"/>
      <c r="K265" s="216" t="b">
        <v>0</v>
      </c>
    </row>
    <row r="266">
      <c r="A266" s="216" t="s">
        <v>1628</v>
      </c>
      <c r="B266" s="217">
        <v>27.0</v>
      </c>
      <c r="C266" s="217">
        <v>28.0</v>
      </c>
      <c r="D266" s="218">
        <v>52.118704</v>
      </c>
      <c r="E266" s="218">
        <v>5.387031</v>
      </c>
      <c r="F266" s="216" t="s">
        <v>125</v>
      </c>
      <c r="G266" s="216" t="s">
        <v>126</v>
      </c>
      <c r="I266" s="221"/>
      <c r="J266" s="222"/>
      <c r="K266" s="216" t="b">
        <v>0</v>
      </c>
    </row>
    <row r="267">
      <c r="A267" s="216" t="s">
        <v>1629</v>
      </c>
      <c r="B267" s="217">
        <v>27.0</v>
      </c>
      <c r="C267" s="217">
        <v>29.0</v>
      </c>
      <c r="D267" s="218">
        <v>52.118704</v>
      </c>
      <c r="E267" s="218">
        <v>5.387265</v>
      </c>
      <c r="F267" s="216" t="s">
        <v>78</v>
      </c>
      <c r="G267" s="216" t="s">
        <v>79</v>
      </c>
      <c r="I267" s="221"/>
      <c r="J267" s="222"/>
      <c r="K267" s="216" t="b">
        <v>0</v>
      </c>
    </row>
    <row r="268">
      <c r="A268" s="216" t="s">
        <v>1630</v>
      </c>
      <c r="B268" s="217">
        <v>27.0</v>
      </c>
      <c r="C268" s="217">
        <v>30.0</v>
      </c>
      <c r="D268" s="218">
        <v>52.118704</v>
      </c>
      <c r="E268" s="218">
        <v>5.3875</v>
      </c>
      <c r="F268" s="216" t="s">
        <v>70</v>
      </c>
      <c r="G268" s="216" t="s">
        <v>71</v>
      </c>
      <c r="I268" s="221"/>
      <c r="J268" s="222"/>
      <c r="K268" s="216" t="b">
        <v>0</v>
      </c>
    </row>
    <row r="269">
      <c r="A269" s="216" t="s">
        <v>1631</v>
      </c>
      <c r="B269" s="217">
        <v>27.0</v>
      </c>
      <c r="C269" s="217">
        <v>31.0</v>
      </c>
      <c r="D269" s="218">
        <v>52.118704</v>
      </c>
      <c r="E269" s="218">
        <v>5.387734</v>
      </c>
      <c r="F269" s="216" t="s">
        <v>100</v>
      </c>
      <c r="G269" s="216" t="s">
        <v>101</v>
      </c>
      <c r="I269" s="221"/>
      <c r="J269" s="222"/>
      <c r="K269" s="216" t="b">
        <v>0</v>
      </c>
    </row>
    <row r="270">
      <c r="A270" s="216" t="s">
        <v>1632</v>
      </c>
      <c r="B270" s="217">
        <v>28.0</v>
      </c>
      <c r="C270" s="217">
        <v>6.0</v>
      </c>
      <c r="D270" s="218">
        <v>52.118561</v>
      </c>
      <c r="E270" s="218">
        <v>5.381882</v>
      </c>
      <c r="F270" s="216" t="s">
        <v>70</v>
      </c>
      <c r="G270" s="216" t="s">
        <v>71</v>
      </c>
      <c r="I270" s="221"/>
      <c r="J270" s="222"/>
      <c r="K270" s="216" t="b">
        <v>0</v>
      </c>
    </row>
    <row r="271">
      <c r="A271" s="216" t="s">
        <v>1633</v>
      </c>
      <c r="B271" s="217">
        <v>28.0</v>
      </c>
      <c r="C271" s="217">
        <v>7.0</v>
      </c>
      <c r="D271" s="218">
        <v>52.118561</v>
      </c>
      <c r="E271" s="218">
        <v>5.382116</v>
      </c>
      <c r="F271" s="216" t="s">
        <v>78</v>
      </c>
      <c r="G271" s="216" t="s">
        <v>79</v>
      </c>
      <c r="H271" s="216" t="s">
        <v>1491</v>
      </c>
      <c r="I271" s="219" t="s">
        <v>1634</v>
      </c>
      <c r="J271" s="222"/>
      <c r="K271" s="216" t="b">
        <v>0</v>
      </c>
    </row>
    <row r="272">
      <c r="A272" s="216" t="s">
        <v>1635</v>
      </c>
      <c r="B272" s="217">
        <v>28.0</v>
      </c>
      <c r="C272" s="217">
        <v>8.0</v>
      </c>
      <c r="D272" s="218">
        <v>52.118561</v>
      </c>
      <c r="E272" s="218">
        <v>5.38235</v>
      </c>
      <c r="F272" s="216" t="s">
        <v>78</v>
      </c>
      <c r="G272" s="216" t="s">
        <v>79</v>
      </c>
      <c r="H272" s="216" t="s">
        <v>1504</v>
      </c>
      <c r="I272" s="219" t="s">
        <v>1636</v>
      </c>
      <c r="J272" s="222"/>
      <c r="K272" s="216" t="b">
        <v>0</v>
      </c>
    </row>
    <row r="273">
      <c r="A273" s="216" t="s">
        <v>1637</v>
      </c>
      <c r="B273" s="217">
        <v>28.0</v>
      </c>
      <c r="C273" s="217">
        <v>9.0</v>
      </c>
      <c r="D273" s="218">
        <v>52.118561</v>
      </c>
      <c r="E273" s="218">
        <v>5.382584</v>
      </c>
      <c r="F273" s="216" t="s">
        <v>78</v>
      </c>
      <c r="G273" s="216" t="s">
        <v>79</v>
      </c>
      <c r="I273" s="221"/>
      <c r="J273" s="222"/>
      <c r="K273" s="216" t="b">
        <v>0</v>
      </c>
    </row>
    <row r="274">
      <c r="A274" s="216" t="s">
        <v>1638</v>
      </c>
      <c r="B274" s="217">
        <v>28.0</v>
      </c>
      <c r="C274" s="217">
        <v>10.0</v>
      </c>
      <c r="D274" s="218">
        <v>52.118561</v>
      </c>
      <c r="E274" s="218">
        <v>5.382818</v>
      </c>
      <c r="F274" s="216" t="s">
        <v>78</v>
      </c>
      <c r="G274" s="216" t="s">
        <v>79</v>
      </c>
      <c r="H274" s="216" t="s">
        <v>1491</v>
      </c>
      <c r="I274" s="219" t="s">
        <v>1639</v>
      </c>
      <c r="J274" s="222"/>
      <c r="K274" s="216" t="b">
        <v>0</v>
      </c>
    </row>
    <row r="275">
      <c r="A275" s="216" t="s">
        <v>1640</v>
      </c>
      <c r="B275" s="217">
        <v>28.0</v>
      </c>
      <c r="C275" s="217">
        <v>11.0</v>
      </c>
      <c r="D275" s="218">
        <v>52.118561</v>
      </c>
      <c r="E275" s="218">
        <v>5.383052</v>
      </c>
      <c r="F275" s="216" t="s">
        <v>78</v>
      </c>
      <c r="G275" s="216" t="s">
        <v>79</v>
      </c>
      <c r="I275" s="221"/>
      <c r="J275" s="222"/>
      <c r="K275" s="216" t="b">
        <v>0</v>
      </c>
    </row>
    <row r="276">
      <c r="A276" s="216" t="s">
        <v>1641</v>
      </c>
      <c r="B276" s="217">
        <v>28.0</v>
      </c>
      <c r="C276" s="217">
        <v>12.0</v>
      </c>
      <c r="D276" s="218">
        <v>52.118561</v>
      </c>
      <c r="E276" s="218">
        <v>5.383286</v>
      </c>
      <c r="F276" s="216" t="s">
        <v>125</v>
      </c>
      <c r="G276" s="216" t="s">
        <v>126</v>
      </c>
      <c r="I276" s="221"/>
      <c r="J276" s="222"/>
      <c r="K276" s="216" t="b">
        <v>0</v>
      </c>
    </row>
    <row r="277">
      <c r="A277" s="216" t="s">
        <v>1642</v>
      </c>
      <c r="B277" s="217">
        <v>28.0</v>
      </c>
      <c r="C277" s="217">
        <v>13.0</v>
      </c>
      <c r="D277" s="218">
        <v>52.118561</v>
      </c>
      <c r="E277" s="218">
        <v>5.38352</v>
      </c>
      <c r="F277" s="216" t="s">
        <v>125</v>
      </c>
      <c r="G277" s="216" t="s">
        <v>126</v>
      </c>
      <c r="H277" s="216" t="s">
        <v>1491</v>
      </c>
      <c r="I277" s="219" t="s">
        <v>1643</v>
      </c>
      <c r="J277" s="222"/>
      <c r="K277" s="216" t="b">
        <v>0</v>
      </c>
    </row>
    <row r="278">
      <c r="A278" s="216" t="s">
        <v>1644</v>
      </c>
      <c r="B278" s="217">
        <v>28.0</v>
      </c>
      <c r="C278" s="217">
        <v>14.0</v>
      </c>
      <c r="D278" s="218">
        <v>52.118561</v>
      </c>
      <c r="E278" s="218">
        <v>5.383754</v>
      </c>
      <c r="F278" s="216" t="s">
        <v>51</v>
      </c>
      <c r="G278" s="216" t="s">
        <v>52</v>
      </c>
      <c r="I278" s="221"/>
      <c r="J278" s="222"/>
      <c r="K278" s="216" t="b">
        <v>0</v>
      </c>
    </row>
    <row r="279">
      <c r="A279" s="216" t="s">
        <v>1645</v>
      </c>
      <c r="B279" s="217">
        <v>28.0</v>
      </c>
      <c r="C279" s="217">
        <v>15.0</v>
      </c>
      <c r="D279" s="218">
        <v>52.118561</v>
      </c>
      <c r="E279" s="218">
        <v>5.383988</v>
      </c>
      <c r="F279" s="216" t="s">
        <v>70</v>
      </c>
      <c r="G279" s="216" t="s">
        <v>71</v>
      </c>
      <c r="I279" s="221"/>
      <c r="J279" s="222"/>
      <c r="K279" s="216" t="b">
        <v>0</v>
      </c>
    </row>
    <row r="280">
      <c r="A280" s="216" t="s">
        <v>1646</v>
      </c>
      <c r="B280" s="217">
        <v>28.0</v>
      </c>
      <c r="C280" s="217">
        <v>16.0</v>
      </c>
      <c r="D280" s="218">
        <v>52.118561</v>
      </c>
      <c r="E280" s="218">
        <v>5.384222</v>
      </c>
      <c r="F280" s="216" t="s">
        <v>78</v>
      </c>
      <c r="G280" s="216" t="s">
        <v>79</v>
      </c>
      <c r="H280" s="216" t="s">
        <v>1491</v>
      </c>
      <c r="I280" s="219" t="s">
        <v>1647</v>
      </c>
      <c r="J280" s="222"/>
      <c r="K280" s="216" t="b">
        <v>0</v>
      </c>
    </row>
    <row r="281">
      <c r="A281" s="216" t="s">
        <v>1648</v>
      </c>
      <c r="B281" s="217">
        <v>28.0</v>
      </c>
      <c r="C281" s="217">
        <v>17.0</v>
      </c>
      <c r="D281" s="218">
        <v>52.118561</v>
      </c>
      <c r="E281" s="218">
        <v>5.384456</v>
      </c>
      <c r="F281" s="216" t="s">
        <v>51</v>
      </c>
      <c r="G281" s="216" t="s">
        <v>52</v>
      </c>
      <c r="I281" s="221"/>
      <c r="J281" s="222"/>
      <c r="K281" s="216" t="b">
        <v>0</v>
      </c>
    </row>
    <row r="282">
      <c r="A282" s="216" t="s">
        <v>1649</v>
      </c>
      <c r="B282" s="217">
        <v>28.0</v>
      </c>
      <c r="C282" s="217">
        <v>18.0</v>
      </c>
      <c r="D282" s="218">
        <v>52.118561</v>
      </c>
      <c r="E282" s="218">
        <v>5.384691</v>
      </c>
      <c r="F282" s="216" t="s">
        <v>51</v>
      </c>
      <c r="G282" s="216" t="s">
        <v>52</v>
      </c>
      <c r="I282" s="221"/>
      <c r="J282" s="222"/>
      <c r="K282" s="216" t="b">
        <v>0</v>
      </c>
    </row>
    <row r="283">
      <c r="A283" s="216" t="s">
        <v>1650</v>
      </c>
      <c r="B283" s="217">
        <v>28.0</v>
      </c>
      <c r="C283" s="217">
        <v>19.0</v>
      </c>
      <c r="D283" s="218">
        <v>52.118561</v>
      </c>
      <c r="E283" s="218">
        <v>5.384925</v>
      </c>
      <c r="F283" s="216" t="s">
        <v>125</v>
      </c>
      <c r="G283" s="216" t="s">
        <v>126</v>
      </c>
      <c r="H283" s="216" t="s">
        <v>1491</v>
      </c>
      <c r="I283" s="219" t="s">
        <v>1651</v>
      </c>
      <c r="J283" s="222"/>
      <c r="K283" s="216" t="b">
        <v>0</v>
      </c>
    </row>
    <row r="284">
      <c r="A284" s="216" t="s">
        <v>1652</v>
      </c>
      <c r="B284" s="217">
        <v>28.0</v>
      </c>
      <c r="C284" s="217">
        <v>20.0</v>
      </c>
      <c r="D284" s="218">
        <v>52.118561</v>
      </c>
      <c r="E284" s="218">
        <v>5.385159</v>
      </c>
      <c r="F284" s="216" t="s">
        <v>51</v>
      </c>
      <c r="G284" s="216" t="s">
        <v>52</v>
      </c>
      <c r="I284" s="221"/>
      <c r="J284" s="222"/>
      <c r="K284" s="216" t="b">
        <v>0</v>
      </c>
    </row>
    <row r="285">
      <c r="A285" s="216" t="s">
        <v>1653</v>
      </c>
      <c r="B285" s="217">
        <v>28.0</v>
      </c>
      <c r="C285" s="217">
        <v>21.0</v>
      </c>
      <c r="D285" s="218">
        <v>52.118561</v>
      </c>
      <c r="E285" s="218">
        <v>5.385393</v>
      </c>
      <c r="F285" s="216" t="s">
        <v>125</v>
      </c>
      <c r="G285" s="216" t="s">
        <v>126</v>
      </c>
      <c r="I285" s="221"/>
      <c r="J285" s="222"/>
      <c r="K285" s="216" t="b">
        <v>0</v>
      </c>
    </row>
    <row r="286">
      <c r="A286" s="216" t="s">
        <v>1654</v>
      </c>
      <c r="B286" s="217">
        <v>28.0</v>
      </c>
      <c r="C286" s="217">
        <v>22.0</v>
      </c>
      <c r="D286" s="218">
        <v>52.118561</v>
      </c>
      <c r="E286" s="218">
        <v>5.385627</v>
      </c>
      <c r="F286" s="216" t="s">
        <v>78</v>
      </c>
      <c r="G286" s="216" t="s">
        <v>79</v>
      </c>
      <c r="H286" s="216" t="s">
        <v>1491</v>
      </c>
      <c r="I286" s="219" t="s">
        <v>1655</v>
      </c>
      <c r="J286" s="222"/>
      <c r="K286" s="216" t="b">
        <v>0</v>
      </c>
    </row>
    <row r="287">
      <c r="A287" s="216" t="s">
        <v>1656</v>
      </c>
      <c r="B287" s="217">
        <v>28.0</v>
      </c>
      <c r="C287" s="217">
        <v>23.0</v>
      </c>
      <c r="D287" s="218">
        <v>52.118561</v>
      </c>
      <c r="E287" s="218">
        <v>5.385861</v>
      </c>
      <c r="F287" s="216" t="s">
        <v>125</v>
      </c>
      <c r="G287" s="216" t="s">
        <v>126</v>
      </c>
      <c r="I287" s="221"/>
      <c r="J287" s="222"/>
      <c r="K287" s="216" t="b">
        <v>0</v>
      </c>
    </row>
    <row r="288">
      <c r="A288" s="216" t="s">
        <v>1657</v>
      </c>
      <c r="B288" s="217">
        <v>28.0</v>
      </c>
      <c r="C288" s="217">
        <v>24.0</v>
      </c>
      <c r="D288" s="218">
        <v>52.118561</v>
      </c>
      <c r="E288" s="218">
        <v>5.386095</v>
      </c>
      <c r="F288" s="216" t="s">
        <v>57</v>
      </c>
      <c r="G288" s="216" t="s">
        <v>58</v>
      </c>
      <c r="I288" s="221"/>
      <c r="J288" s="222"/>
      <c r="K288" s="216" t="b">
        <v>0</v>
      </c>
    </row>
    <row r="289">
      <c r="A289" s="216" t="s">
        <v>1658</v>
      </c>
      <c r="B289" s="217">
        <v>28.0</v>
      </c>
      <c r="C289" s="217">
        <v>25.0</v>
      </c>
      <c r="D289" s="218">
        <v>52.118561</v>
      </c>
      <c r="E289" s="218">
        <v>5.386329</v>
      </c>
      <c r="F289" s="216" t="s">
        <v>125</v>
      </c>
      <c r="G289" s="216" t="s">
        <v>126</v>
      </c>
      <c r="H289" s="216" t="s">
        <v>1491</v>
      </c>
      <c r="I289" s="219" t="s">
        <v>1659</v>
      </c>
      <c r="J289" s="222"/>
      <c r="K289" s="216" t="b">
        <v>0</v>
      </c>
    </row>
    <row r="290">
      <c r="A290" s="216" t="s">
        <v>1660</v>
      </c>
      <c r="B290" s="217">
        <v>28.0</v>
      </c>
      <c r="C290" s="217">
        <v>26.0</v>
      </c>
      <c r="D290" s="218">
        <v>52.118561</v>
      </c>
      <c r="E290" s="218">
        <v>5.386563</v>
      </c>
      <c r="F290" s="216" t="s">
        <v>78</v>
      </c>
      <c r="G290" s="216" t="s">
        <v>79</v>
      </c>
      <c r="I290" s="221"/>
      <c r="J290" s="222"/>
      <c r="K290" s="216" t="b">
        <v>0</v>
      </c>
    </row>
    <row r="291">
      <c r="A291" s="216" t="s">
        <v>1661</v>
      </c>
      <c r="B291" s="217">
        <v>28.0</v>
      </c>
      <c r="C291" s="217">
        <v>27.0</v>
      </c>
      <c r="D291" s="218">
        <v>52.118561</v>
      </c>
      <c r="E291" s="218">
        <v>5.386797</v>
      </c>
      <c r="F291" s="216" t="s">
        <v>125</v>
      </c>
      <c r="G291" s="216" t="s">
        <v>126</v>
      </c>
      <c r="I291" s="221"/>
      <c r="J291" s="222"/>
      <c r="K291" s="216" t="b">
        <v>0</v>
      </c>
    </row>
    <row r="292">
      <c r="A292" s="216" t="s">
        <v>1662</v>
      </c>
      <c r="B292" s="217">
        <v>28.0</v>
      </c>
      <c r="C292" s="217">
        <v>28.0</v>
      </c>
      <c r="D292" s="218">
        <v>52.118561</v>
      </c>
      <c r="E292" s="218">
        <v>5.387031</v>
      </c>
      <c r="F292" s="216" t="s">
        <v>70</v>
      </c>
      <c r="G292" s="216" t="s">
        <v>71</v>
      </c>
      <c r="H292" s="216" t="s">
        <v>1491</v>
      </c>
      <c r="I292" s="219" t="s">
        <v>1663</v>
      </c>
      <c r="J292" s="222"/>
      <c r="K292" s="216" t="b">
        <v>0</v>
      </c>
    </row>
    <row r="293">
      <c r="A293" s="216" t="s">
        <v>1664</v>
      </c>
      <c r="B293" s="217">
        <v>28.0</v>
      </c>
      <c r="C293" s="217">
        <v>29.0</v>
      </c>
      <c r="D293" s="218">
        <v>52.118561</v>
      </c>
      <c r="E293" s="218">
        <v>5.387265</v>
      </c>
      <c r="F293" s="216" t="s">
        <v>125</v>
      </c>
      <c r="G293" s="216" t="s">
        <v>126</v>
      </c>
      <c r="I293" s="221"/>
      <c r="J293" s="222"/>
      <c r="K293" s="216" t="b">
        <v>0</v>
      </c>
    </row>
    <row r="294">
      <c r="A294" s="216" t="s">
        <v>1665</v>
      </c>
      <c r="B294" s="217">
        <v>28.0</v>
      </c>
      <c r="C294" s="217">
        <v>30.0</v>
      </c>
      <c r="D294" s="218">
        <v>52.118561</v>
      </c>
      <c r="E294" s="218">
        <v>5.387499</v>
      </c>
      <c r="F294" s="216" t="s">
        <v>57</v>
      </c>
      <c r="G294" s="216" t="s">
        <v>58</v>
      </c>
      <c r="I294" s="221"/>
      <c r="J294" s="222"/>
      <c r="K294" s="216" t="b">
        <v>0</v>
      </c>
    </row>
    <row r="295">
      <c r="A295" s="216" t="s">
        <v>1666</v>
      </c>
      <c r="B295" s="217">
        <v>28.0</v>
      </c>
      <c r="C295" s="217">
        <v>31.0</v>
      </c>
      <c r="D295" s="218">
        <v>52.118561</v>
      </c>
      <c r="E295" s="218">
        <v>5.387734</v>
      </c>
      <c r="F295" s="216" t="s">
        <v>57</v>
      </c>
      <c r="G295" s="216" t="s">
        <v>58</v>
      </c>
      <c r="H295" s="216" t="s">
        <v>1491</v>
      </c>
      <c r="I295" s="219" t="s">
        <v>1667</v>
      </c>
      <c r="J295" s="222"/>
      <c r="K295" s="216" t="b">
        <v>0</v>
      </c>
    </row>
    <row r="296">
      <c r="A296" s="216" t="s">
        <v>1668</v>
      </c>
      <c r="B296" s="217">
        <v>28.0</v>
      </c>
      <c r="C296" s="217">
        <v>32.0</v>
      </c>
      <c r="D296" s="218">
        <v>52.118561</v>
      </c>
      <c r="E296" s="218">
        <v>5.387968</v>
      </c>
      <c r="F296" s="216" t="s">
        <v>128</v>
      </c>
      <c r="G296" s="216" t="s">
        <v>129</v>
      </c>
      <c r="I296" s="221"/>
      <c r="J296" s="222"/>
      <c r="K296" s="216" t="b">
        <v>0</v>
      </c>
    </row>
    <row r="297">
      <c r="A297" s="216" t="s">
        <v>1669</v>
      </c>
      <c r="B297" s="217">
        <v>29.0</v>
      </c>
      <c r="C297" s="217">
        <v>6.0</v>
      </c>
      <c r="D297" s="218">
        <v>52.118417</v>
      </c>
      <c r="E297" s="218">
        <v>5.381882</v>
      </c>
      <c r="F297" s="216" t="s">
        <v>100</v>
      </c>
      <c r="G297" s="216" t="s">
        <v>101</v>
      </c>
      <c r="I297" s="221"/>
      <c r="J297" s="222"/>
      <c r="K297" s="216" t="b">
        <v>0</v>
      </c>
    </row>
    <row r="298">
      <c r="A298" s="216" t="s">
        <v>1670</v>
      </c>
      <c r="B298" s="217">
        <v>29.0</v>
      </c>
      <c r="C298" s="217">
        <v>7.0</v>
      </c>
      <c r="D298" s="218">
        <v>52.118417</v>
      </c>
      <c r="E298" s="218">
        <v>5.382116</v>
      </c>
      <c r="F298" s="216" t="s">
        <v>125</v>
      </c>
      <c r="G298" s="216" t="s">
        <v>126</v>
      </c>
      <c r="I298" s="221"/>
      <c r="J298" s="222"/>
      <c r="K298" s="216" t="b">
        <v>0</v>
      </c>
    </row>
    <row r="299">
      <c r="A299" s="216" t="s">
        <v>1671</v>
      </c>
      <c r="B299" s="217">
        <v>29.0</v>
      </c>
      <c r="C299" s="217">
        <v>8.0</v>
      </c>
      <c r="D299" s="218">
        <v>52.118417</v>
      </c>
      <c r="E299" s="218">
        <v>5.38235</v>
      </c>
      <c r="F299" s="216" t="s">
        <v>78</v>
      </c>
      <c r="G299" s="216" t="s">
        <v>79</v>
      </c>
      <c r="I299" s="221"/>
      <c r="J299" s="222"/>
      <c r="K299" s="216" t="b">
        <v>0</v>
      </c>
    </row>
    <row r="300">
      <c r="A300" s="216" t="s">
        <v>1672</v>
      </c>
      <c r="B300" s="217">
        <v>29.0</v>
      </c>
      <c r="C300" s="217">
        <v>9.0</v>
      </c>
      <c r="D300" s="218">
        <v>52.118417</v>
      </c>
      <c r="E300" s="218">
        <v>5.382584</v>
      </c>
      <c r="F300" s="216" t="s">
        <v>78</v>
      </c>
      <c r="G300" s="216" t="s">
        <v>79</v>
      </c>
      <c r="I300" s="221"/>
      <c r="J300" s="222"/>
      <c r="K300" s="216" t="b">
        <v>0</v>
      </c>
    </row>
    <row r="301">
      <c r="A301" s="216" t="s">
        <v>1673</v>
      </c>
      <c r="B301" s="217">
        <v>29.0</v>
      </c>
      <c r="C301" s="217">
        <v>10.0</v>
      </c>
      <c r="D301" s="218">
        <v>52.118417</v>
      </c>
      <c r="E301" s="218">
        <v>5.382818</v>
      </c>
      <c r="F301" s="216" t="s">
        <v>78</v>
      </c>
      <c r="G301" s="216" t="s">
        <v>79</v>
      </c>
      <c r="I301" s="221"/>
      <c r="J301" s="222"/>
      <c r="K301" s="216" t="b">
        <v>0</v>
      </c>
    </row>
    <row r="302">
      <c r="A302" s="216" t="s">
        <v>1674</v>
      </c>
      <c r="B302" s="217">
        <v>29.0</v>
      </c>
      <c r="C302" s="217">
        <v>11.0</v>
      </c>
      <c r="D302" s="218">
        <v>52.118417</v>
      </c>
      <c r="E302" s="218">
        <v>5.383052</v>
      </c>
      <c r="F302" s="216" t="s">
        <v>78</v>
      </c>
      <c r="G302" s="216" t="s">
        <v>79</v>
      </c>
      <c r="I302" s="221"/>
      <c r="J302" s="222"/>
      <c r="K302" s="216" t="b">
        <v>0</v>
      </c>
    </row>
    <row r="303">
      <c r="A303" s="216" t="s">
        <v>1675</v>
      </c>
      <c r="B303" s="217">
        <v>29.0</v>
      </c>
      <c r="C303" s="217">
        <v>12.0</v>
      </c>
      <c r="D303" s="218">
        <v>52.118417</v>
      </c>
      <c r="E303" s="218">
        <v>5.383286</v>
      </c>
      <c r="F303" s="216" t="s">
        <v>125</v>
      </c>
      <c r="G303" s="216" t="s">
        <v>126</v>
      </c>
      <c r="I303" s="221"/>
      <c r="J303" s="222"/>
      <c r="K303" s="216" t="b">
        <v>0</v>
      </c>
    </row>
    <row r="304">
      <c r="A304" s="216" t="s">
        <v>1676</v>
      </c>
      <c r="B304" s="217">
        <v>29.0</v>
      </c>
      <c r="C304" s="217">
        <v>13.0</v>
      </c>
      <c r="D304" s="218">
        <v>52.118417</v>
      </c>
      <c r="E304" s="218">
        <v>5.38352</v>
      </c>
      <c r="F304" s="216" t="s">
        <v>125</v>
      </c>
      <c r="G304" s="216" t="s">
        <v>126</v>
      </c>
      <c r="I304" s="221"/>
      <c r="J304" s="222"/>
      <c r="K304" s="216" t="b">
        <v>0</v>
      </c>
    </row>
    <row r="305">
      <c r="A305" s="216" t="s">
        <v>1677</v>
      </c>
      <c r="B305" s="217">
        <v>29.0</v>
      </c>
      <c r="C305" s="217">
        <v>14.0</v>
      </c>
      <c r="D305" s="218">
        <v>52.118417</v>
      </c>
      <c r="E305" s="218">
        <v>5.383754</v>
      </c>
      <c r="F305" s="216" t="s">
        <v>125</v>
      </c>
      <c r="G305" s="216" t="s">
        <v>126</v>
      </c>
      <c r="I305" s="221"/>
      <c r="J305" s="222"/>
      <c r="K305" s="216" t="b">
        <v>0</v>
      </c>
    </row>
    <row r="306">
      <c r="A306" s="216" t="s">
        <v>1678</v>
      </c>
      <c r="B306" s="217">
        <v>29.0</v>
      </c>
      <c r="C306" s="217">
        <v>15.0</v>
      </c>
      <c r="D306" s="218">
        <v>52.118417</v>
      </c>
      <c r="E306" s="218">
        <v>5.383988</v>
      </c>
      <c r="F306" s="216" t="s">
        <v>125</v>
      </c>
      <c r="G306" s="216" t="s">
        <v>126</v>
      </c>
      <c r="I306" s="221"/>
      <c r="J306" s="222"/>
      <c r="K306" s="216" t="b">
        <v>0</v>
      </c>
    </row>
    <row r="307">
      <c r="A307" s="216" t="s">
        <v>1679</v>
      </c>
      <c r="B307" s="217">
        <v>29.0</v>
      </c>
      <c r="C307" s="217">
        <v>16.0</v>
      </c>
      <c r="D307" s="218">
        <v>52.118417</v>
      </c>
      <c r="E307" s="218">
        <v>5.384222</v>
      </c>
      <c r="F307" s="216" t="s">
        <v>100</v>
      </c>
      <c r="G307" s="216" t="s">
        <v>101</v>
      </c>
      <c r="I307" s="221"/>
      <c r="J307" s="222"/>
      <c r="K307" s="216" t="b">
        <v>0</v>
      </c>
    </row>
    <row r="308">
      <c r="A308" s="216" t="s">
        <v>1680</v>
      </c>
      <c r="B308" s="217">
        <v>29.0</v>
      </c>
      <c r="C308" s="217">
        <v>17.0</v>
      </c>
      <c r="D308" s="218">
        <v>52.118417</v>
      </c>
      <c r="E308" s="218">
        <v>5.384456</v>
      </c>
      <c r="F308" s="216" t="s">
        <v>125</v>
      </c>
      <c r="G308" s="216" t="s">
        <v>126</v>
      </c>
      <c r="I308" s="221"/>
      <c r="J308" s="222"/>
      <c r="K308" s="216" t="b">
        <v>0</v>
      </c>
    </row>
    <row r="309">
      <c r="A309" s="216" t="s">
        <v>1681</v>
      </c>
      <c r="B309" s="217">
        <v>29.0</v>
      </c>
      <c r="C309" s="217">
        <v>18.0</v>
      </c>
      <c r="D309" s="218">
        <v>52.118417</v>
      </c>
      <c r="E309" s="218">
        <v>5.384691</v>
      </c>
      <c r="F309" s="216" t="s">
        <v>125</v>
      </c>
      <c r="G309" s="216" t="s">
        <v>126</v>
      </c>
      <c r="I309" s="221"/>
      <c r="J309" s="222"/>
      <c r="K309" s="216" t="b">
        <v>0</v>
      </c>
    </row>
    <row r="310">
      <c r="A310" s="216" t="s">
        <v>1682</v>
      </c>
      <c r="B310" s="217">
        <v>29.0</v>
      </c>
      <c r="C310" s="217">
        <v>19.0</v>
      </c>
      <c r="D310" s="218">
        <v>52.118417</v>
      </c>
      <c r="E310" s="218">
        <v>5.384925</v>
      </c>
      <c r="F310" s="216" t="s">
        <v>78</v>
      </c>
      <c r="G310" s="216" t="s">
        <v>79</v>
      </c>
      <c r="I310" s="221"/>
      <c r="J310" s="222"/>
      <c r="K310" s="216" t="b">
        <v>0</v>
      </c>
    </row>
    <row r="311">
      <c r="A311" s="216" t="s">
        <v>1683</v>
      </c>
      <c r="B311" s="217">
        <v>29.0</v>
      </c>
      <c r="C311" s="217">
        <v>20.0</v>
      </c>
      <c r="D311" s="218">
        <v>52.118417</v>
      </c>
      <c r="E311" s="218">
        <v>5.385159</v>
      </c>
      <c r="F311" s="216" t="s">
        <v>57</v>
      </c>
      <c r="G311" s="216" t="s">
        <v>58</v>
      </c>
      <c r="I311" s="221"/>
      <c r="J311" s="222"/>
      <c r="K311" s="216" t="b">
        <v>0</v>
      </c>
    </row>
    <row r="312">
      <c r="A312" s="216" t="s">
        <v>1684</v>
      </c>
      <c r="B312" s="217">
        <v>29.0</v>
      </c>
      <c r="C312" s="217">
        <v>21.0</v>
      </c>
      <c r="D312" s="218">
        <v>52.118417</v>
      </c>
      <c r="E312" s="218">
        <v>5.385393</v>
      </c>
      <c r="F312" s="216" t="s">
        <v>125</v>
      </c>
      <c r="G312" s="216" t="s">
        <v>126</v>
      </c>
      <c r="I312" s="221"/>
      <c r="J312" s="222"/>
      <c r="K312" s="216" t="b">
        <v>0</v>
      </c>
    </row>
    <row r="313">
      <c r="A313" s="216" t="s">
        <v>1685</v>
      </c>
      <c r="B313" s="217">
        <v>29.0</v>
      </c>
      <c r="C313" s="217">
        <v>22.0</v>
      </c>
      <c r="D313" s="218">
        <v>52.118417</v>
      </c>
      <c r="E313" s="218">
        <v>5.385627</v>
      </c>
      <c r="F313" s="216" t="s">
        <v>78</v>
      </c>
      <c r="G313" s="216" t="s">
        <v>79</v>
      </c>
      <c r="I313" s="221"/>
      <c r="J313" s="222"/>
      <c r="K313" s="216" t="b">
        <v>0</v>
      </c>
    </row>
    <row r="314">
      <c r="A314" s="216" t="s">
        <v>1686</v>
      </c>
      <c r="B314" s="217">
        <v>29.0</v>
      </c>
      <c r="C314" s="217">
        <v>23.0</v>
      </c>
      <c r="D314" s="218">
        <v>52.118417</v>
      </c>
      <c r="E314" s="218">
        <v>5.385861</v>
      </c>
      <c r="F314" s="216" t="s">
        <v>125</v>
      </c>
      <c r="G314" s="216" t="s">
        <v>126</v>
      </c>
      <c r="I314" s="221"/>
      <c r="J314" s="222"/>
      <c r="K314" s="216" t="b">
        <v>0</v>
      </c>
    </row>
    <row r="315">
      <c r="A315" s="216" t="s">
        <v>1687</v>
      </c>
      <c r="B315" s="217">
        <v>29.0</v>
      </c>
      <c r="C315" s="217">
        <v>24.0</v>
      </c>
      <c r="D315" s="218">
        <v>52.118417</v>
      </c>
      <c r="E315" s="218">
        <v>5.386095</v>
      </c>
      <c r="F315" s="216" t="s">
        <v>125</v>
      </c>
      <c r="G315" s="216" t="s">
        <v>126</v>
      </c>
      <c r="I315" s="221"/>
      <c r="J315" s="222"/>
      <c r="K315" s="216" t="b">
        <v>0</v>
      </c>
    </row>
    <row r="316">
      <c r="A316" s="216" t="s">
        <v>1688</v>
      </c>
      <c r="B316" s="217">
        <v>29.0</v>
      </c>
      <c r="C316" s="217">
        <v>25.0</v>
      </c>
      <c r="D316" s="218">
        <v>52.118417</v>
      </c>
      <c r="E316" s="218">
        <v>5.386329</v>
      </c>
      <c r="F316" s="216" t="s">
        <v>70</v>
      </c>
      <c r="G316" s="216" t="s">
        <v>71</v>
      </c>
      <c r="I316" s="221"/>
      <c r="J316" s="222"/>
      <c r="K316" s="216" t="b">
        <v>0</v>
      </c>
    </row>
    <row r="317">
      <c r="A317" s="216" t="s">
        <v>1689</v>
      </c>
      <c r="B317" s="217">
        <v>29.0</v>
      </c>
      <c r="C317" s="217">
        <v>26.0</v>
      </c>
      <c r="D317" s="218">
        <v>52.118417</v>
      </c>
      <c r="E317" s="218">
        <v>5.386563</v>
      </c>
      <c r="F317" s="216" t="s">
        <v>70</v>
      </c>
      <c r="G317" s="216" t="s">
        <v>71</v>
      </c>
      <c r="I317" s="221"/>
      <c r="J317" s="222"/>
      <c r="K317" s="216" t="b">
        <v>0</v>
      </c>
    </row>
    <row r="318">
      <c r="A318" s="216" t="s">
        <v>1690</v>
      </c>
      <c r="B318" s="217">
        <v>29.0</v>
      </c>
      <c r="C318" s="217">
        <v>27.0</v>
      </c>
      <c r="D318" s="218">
        <v>52.118417</v>
      </c>
      <c r="E318" s="218">
        <v>5.386797</v>
      </c>
      <c r="F318" s="216" t="s">
        <v>51</v>
      </c>
      <c r="G318" s="216" t="s">
        <v>52</v>
      </c>
      <c r="I318" s="221"/>
      <c r="J318" s="222"/>
      <c r="K318" s="216" t="b">
        <v>0</v>
      </c>
    </row>
    <row r="319">
      <c r="A319" s="216" t="s">
        <v>1691</v>
      </c>
      <c r="B319" s="217">
        <v>29.0</v>
      </c>
      <c r="C319" s="217">
        <v>28.0</v>
      </c>
      <c r="D319" s="218">
        <v>52.118417</v>
      </c>
      <c r="E319" s="218">
        <v>5.387031</v>
      </c>
      <c r="F319" s="216" t="s">
        <v>70</v>
      </c>
      <c r="G319" s="216" t="s">
        <v>71</v>
      </c>
      <c r="I319" s="221"/>
      <c r="J319" s="222"/>
      <c r="K319" s="216" t="b">
        <v>0</v>
      </c>
    </row>
    <row r="320">
      <c r="A320" s="216" t="s">
        <v>1692</v>
      </c>
      <c r="B320" s="217">
        <v>29.0</v>
      </c>
      <c r="C320" s="217">
        <v>29.0</v>
      </c>
      <c r="D320" s="218">
        <v>52.118417</v>
      </c>
      <c r="E320" s="218">
        <v>5.387265</v>
      </c>
      <c r="F320" s="216" t="s">
        <v>51</v>
      </c>
      <c r="G320" s="216" t="s">
        <v>52</v>
      </c>
      <c r="I320" s="221"/>
      <c r="J320" s="222"/>
      <c r="K320" s="216" t="b">
        <v>0</v>
      </c>
    </row>
    <row r="321">
      <c r="A321" s="216" t="s">
        <v>1693</v>
      </c>
      <c r="B321" s="217">
        <v>29.0</v>
      </c>
      <c r="C321" s="217">
        <v>30.0</v>
      </c>
      <c r="D321" s="218">
        <v>52.118417</v>
      </c>
      <c r="E321" s="218">
        <v>5.387499</v>
      </c>
      <c r="F321" s="216" t="s">
        <v>125</v>
      </c>
      <c r="G321" s="216" t="s">
        <v>126</v>
      </c>
      <c r="I321" s="221"/>
      <c r="J321" s="222"/>
      <c r="K321" s="216" t="b">
        <v>0</v>
      </c>
    </row>
    <row r="322">
      <c r="A322" s="216" t="s">
        <v>1694</v>
      </c>
      <c r="B322" s="217">
        <v>29.0</v>
      </c>
      <c r="C322" s="217">
        <v>31.0</v>
      </c>
      <c r="D322" s="218">
        <v>52.118417</v>
      </c>
      <c r="E322" s="218">
        <v>5.387734</v>
      </c>
      <c r="F322" s="216" t="s">
        <v>125</v>
      </c>
      <c r="G322" s="216" t="s">
        <v>126</v>
      </c>
      <c r="I322" s="221"/>
      <c r="J322" s="222"/>
      <c r="K322" s="216" t="b">
        <v>0</v>
      </c>
    </row>
    <row r="323">
      <c r="A323" s="216" t="s">
        <v>1695</v>
      </c>
      <c r="B323" s="217">
        <v>29.0</v>
      </c>
      <c r="C323" s="217">
        <v>32.0</v>
      </c>
      <c r="D323" s="218">
        <v>52.118417</v>
      </c>
      <c r="E323" s="218">
        <v>5.387968</v>
      </c>
      <c r="F323" s="216" t="s">
        <v>70</v>
      </c>
      <c r="G323" s="216" t="s">
        <v>71</v>
      </c>
      <c r="I323" s="221"/>
      <c r="J323" s="222"/>
      <c r="K323" s="216" t="b">
        <v>0</v>
      </c>
    </row>
    <row r="324">
      <c r="A324" s="216" t="s">
        <v>1696</v>
      </c>
      <c r="B324" s="217">
        <v>30.0</v>
      </c>
      <c r="C324" s="217">
        <v>7.0</v>
      </c>
      <c r="D324" s="218">
        <v>52.118273</v>
      </c>
      <c r="E324" s="218">
        <v>5.382116</v>
      </c>
      <c r="F324" s="216" t="s">
        <v>100</v>
      </c>
      <c r="G324" s="216" t="s">
        <v>101</v>
      </c>
      <c r="I324" s="221"/>
      <c r="J324" s="222"/>
      <c r="K324" s="216" t="b">
        <v>0</v>
      </c>
    </row>
    <row r="325">
      <c r="A325" s="216" t="s">
        <v>1697</v>
      </c>
      <c r="B325" s="217">
        <v>30.0</v>
      </c>
      <c r="C325" s="217">
        <v>8.0</v>
      </c>
      <c r="D325" s="218">
        <v>52.118273</v>
      </c>
      <c r="E325" s="218">
        <v>5.38235</v>
      </c>
      <c r="F325" s="216" t="s">
        <v>125</v>
      </c>
      <c r="G325" s="216" t="s">
        <v>126</v>
      </c>
      <c r="I325" s="221"/>
      <c r="J325" s="222"/>
      <c r="K325" s="216" t="b">
        <v>0</v>
      </c>
    </row>
    <row r="326">
      <c r="A326" s="216" t="s">
        <v>1698</v>
      </c>
      <c r="B326" s="217">
        <v>30.0</v>
      </c>
      <c r="C326" s="217">
        <v>9.0</v>
      </c>
      <c r="D326" s="218">
        <v>52.118273</v>
      </c>
      <c r="E326" s="218">
        <v>5.382584</v>
      </c>
      <c r="F326" s="216" t="s">
        <v>78</v>
      </c>
      <c r="G326" s="216" t="s">
        <v>79</v>
      </c>
      <c r="I326" s="221"/>
      <c r="J326" s="222"/>
      <c r="K326" s="216" t="b">
        <v>0</v>
      </c>
    </row>
    <row r="327">
      <c r="A327" s="216" t="s">
        <v>1699</v>
      </c>
      <c r="B327" s="217">
        <v>30.0</v>
      </c>
      <c r="C327" s="217">
        <v>10.0</v>
      </c>
      <c r="D327" s="218">
        <v>52.118273</v>
      </c>
      <c r="E327" s="218">
        <v>5.382818</v>
      </c>
      <c r="F327" s="216" t="s">
        <v>70</v>
      </c>
      <c r="G327" s="216" t="s">
        <v>71</v>
      </c>
      <c r="I327" s="221"/>
      <c r="J327" s="222"/>
      <c r="K327" s="216" t="b">
        <v>0</v>
      </c>
    </row>
    <row r="328">
      <c r="A328" s="216" t="s">
        <v>1700</v>
      </c>
      <c r="B328" s="217">
        <v>30.0</v>
      </c>
      <c r="C328" s="217">
        <v>11.0</v>
      </c>
      <c r="D328" s="218">
        <v>52.118273</v>
      </c>
      <c r="E328" s="218">
        <v>5.383052</v>
      </c>
      <c r="F328" s="216" t="s">
        <v>70</v>
      </c>
      <c r="G328" s="216" t="s">
        <v>71</v>
      </c>
      <c r="I328" s="221"/>
      <c r="J328" s="222"/>
      <c r="K328" s="216" t="b">
        <v>0</v>
      </c>
    </row>
    <row r="329">
      <c r="A329" s="216" t="s">
        <v>1701</v>
      </c>
      <c r="B329" s="217">
        <v>30.0</v>
      </c>
      <c r="C329" s="217">
        <v>12.0</v>
      </c>
      <c r="D329" s="218">
        <v>52.118273</v>
      </c>
      <c r="E329" s="218">
        <v>5.383286</v>
      </c>
      <c r="F329" s="216" t="s">
        <v>70</v>
      </c>
      <c r="G329" s="216" t="s">
        <v>71</v>
      </c>
      <c r="I329" s="221"/>
      <c r="J329" s="222"/>
      <c r="K329" s="216" t="b">
        <v>0</v>
      </c>
    </row>
    <row r="330">
      <c r="A330" s="216" t="s">
        <v>1702</v>
      </c>
      <c r="B330" s="217">
        <v>30.0</v>
      </c>
      <c r="C330" s="217">
        <v>13.0</v>
      </c>
      <c r="D330" s="218">
        <v>52.118273</v>
      </c>
      <c r="E330" s="218">
        <v>5.38352</v>
      </c>
      <c r="F330" s="216" t="s">
        <v>125</v>
      </c>
      <c r="G330" s="216" t="s">
        <v>126</v>
      </c>
      <c r="I330" s="221"/>
      <c r="J330" s="222"/>
      <c r="K330" s="216" t="b">
        <v>0</v>
      </c>
    </row>
    <row r="331">
      <c r="A331" s="216" t="s">
        <v>1703</v>
      </c>
      <c r="B331" s="217">
        <v>30.0</v>
      </c>
      <c r="C331" s="217">
        <v>14.0</v>
      </c>
      <c r="D331" s="218">
        <v>52.118273</v>
      </c>
      <c r="E331" s="218">
        <v>5.383754</v>
      </c>
      <c r="F331" s="216" t="s">
        <v>78</v>
      </c>
      <c r="G331" s="216" t="s">
        <v>79</v>
      </c>
      <c r="I331" s="221"/>
      <c r="J331" s="222"/>
      <c r="K331" s="216" t="b">
        <v>0</v>
      </c>
    </row>
    <row r="332">
      <c r="A332" s="216" t="s">
        <v>1704</v>
      </c>
      <c r="B332" s="217">
        <v>30.0</v>
      </c>
      <c r="C332" s="217">
        <v>15.0</v>
      </c>
      <c r="D332" s="218">
        <v>52.118273</v>
      </c>
      <c r="E332" s="218">
        <v>5.383988</v>
      </c>
      <c r="F332" s="216" t="s">
        <v>78</v>
      </c>
      <c r="G332" s="216" t="s">
        <v>79</v>
      </c>
      <c r="I332" s="221"/>
      <c r="J332" s="222"/>
      <c r="K332" s="216" t="b">
        <v>0</v>
      </c>
    </row>
    <row r="333">
      <c r="A333" s="216" t="s">
        <v>1705</v>
      </c>
      <c r="B333" s="217">
        <v>30.0</v>
      </c>
      <c r="C333" s="217">
        <v>16.0</v>
      </c>
      <c r="D333" s="218">
        <v>52.118273</v>
      </c>
      <c r="E333" s="218">
        <v>5.384222</v>
      </c>
      <c r="F333" s="216" t="s">
        <v>125</v>
      </c>
      <c r="G333" s="216" t="s">
        <v>126</v>
      </c>
      <c r="I333" s="221"/>
      <c r="J333" s="222"/>
      <c r="K333" s="216" t="b">
        <v>0</v>
      </c>
    </row>
    <row r="334">
      <c r="A334" s="216" t="s">
        <v>1706</v>
      </c>
      <c r="B334" s="217">
        <v>30.0</v>
      </c>
      <c r="C334" s="217">
        <v>17.0</v>
      </c>
      <c r="D334" s="218">
        <v>52.118273</v>
      </c>
      <c r="E334" s="218">
        <v>5.384456</v>
      </c>
      <c r="F334" s="216" t="s">
        <v>125</v>
      </c>
      <c r="G334" s="216" t="s">
        <v>126</v>
      </c>
      <c r="I334" s="221"/>
      <c r="J334" s="222"/>
      <c r="K334" s="216" t="b">
        <v>0</v>
      </c>
    </row>
    <row r="335">
      <c r="A335" s="216" t="s">
        <v>1707</v>
      </c>
      <c r="B335" s="217">
        <v>30.0</v>
      </c>
      <c r="C335" s="217">
        <v>18.0</v>
      </c>
      <c r="D335" s="218">
        <v>52.118273</v>
      </c>
      <c r="E335" s="218">
        <v>5.384691</v>
      </c>
      <c r="F335" s="216" t="s">
        <v>100</v>
      </c>
      <c r="G335" s="216" t="s">
        <v>101</v>
      </c>
      <c r="I335" s="221"/>
      <c r="J335" s="222"/>
      <c r="K335" s="216" t="b">
        <v>0</v>
      </c>
    </row>
    <row r="336">
      <c r="A336" s="216" t="s">
        <v>1708</v>
      </c>
      <c r="B336" s="217">
        <v>30.0</v>
      </c>
      <c r="C336" s="217">
        <v>19.0</v>
      </c>
      <c r="D336" s="218">
        <v>52.118273</v>
      </c>
      <c r="E336" s="218">
        <v>5.384925</v>
      </c>
      <c r="F336" s="216" t="s">
        <v>51</v>
      </c>
      <c r="G336" s="216" t="s">
        <v>52</v>
      </c>
      <c r="I336" s="221"/>
      <c r="J336" s="222"/>
      <c r="K336" s="216" t="b">
        <v>0</v>
      </c>
    </row>
    <row r="337">
      <c r="A337" s="216" t="s">
        <v>1709</v>
      </c>
      <c r="B337" s="217">
        <v>30.0</v>
      </c>
      <c r="C337" s="217">
        <v>20.0</v>
      </c>
      <c r="D337" s="218">
        <v>52.118273</v>
      </c>
      <c r="E337" s="218">
        <v>5.385159</v>
      </c>
      <c r="F337" s="216" t="s">
        <v>78</v>
      </c>
      <c r="G337" s="216" t="s">
        <v>79</v>
      </c>
      <c r="I337" s="221"/>
      <c r="J337" s="222"/>
      <c r="K337" s="216" t="b">
        <v>0</v>
      </c>
    </row>
    <row r="338">
      <c r="A338" s="216" t="s">
        <v>1710</v>
      </c>
      <c r="B338" s="217">
        <v>30.0</v>
      </c>
      <c r="C338" s="217">
        <v>21.0</v>
      </c>
      <c r="D338" s="218">
        <v>52.118273</v>
      </c>
      <c r="E338" s="218">
        <v>5.385393</v>
      </c>
      <c r="F338" s="216" t="s">
        <v>70</v>
      </c>
      <c r="G338" s="216" t="s">
        <v>71</v>
      </c>
      <c r="I338" s="221"/>
      <c r="J338" s="222"/>
      <c r="K338" s="216" t="b">
        <v>0</v>
      </c>
    </row>
    <row r="339">
      <c r="A339" s="216" t="s">
        <v>1711</v>
      </c>
      <c r="B339" s="217">
        <v>30.0</v>
      </c>
      <c r="C339" s="217">
        <v>22.0</v>
      </c>
      <c r="D339" s="218">
        <v>52.118273</v>
      </c>
      <c r="E339" s="218">
        <v>5.385627</v>
      </c>
      <c r="F339" s="216" t="s">
        <v>125</v>
      </c>
      <c r="G339" s="216" t="s">
        <v>126</v>
      </c>
      <c r="I339" s="221"/>
      <c r="J339" s="222"/>
      <c r="K339" s="216" t="b">
        <v>0</v>
      </c>
    </row>
    <row r="340">
      <c r="A340" s="216" t="s">
        <v>1712</v>
      </c>
      <c r="B340" s="217">
        <v>30.0</v>
      </c>
      <c r="C340" s="217">
        <v>23.0</v>
      </c>
      <c r="D340" s="218">
        <v>52.118273</v>
      </c>
      <c r="E340" s="218">
        <v>5.385861</v>
      </c>
      <c r="F340" s="216" t="s">
        <v>78</v>
      </c>
      <c r="G340" s="216" t="s">
        <v>79</v>
      </c>
      <c r="I340" s="221"/>
      <c r="J340" s="222"/>
      <c r="K340" s="216" t="b">
        <v>0</v>
      </c>
    </row>
    <row r="341">
      <c r="A341" s="216" t="s">
        <v>1713</v>
      </c>
      <c r="B341" s="217">
        <v>30.0</v>
      </c>
      <c r="C341" s="217">
        <v>24.0</v>
      </c>
      <c r="D341" s="218">
        <v>52.118273</v>
      </c>
      <c r="E341" s="218">
        <v>5.386095</v>
      </c>
      <c r="F341" s="216" t="s">
        <v>125</v>
      </c>
      <c r="G341" s="216" t="s">
        <v>126</v>
      </c>
      <c r="I341" s="221"/>
      <c r="J341" s="222"/>
      <c r="K341" s="216" t="b">
        <v>0</v>
      </c>
    </row>
    <row r="342">
      <c r="A342" s="216" t="s">
        <v>1714</v>
      </c>
      <c r="B342" s="217">
        <v>30.0</v>
      </c>
      <c r="C342" s="217">
        <v>25.0</v>
      </c>
      <c r="D342" s="218">
        <v>52.118273</v>
      </c>
      <c r="E342" s="218">
        <v>5.386329</v>
      </c>
      <c r="F342" s="216" t="s">
        <v>70</v>
      </c>
      <c r="G342" s="216" t="s">
        <v>71</v>
      </c>
      <c r="I342" s="221"/>
      <c r="J342" s="222"/>
      <c r="K342" s="216" t="b">
        <v>0</v>
      </c>
    </row>
    <row r="343">
      <c r="A343" s="216" t="s">
        <v>1715</v>
      </c>
      <c r="B343" s="217">
        <v>30.0</v>
      </c>
      <c r="C343" s="217">
        <v>26.0</v>
      </c>
      <c r="D343" s="218">
        <v>52.118273</v>
      </c>
      <c r="E343" s="218">
        <v>5.386563</v>
      </c>
      <c r="F343" s="216" t="s">
        <v>70</v>
      </c>
      <c r="G343" s="216" t="s">
        <v>71</v>
      </c>
      <c r="I343" s="221"/>
      <c r="J343" s="222"/>
      <c r="K343" s="216" t="b">
        <v>0</v>
      </c>
    </row>
    <row r="344">
      <c r="A344" s="216" t="s">
        <v>1716</v>
      </c>
      <c r="B344" s="217">
        <v>30.0</v>
      </c>
      <c r="C344" s="217">
        <v>27.0</v>
      </c>
      <c r="D344" s="218">
        <v>52.118273</v>
      </c>
      <c r="E344" s="218">
        <v>5.386797</v>
      </c>
      <c r="F344" s="216" t="s">
        <v>70</v>
      </c>
      <c r="G344" s="216" t="s">
        <v>71</v>
      </c>
      <c r="I344" s="221"/>
      <c r="J344" s="222"/>
      <c r="K344" s="216" t="b">
        <v>0</v>
      </c>
    </row>
    <row r="345">
      <c r="A345" s="216" t="s">
        <v>1717</v>
      </c>
      <c r="B345" s="217">
        <v>30.0</v>
      </c>
      <c r="C345" s="217">
        <v>28.0</v>
      </c>
      <c r="D345" s="218">
        <v>52.118273</v>
      </c>
      <c r="E345" s="218">
        <v>5.387031</v>
      </c>
      <c r="F345" s="216" t="s">
        <v>125</v>
      </c>
      <c r="G345" s="216" t="s">
        <v>126</v>
      </c>
      <c r="I345" s="221"/>
      <c r="J345" s="222"/>
      <c r="K345" s="216" t="b">
        <v>0</v>
      </c>
    </row>
    <row r="346">
      <c r="A346" s="216" t="s">
        <v>1718</v>
      </c>
      <c r="B346" s="217">
        <v>30.0</v>
      </c>
      <c r="C346" s="217">
        <v>29.0</v>
      </c>
      <c r="D346" s="218">
        <v>52.118273</v>
      </c>
      <c r="E346" s="218">
        <v>5.387265</v>
      </c>
      <c r="F346" s="216" t="s">
        <v>51</v>
      </c>
      <c r="G346" s="216" t="s">
        <v>52</v>
      </c>
      <c r="I346" s="221"/>
      <c r="J346" s="222"/>
      <c r="K346" s="216" t="b">
        <v>0</v>
      </c>
    </row>
    <row r="347">
      <c r="A347" s="216" t="s">
        <v>1719</v>
      </c>
      <c r="B347" s="217">
        <v>30.0</v>
      </c>
      <c r="C347" s="217">
        <v>30.0</v>
      </c>
      <c r="D347" s="218">
        <v>52.118273</v>
      </c>
      <c r="E347" s="218">
        <v>5.387499</v>
      </c>
      <c r="F347" s="216" t="s">
        <v>78</v>
      </c>
      <c r="G347" s="216" t="s">
        <v>79</v>
      </c>
      <c r="I347" s="221"/>
      <c r="J347" s="222"/>
      <c r="K347" s="216" t="b">
        <v>0</v>
      </c>
    </row>
    <row r="348">
      <c r="A348" s="216" t="s">
        <v>1720</v>
      </c>
      <c r="B348" s="217">
        <v>30.0</v>
      </c>
      <c r="C348" s="217">
        <v>31.0</v>
      </c>
      <c r="D348" s="218">
        <v>52.118273</v>
      </c>
      <c r="E348" s="218">
        <v>5.387733</v>
      </c>
      <c r="F348" s="216" t="s">
        <v>125</v>
      </c>
      <c r="G348" s="216" t="s">
        <v>126</v>
      </c>
      <c r="I348" s="221"/>
      <c r="J348" s="222"/>
      <c r="K348" s="216" t="b">
        <v>0</v>
      </c>
    </row>
    <row r="349">
      <c r="A349" s="216" t="s">
        <v>1721</v>
      </c>
      <c r="B349" s="217">
        <v>30.0</v>
      </c>
      <c r="C349" s="217">
        <v>32.0</v>
      </c>
      <c r="D349" s="218">
        <v>52.118273</v>
      </c>
      <c r="E349" s="218">
        <v>5.387968</v>
      </c>
      <c r="F349" s="216" t="s">
        <v>51</v>
      </c>
      <c r="G349" s="216" t="s">
        <v>52</v>
      </c>
      <c r="I349" s="221"/>
      <c r="J349" s="222"/>
      <c r="K349" s="216" t="b">
        <v>0</v>
      </c>
    </row>
    <row r="350">
      <c r="A350" s="216" t="s">
        <v>1722</v>
      </c>
      <c r="B350" s="217">
        <v>30.0</v>
      </c>
      <c r="C350" s="217">
        <v>33.0</v>
      </c>
      <c r="D350" s="218">
        <v>52.118273</v>
      </c>
      <c r="E350" s="218">
        <v>5.388202</v>
      </c>
      <c r="F350" s="216" t="s">
        <v>51</v>
      </c>
      <c r="G350" s="216" t="s">
        <v>52</v>
      </c>
      <c r="I350" s="221"/>
      <c r="J350" s="222"/>
      <c r="K350" s="216" t="b">
        <v>0</v>
      </c>
    </row>
    <row r="351">
      <c r="A351" s="216" t="s">
        <v>1723</v>
      </c>
      <c r="B351" s="217">
        <v>31.0</v>
      </c>
      <c r="C351" s="217">
        <v>8.0</v>
      </c>
      <c r="D351" s="218">
        <v>52.118129</v>
      </c>
      <c r="E351" s="218">
        <v>5.38235</v>
      </c>
      <c r="F351" s="216" t="s">
        <v>100</v>
      </c>
      <c r="G351" s="216" t="s">
        <v>101</v>
      </c>
      <c r="I351" s="221"/>
      <c r="J351" s="222"/>
      <c r="K351" s="216" t="b">
        <v>0</v>
      </c>
    </row>
    <row r="352">
      <c r="A352" s="216" t="s">
        <v>1724</v>
      </c>
      <c r="B352" s="217">
        <v>31.0</v>
      </c>
      <c r="C352" s="217">
        <v>9.0</v>
      </c>
      <c r="D352" s="218">
        <v>52.118129</v>
      </c>
      <c r="E352" s="218">
        <v>5.382584</v>
      </c>
      <c r="F352" s="216" t="s">
        <v>70</v>
      </c>
      <c r="G352" s="216" t="s">
        <v>71</v>
      </c>
      <c r="I352" s="221"/>
      <c r="J352" s="222"/>
      <c r="K352" s="216" t="b">
        <v>0</v>
      </c>
    </row>
    <row r="353">
      <c r="A353" s="216" t="s">
        <v>1725</v>
      </c>
      <c r="B353" s="217">
        <v>31.0</v>
      </c>
      <c r="C353" s="217">
        <v>10.0</v>
      </c>
      <c r="D353" s="218">
        <v>52.118129</v>
      </c>
      <c r="E353" s="218">
        <v>5.382818</v>
      </c>
      <c r="F353" s="216" t="s">
        <v>78</v>
      </c>
      <c r="G353" s="216" t="s">
        <v>79</v>
      </c>
      <c r="I353" s="221"/>
      <c r="J353" s="222"/>
      <c r="K353" s="216" t="b">
        <v>0</v>
      </c>
    </row>
    <row r="354">
      <c r="A354" s="216" t="s">
        <v>1726</v>
      </c>
      <c r="B354" s="217">
        <v>31.0</v>
      </c>
      <c r="C354" s="217">
        <v>11.0</v>
      </c>
      <c r="D354" s="218">
        <v>52.118129</v>
      </c>
      <c r="E354" s="218">
        <v>5.383052</v>
      </c>
      <c r="F354" s="216" t="s">
        <v>51</v>
      </c>
      <c r="G354" s="216" t="s">
        <v>52</v>
      </c>
      <c r="I354" s="221"/>
      <c r="J354" s="222"/>
      <c r="K354" s="216" t="b">
        <v>0</v>
      </c>
    </row>
    <row r="355">
      <c r="A355" s="216" t="s">
        <v>1727</v>
      </c>
      <c r="B355" s="217">
        <v>31.0</v>
      </c>
      <c r="C355" s="217">
        <v>12.0</v>
      </c>
      <c r="D355" s="218">
        <v>52.118129</v>
      </c>
      <c r="E355" s="218">
        <v>5.383286</v>
      </c>
      <c r="F355" s="216" t="s">
        <v>125</v>
      </c>
      <c r="G355" s="216" t="s">
        <v>126</v>
      </c>
      <c r="I355" s="221"/>
      <c r="J355" s="222"/>
      <c r="K355" s="216" t="b">
        <v>0</v>
      </c>
    </row>
    <row r="356">
      <c r="A356" s="216" t="s">
        <v>1728</v>
      </c>
      <c r="B356" s="217">
        <v>31.0</v>
      </c>
      <c r="C356" s="217">
        <v>13.0</v>
      </c>
      <c r="D356" s="218">
        <v>52.118129</v>
      </c>
      <c r="E356" s="218">
        <v>5.38352</v>
      </c>
      <c r="F356" s="216" t="s">
        <v>70</v>
      </c>
      <c r="G356" s="216" t="s">
        <v>71</v>
      </c>
      <c r="I356" s="221"/>
      <c r="J356" s="222"/>
      <c r="K356" s="216" t="b">
        <v>0</v>
      </c>
    </row>
    <row r="357">
      <c r="A357" s="216" t="s">
        <v>1729</v>
      </c>
      <c r="B357" s="217">
        <v>31.0</v>
      </c>
      <c r="C357" s="217">
        <v>14.0</v>
      </c>
      <c r="D357" s="218">
        <v>52.118129</v>
      </c>
      <c r="E357" s="218">
        <v>5.383754</v>
      </c>
      <c r="F357" s="216" t="s">
        <v>51</v>
      </c>
      <c r="G357" s="216" t="s">
        <v>52</v>
      </c>
      <c r="I357" s="221"/>
      <c r="J357" s="222"/>
      <c r="K357" s="216" t="b">
        <v>0</v>
      </c>
    </row>
    <row r="358">
      <c r="A358" s="216" t="s">
        <v>1730</v>
      </c>
      <c r="B358" s="217">
        <v>31.0</v>
      </c>
      <c r="C358" s="217">
        <v>15.0</v>
      </c>
      <c r="D358" s="218">
        <v>52.118129</v>
      </c>
      <c r="E358" s="218">
        <v>5.383988</v>
      </c>
      <c r="F358" s="216" t="s">
        <v>125</v>
      </c>
      <c r="G358" s="216" t="s">
        <v>126</v>
      </c>
      <c r="I358" s="221"/>
      <c r="J358" s="222"/>
      <c r="K358" s="216" t="b">
        <v>0</v>
      </c>
    </row>
    <row r="359">
      <c r="A359" s="216" t="s">
        <v>1731</v>
      </c>
      <c r="B359" s="217">
        <v>31.0</v>
      </c>
      <c r="C359" s="217">
        <v>16.0</v>
      </c>
      <c r="D359" s="218">
        <v>52.118129</v>
      </c>
      <c r="E359" s="218">
        <v>5.384222</v>
      </c>
      <c r="F359" s="216" t="s">
        <v>70</v>
      </c>
      <c r="G359" s="216" t="s">
        <v>71</v>
      </c>
      <c r="I359" s="221"/>
      <c r="J359" s="222"/>
      <c r="K359" s="216" t="b">
        <v>0</v>
      </c>
    </row>
    <row r="360">
      <c r="A360" s="216" t="s">
        <v>1732</v>
      </c>
      <c r="B360" s="217">
        <v>31.0</v>
      </c>
      <c r="C360" s="217">
        <v>17.0</v>
      </c>
      <c r="D360" s="218">
        <v>52.118129</v>
      </c>
      <c r="E360" s="218">
        <v>5.384456</v>
      </c>
      <c r="F360" s="216" t="s">
        <v>70</v>
      </c>
      <c r="G360" s="216" t="s">
        <v>71</v>
      </c>
      <c r="I360" s="221"/>
      <c r="J360" s="222"/>
      <c r="K360" s="216" t="b">
        <v>0</v>
      </c>
    </row>
    <row r="361">
      <c r="A361" s="216" t="s">
        <v>1733</v>
      </c>
      <c r="B361" s="217">
        <v>31.0</v>
      </c>
      <c r="C361" s="217">
        <v>18.0</v>
      </c>
      <c r="D361" s="218">
        <v>52.118129</v>
      </c>
      <c r="E361" s="218">
        <v>5.38469</v>
      </c>
      <c r="F361" s="216" t="s">
        <v>125</v>
      </c>
      <c r="G361" s="216" t="s">
        <v>126</v>
      </c>
      <c r="I361" s="221"/>
      <c r="J361" s="222"/>
      <c r="K361" s="216" t="b">
        <v>0</v>
      </c>
    </row>
    <row r="362">
      <c r="A362" s="216" t="s">
        <v>1734</v>
      </c>
      <c r="B362" s="217">
        <v>31.0</v>
      </c>
      <c r="C362" s="217">
        <v>19.0</v>
      </c>
      <c r="D362" s="218">
        <v>52.118129</v>
      </c>
      <c r="E362" s="218">
        <v>5.384925</v>
      </c>
      <c r="F362" s="216" t="s">
        <v>877</v>
      </c>
      <c r="G362" s="216" t="s">
        <v>878</v>
      </c>
      <c r="I362" s="221"/>
      <c r="J362" s="222"/>
      <c r="K362" s="216" t="b">
        <v>0</v>
      </c>
    </row>
    <row r="363">
      <c r="A363" s="216" t="s">
        <v>1735</v>
      </c>
      <c r="B363" s="217">
        <v>31.0</v>
      </c>
      <c r="C363" s="217">
        <v>20.0</v>
      </c>
      <c r="D363" s="218">
        <v>52.118129</v>
      </c>
      <c r="E363" s="218">
        <v>5.385159</v>
      </c>
      <c r="F363" s="216" t="s">
        <v>125</v>
      </c>
      <c r="G363" s="216" t="s">
        <v>126</v>
      </c>
      <c r="I363" s="221"/>
      <c r="J363" s="222"/>
      <c r="K363" s="216" t="b">
        <v>0</v>
      </c>
    </row>
    <row r="364">
      <c r="A364" s="216" t="s">
        <v>1736</v>
      </c>
      <c r="B364" s="217">
        <v>31.0</v>
      </c>
      <c r="C364" s="217">
        <v>21.0</v>
      </c>
      <c r="D364" s="218">
        <v>52.118129</v>
      </c>
      <c r="E364" s="218">
        <v>5.385393</v>
      </c>
      <c r="F364" s="216" t="s">
        <v>78</v>
      </c>
      <c r="G364" s="216" t="s">
        <v>79</v>
      </c>
      <c r="I364" s="221"/>
      <c r="J364" s="222"/>
      <c r="K364" s="216" t="b">
        <v>0</v>
      </c>
    </row>
    <row r="365">
      <c r="A365" s="216" t="s">
        <v>1737</v>
      </c>
      <c r="B365" s="217">
        <v>31.0</v>
      </c>
      <c r="C365" s="217">
        <v>22.0</v>
      </c>
      <c r="D365" s="218">
        <v>52.118129</v>
      </c>
      <c r="E365" s="218">
        <v>5.385627</v>
      </c>
      <c r="F365" s="216" t="s">
        <v>125</v>
      </c>
      <c r="G365" s="216" t="s">
        <v>126</v>
      </c>
      <c r="I365" s="221"/>
      <c r="J365" s="222"/>
      <c r="K365" s="216" t="b">
        <v>0</v>
      </c>
    </row>
    <row r="366">
      <c r="A366" s="216" t="s">
        <v>1738</v>
      </c>
      <c r="B366" s="217">
        <v>31.0</v>
      </c>
      <c r="C366" s="217">
        <v>23.0</v>
      </c>
      <c r="D366" s="218">
        <v>52.118129</v>
      </c>
      <c r="E366" s="218">
        <v>5.385861</v>
      </c>
      <c r="F366" s="216" t="s">
        <v>78</v>
      </c>
      <c r="G366" s="216" t="s">
        <v>79</v>
      </c>
      <c r="I366" s="221"/>
      <c r="J366" s="222"/>
      <c r="K366" s="216" t="b">
        <v>0</v>
      </c>
    </row>
    <row r="367">
      <c r="A367" s="216" t="s">
        <v>1739</v>
      </c>
      <c r="B367" s="217">
        <v>31.0</v>
      </c>
      <c r="C367" s="217">
        <v>24.0</v>
      </c>
      <c r="D367" s="218">
        <v>52.118129</v>
      </c>
      <c r="E367" s="218">
        <v>5.386095</v>
      </c>
      <c r="F367" s="216" t="s">
        <v>51</v>
      </c>
      <c r="G367" s="216" t="s">
        <v>52</v>
      </c>
      <c r="I367" s="221"/>
      <c r="J367" s="222"/>
      <c r="K367" s="216" t="b">
        <v>0</v>
      </c>
    </row>
    <row r="368">
      <c r="A368" s="216" t="s">
        <v>1740</v>
      </c>
      <c r="B368" s="217">
        <v>31.0</v>
      </c>
      <c r="C368" s="217">
        <v>25.0</v>
      </c>
      <c r="D368" s="218">
        <v>52.118129</v>
      </c>
      <c r="E368" s="218">
        <v>5.386329</v>
      </c>
      <c r="F368" s="216" t="s">
        <v>70</v>
      </c>
      <c r="G368" s="216" t="s">
        <v>71</v>
      </c>
      <c r="I368" s="221"/>
      <c r="J368" s="222"/>
      <c r="K368" s="216" t="b">
        <v>0</v>
      </c>
    </row>
    <row r="369">
      <c r="A369" s="216" t="s">
        <v>1741</v>
      </c>
      <c r="B369" s="217">
        <v>31.0</v>
      </c>
      <c r="C369" s="217">
        <v>26.0</v>
      </c>
      <c r="D369" s="218">
        <v>52.118129</v>
      </c>
      <c r="E369" s="218">
        <v>5.386563</v>
      </c>
      <c r="F369" s="216" t="s">
        <v>125</v>
      </c>
      <c r="G369" s="216" t="s">
        <v>126</v>
      </c>
      <c r="I369" s="221"/>
      <c r="J369" s="222"/>
      <c r="K369" s="216" t="b">
        <v>0</v>
      </c>
    </row>
    <row r="370">
      <c r="A370" s="216" t="s">
        <v>1742</v>
      </c>
      <c r="B370" s="217">
        <v>31.0</v>
      </c>
      <c r="C370" s="217">
        <v>27.0</v>
      </c>
      <c r="D370" s="218">
        <v>52.118129</v>
      </c>
      <c r="E370" s="218">
        <v>5.386797</v>
      </c>
      <c r="F370" s="216" t="s">
        <v>51</v>
      </c>
      <c r="G370" s="216" t="s">
        <v>52</v>
      </c>
      <c r="I370" s="221"/>
      <c r="J370" s="222"/>
      <c r="K370" s="216" t="b">
        <v>0</v>
      </c>
    </row>
    <row r="371">
      <c r="A371" s="216" t="s">
        <v>1743</v>
      </c>
      <c r="B371" s="217">
        <v>31.0</v>
      </c>
      <c r="C371" s="217">
        <v>28.0</v>
      </c>
      <c r="D371" s="218">
        <v>52.118129</v>
      </c>
      <c r="E371" s="218">
        <v>5.387031</v>
      </c>
      <c r="F371" s="216" t="s">
        <v>100</v>
      </c>
      <c r="G371" s="216" t="s">
        <v>101</v>
      </c>
      <c r="I371" s="221"/>
      <c r="J371" s="222"/>
      <c r="K371" s="216" t="b">
        <v>0</v>
      </c>
    </row>
    <row r="372">
      <c r="A372" s="216" t="s">
        <v>1744</v>
      </c>
      <c r="B372" s="217">
        <v>31.0</v>
      </c>
      <c r="C372" s="217">
        <v>29.0</v>
      </c>
      <c r="D372" s="218">
        <v>52.118129</v>
      </c>
      <c r="E372" s="218">
        <v>5.387265</v>
      </c>
      <c r="F372" s="216" t="s">
        <v>51</v>
      </c>
      <c r="G372" s="216" t="s">
        <v>52</v>
      </c>
      <c r="I372" s="221"/>
      <c r="J372" s="222"/>
      <c r="K372" s="216" t="b">
        <v>0</v>
      </c>
    </row>
    <row r="373">
      <c r="A373" s="216" t="s">
        <v>1745</v>
      </c>
      <c r="B373" s="217">
        <v>31.0</v>
      </c>
      <c r="C373" s="217">
        <v>30.0</v>
      </c>
      <c r="D373" s="218">
        <v>52.118129</v>
      </c>
      <c r="E373" s="218">
        <v>5.387499</v>
      </c>
      <c r="F373" s="216" t="s">
        <v>51</v>
      </c>
      <c r="G373" s="216" t="s">
        <v>52</v>
      </c>
      <c r="I373" s="221"/>
      <c r="J373" s="222"/>
      <c r="K373" s="216" t="b">
        <v>0</v>
      </c>
    </row>
    <row r="374">
      <c r="A374" s="216" t="s">
        <v>1746</v>
      </c>
      <c r="B374" s="217">
        <v>31.0</v>
      </c>
      <c r="C374" s="217">
        <v>31.0</v>
      </c>
      <c r="D374" s="218">
        <v>52.118129</v>
      </c>
      <c r="E374" s="218">
        <v>5.387733</v>
      </c>
      <c r="F374" s="216" t="s">
        <v>51</v>
      </c>
      <c r="G374" s="216" t="s">
        <v>52</v>
      </c>
      <c r="I374" s="221"/>
      <c r="J374" s="222"/>
      <c r="K374" s="216" t="b">
        <v>0</v>
      </c>
    </row>
    <row r="375">
      <c r="A375" s="216" t="s">
        <v>1747</v>
      </c>
      <c r="B375" s="217">
        <v>31.0</v>
      </c>
      <c r="C375" s="217">
        <v>32.0</v>
      </c>
      <c r="D375" s="218">
        <v>52.118129</v>
      </c>
      <c r="E375" s="218">
        <v>5.387968</v>
      </c>
      <c r="F375" s="216" t="s">
        <v>51</v>
      </c>
      <c r="G375" s="216" t="s">
        <v>52</v>
      </c>
      <c r="I375" s="221"/>
      <c r="J375" s="222"/>
      <c r="K375" s="216" t="b">
        <v>0</v>
      </c>
    </row>
    <row r="376">
      <c r="A376" s="216" t="s">
        <v>1748</v>
      </c>
      <c r="B376" s="217">
        <v>31.0</v>
      </c>
      <c r="C376" s="217">
        <v>33.0</v>
      </c>
      <c r="D376" s="218">
        <v>52.118129</v>
      </c>
      <c r="E376" s="218">
        <v>5.388202</v>
      </c>
      <c r="F376" s="216" t="s">
        <v>51</v>
      </c>
      <c r="G376" s="216" t="s">
        <v>52</v>
      </c>
      <c r="I376" s="221"/>
      <c r="J376" s="222"/>
      <c r="K376" s="216" t="b">
        <v>0</v>
      </c>
    </row>
    <row r="377">
      <c r="A377" s="216" t="s">
        <v>1749</v>
      </c>
      <c r="B377" s="217">
        <v>31.0</v>
      </c>
      <c r="C377" s="217">
        <v>34.0</v>
      </c>
      <c r="D377" s="218">
        <v>52.118129</v>
      </c>
      <c r="E377" s="218">
        <v>5.388436</v>
      </c>
      <c r="F377" s="216" t="s">
        <v>100</v>
      </c>
      <c r="G377" s="216" t="s">
        <v>101</v>
      </c>
      <c r="I377" s="221"/>
      <c r="J377" s="222"/>
      <c r="K377" s="216" t="b">
        <v>0</v>
      </c>
    </row>
    <row r="378">
      <c r="A378" s="216" t="s">
        <v>1750</v>
      </c>
      <c r="B378" s="217">
        <v>32.0</v>
      </c>
      <c r="C378" s="217">
        <v>9.0</v>
      </c>
      <c r="D378" s="218">
        <v>52.117986</v>
      </c>
      <c r="E378" s="218">
        <v>5.382584</v>
      </c>
      <c r="F378" s="216" t="s">
        <v>125</v>
      </c>
      <c r="G378" s="216" t="s">
        <v>126</v>
      </c>
      <c r="I378" s="221"/>
      <c r="J378" s="222"/>
      <c r="K378" s="216" t="b">
        <v>0</v>
      </c>
    </row>
    <row r="379">
      <c r="A379" s="216" t="s">
        <v>1751</v>
      </c>
      <c r="B379" s="217">
        <v>32.0</v>
      </c>
      <c r="C379" s="217">
        <v>10.0</v>
      </c>
      <c r="D379" s="218">
        <v>52.117986</v>
      </c>
      <c r="E379" s="218">
        <v>5.382818</v>
      </c>
      <c r="F379" s="216" t="s">
        <v>78</v>
      </c>
      <c r="G379" s="216" t="s">
        <v>79</v>
      </c>
      <c r="I379" s="221"/>
      <c r="J379" s="222"/>
      <c r="K379" s="216" t="b">
        <v>0</v>
      </c>
    </row>
    <row r="380">
      <c r="A380" s="216" t="s">
        <v>1752</v>
      </c>
      <c r="B380" s="217">
        <v>32.0</v>
      </c>
      <c r="C380" s="217">
        <v>11.0</v>
      </c>
      <c r="D380" s="218">
        <v>52.117986</v>
      </c>
      <c r="E380" s="218">
        <v>5.383052</v>
      </c>
      <c r="F380" s="216" t="s">
        <v>78</v>
      </c>
      <c r="G380" s="216" t="s">
        <v>79</v>
      </c>
      <c r="I380" s="221"/>
      <c r="J380" s="222"/>
      <c r="K380" s="216" t="b">
        <v>0</v>
      </c>
    </row>
    <row r="381">
      <c r="A381" s="216" t="s">
        <v>1753</v>
      </c>
      <c r="B381" s="217">
        <v>32.0</v>
      </c>
      <c r="C381" s="217">
        <v>12.0</v>
      </c>
      <c r="D381" s="218">
        <v>52.117986</v>
      </c>
      <c r="E381" s="218">
        <v>5.383286</v>
      </c>
      <c r="F381" s="216" t="s">
        <v>100</v>
      </c>
      <c r="G381" s="216" t="s">
        <v>101</v>
      </c>
      <c r="I381" s="221"/>
      <c r="J381" s="222"/>
      <c r="K381" s="216" t="b">
        <v>0</v>
      </c>
    </row>
    <row r="382">
      <c r="A382" s="216" t="s">
        <v>1754</v>
      </c>
      <c r="B382" s="217">
        <v>32.0</v>
      </c>
      <c r="C382" s="217">
        <v>13.0</v>
      </c>
      <c r="D382" s="218">
        <v>52.117986</v>
      </c>
      <c r="E382" s="218">
        <v>5.38352</v>
      </c>
      <c r="F382" s="216" t="s">
        <v>125</v>
      </c>
      <c r="G382" s="216" t="s">
        <v>126</v>
      </c>
      <c r="I382" s="221"/>
      <c r="J382" s="222"/>
      <c r="K382" s="216" t="b">
        <v>0</v>
      </c>
    </row>
    <row r="383">
      <c r="A383" s="216" t="s">
        <v>1755</v>
      </c>
      <c r="B383" s="217">
        <v>32.0</v>
      </c>
      <c r="C383" s="217">
        <v>14.0</v>
      </c>
      <c r="D383" s="218">
        <v>52.117986</v>
      </c>
      <c r="E383" s="218">
        <v>5.383754</v>
      </c>
      <c r="F383" s="216" t="s">
        <v>70</v>
      </c>
      <c r="G383" s="216" t="s">
        <v>71</v>
      </c>
      <c r="I383" s="221"/>
      <c r="J383" s="222"/>
      <c r="K383" s="216" t="b">
        <v>0</v>
      </c>
    </row>
    <row r="384">
      <c r="A384" s="216" t="s">
        <v>1756</v>
      </c>
      <c r="B384" s="217">
        <v>32.0</v>
      </c>
      <c r="C384" s="217">
        <v>15.0</v>
      </c>
      <c r="D384" s="218">
        <v>52.117986</v>
      </c>
      <c r="E384" s="218">
        <v>5.383988</v>
      </c>
      <c r="F384" s="216" t="s">
        <v>125</v>
      </c>
      <c r="G384" s="216" t="s">
        <v>126</v>
      </c>
      <c r="I384" s="221"/>
      <c r="J384" s="222"/>
      <c r="K384" s="216" t="b">
        <v>0</v>
      </c>
    </row>
    <row r="385">
      <c r="A385" s="216" t="s">
        <v>1757</v>
      </c>
      <c r="B385" s="217">
        <v>32.0</v>
      </c>
      <c r="C385" s="217">
        <v>16.0</v>
      </c>
      <c r="D385" s="218">
        <v>52.117986</v>
      </c>
      <c r="E385" s="218">
        <v>5.384222</v>
      </c>
      <c r="F385" s="216" t="s">
        <v>51</v>
      </c>
      <c r="G385" s="216" t="s">
        <v>52</v>
      </c>
      <c r="I385" s="221"/>
      <c r="J385" s="222"/>
      <c r="K385" s="216" t="b">
        <v>0</v>
      </c>
    </row>
    <row r="386">
      <c r="A386" s="216" t="s">
        <v>1758</v>
      </c>
      <c r="B386" s="217">
        <v>32.0</v>
      </c>
      <c r="C386" s="217">
        <v>17.0</v>
      </c>
      <c r="D386" s="218">
        <v>52.117986</v>
      </c>
      <c r="E386" s="218">
        <v>5.384456</v>
      </c>
      <c r="F386" s="216" t="s">
        <v>100</v>
      </c>
      <c r="G386" s="216" t="s">
        <v>101</v>
      </c>
      <c r="I386" s="221"/>
      <c r="J386" s="222"/>
      <c r="K386" s="216" t="b">
        <v>0</v>
      </c>
    </row>
    <row r="387">
      <c r="A387" s="216" t="s">
        <v>1759</v>
      </c>
      <c r="B387" s="217">
        <v>32.0</v>
      </c>
      <c r="C387" s="217">
        <v>18.0</v>
      </c>
      <c r="D387" s="218">
        <v>52.117986</v>
      </c>
      <c r="E387" s="218">
        <v>5.38469</v>
      </c>
      <c r="F387" s="216" t="s">
        <v>100</v>
      </c>
      <c r="G387" s="216" t="s">
        <v>101</v>
      </c>
      <c r="I387" s="221"/>
      <c r="J387" s="222"/>
      <c r="K387" s="216" t="b">
        <v>0</v>
      </c>
    </row>
    <row r="388">
      <c r="A388" s="216" t="s">
        <v>1760</v>
      </c>
      <c r="B388" s="217">
        <v>32.0</v>
      </c>
      <c r="C388" s="217">
        <v>19.0</v>
      </c>
      <c r="D388" s="218">
        <v>52.117986</v>
      </c>
      <c r="E388" s="218">
        <v>5.384925</v>
      </c>
      <c r="F388" s="216" t="s">
        <v>100</v>
      </c>
      <c r="G388" s="216" t="s">
        <v>101</v>
      </c>
      <c r="I388" s="221"/>
      <c r="J388" s="222"/>
      <c r="K388" s="216" t="b">
        <v>0</v>
      </c>
    </row>
    <row r="389">
      <c r="A389" s="216" t="s">
        <v>1761</v>
      </c>
      <c r="B389" s="217">
        <v>32.0</v>
      </c>
      <c r="C389" s="217">
        <v>20.0</v>
      </c>
      <c r="D389" s="218">
        <v>52.117986</v>
      </c>
      <c r="E389" s="218">
        <v>5.385159</v>
      </c>
      <c r="F389" s="216" t="s">
        <v>100</v>
      </c>
      <c r="G389" s="216" t="s">
        <v>101</v>
      </c>
      <c r="I389" s="221"/>
      <c r="J389" s="222"/>
      <c r="K389" s="216" t="b">
        <v>0</v>
      </c>
    </row>
    <row r="390">
      <c r="A390" s="216" t="s">
        <v>1762</v>
      </c>
      <c r="B390" s="217">
        <v>32.0</v>
      </c>
      <c r="C390" s="217">
        <v>21.0</v>
      </c>
      <c r="D390" s="218">
        <v>52.117986</v>
      </c>
      <c r="E390" s="218">
        <v>5.385393</v>
      </c>
      <c r="F390" s="216" t="s">
        <v>70</v>
      </c>
      <c r="G390" s="216" t="s">
        <v>71</v>
      </c>
      <c r="I390" s="221"/>
      <c r="J390" s="222"/>
      <c r="K390" s="216" t="b">
        <v>0</v>
      </c>
    </row>
    <row r="391">
      <c r="A391" s="216" t="s">
        <v>1763</v>
      </c>
      <c r="B391" s="217">
        <v>32.0</v>
      </c>
      <c r="C391" s="217">
        <v>22.0</v>
      </c>
      <c r="D391" s="218">
        <v>52.117986</v>
      </c>
      <c r="E391" s="218">
        <v>5.385627</v>
      </c>
      <c r="F391" s="216" t="s">
        <v>51</v>
      </c>
      <c r="G391" s="216" t="s">
        <v>52</v>
      </c>
      <c r="I391" s="221"/>
      <c r="J391" s="222"/>
      <c r="K391" s="216" t="b">
        <v>0</v>
      </c>
    </row>
    <row r="392">
      <c r="A392" s="216" t="s">
        <v>1764</v>
      </c>
      <c r="B392" s="217">
        <v>32.0</v>
      </c>
      <c r="C392" s="217">
        <v>23.0</v>
      </c>
      <c r="D392" s="218">
        <v>52.117986</v>
      </c>
      <c r="E392" s="218">
        <v>5.385861</v>
      </c>
      <c r="F392" s="216" t="s">
        <v>125</v>
      </c>
      <c r="G392" s="216" t="s">
        <v>126</v>
      </c>
      <c r="I392" s="221"/>
      <c r="J392" s="222"/>
      <c r="K392" s="216" t="b">
        <v>0</v>
      </c>
    </row>
    <row r="393">
      <c r="A393" s="216" t="s">
        <v>1765</v>
      </c>
      <c r="B393" s="217">
        <v>32.0</v>
      </c>
      <c r="C393" s="217">
        <v>24.0</v>
      </c>
      <c r="D393" s="218">
        <v>52.117986</v>
      </c>
      <c r="E393" s="218">
        <v>5.386095</v>
      </c>
      <c r="F393" s="216" t="s">
        <v>100</v>
      </c>
      <c r="G393" s="216" t="s">
        <v>101</v>
      </c>
      <c r="I393" s="221"/>
      <c r="J393" s="222"/>
      <c r="K393" s="216" t="b">
        <v>0</v>
      </c>
    </row>
    <row r="394">
      <c r="A394" s="216" t="s">
        <v>1766</v>
      </c>
      <c r="B394" s="217">
        <v>32.0</v>
      </c>
      <c r="C394" s="217">
        <v>25.0</v>
      </c>
      <c r="D394" s="218">
        <v>52.117986</v>
      </c>
      <c r="E394" s="218">
        <v>5.386329</v>
      </c>
      <c r="F394" s="216" t="s">
        <v>100</v>
      </c>
      <c r="G394" s="216" t="s">
        <v>101</v>
      </c>
      <c r="I394" s="221"/>
      <c r="J394" s="222"/>
      <c r="K394" s="216" t="b">
        <v>0</v>
      </c>
    </row>
    <row r="395">
      <c r="A395" s="216" t="s">
        <v>1767</v>
      </c>
      <c r="B395" s="217">
        <v>32.0</v>
      </c>
      <c r="C395" s="217">
        <v>26.0</v>
      </c>
      <c r="D395" s="218">
        <v>52.117986</v>
      </c>
      <c r="E395" s="218">
        <v>5.386563</v>
      </c>
      <c r="F395" s="216" t="s">
        <v>100</v>
      </c>
      <c r="G395" s="216" t="s">
        <v>101</v>
      </c>
      <c r="I395" s="221"/>
      <c r="J395" s="222"/>
      <c r="K395" s="216" t="b">
        <v>0</v>
      </c>
    </row>
    <row r="396">
      <c r="A396" s="216" t="s">
        <v>1768</v>
      </c>
      <c r="B396" s="217">
        <v>32.0</v>
      </c>
      <c r="C396" s="217">
        <v>27.0</v>
      </c>
      <c r="D396" s="218">
        <v>52.117986</v>
      </c>
      <c r="E396" s="218">
        <v>5.386797</v>
      </c>
      <c r="F396" s="216" t="s">
        <v>100</v>
      </c>
      <c r="G396" s="216" t="s">
        <v>101</v>
      </c>
      <c r="I396" s="221"/>
      <c r="J396" s="222"/>
      <c r="K396" s="216" t="b">
        <v>0</v>
      </c>
    </row>
    <row r="397">
      <c r="A397" s="216" t="s">
        <v>1769</v>
      </c>
      <c r="B397" s="217">
        <v>32.0</v>
      </c>
      <c r="C397" s="217">
        <v>28.0</v>
      </c>
      <c r="D397" s="218">
        <v>52.117986</v>
      </c>
      <c r="E397" s="218">
        <v>5.387031</v>
      </c>
      <c r="F397" s="216" t="s">
        <v>125</v>
      </c>
      <c r="G397" s="216" t="s">
        <v>126</v>
      </c>
      <c r="I397" s="221"/>
      <c r="J397" s="222"/>
      <c r="K397" s="216" t="b">
        <v>0</v>
      </c>
    </row>
    <row r="398">
      <c r="A398" s="216" t="s">
        <v>1770</v>
      </c>
      <c r="B398" s="217">
        <v>32.0</v>
      </c>
      <c r="C398" s="217">
        <v>29.0</v>
      </c>
      <c r="D398" s="218">
        <v>52.117986</v>
      </c>
      <c r="E398" s="218">
        <v>5.387265</v>
      </c>
      <c r="F398" s="216" t="s">
        <v>70</v>
      </c>
      <c r="G398" s="216" t="s">
        <v>71</v>
      </c>
      <c r="I398" s="221"/>
      <c r="J398" s="222"/>
      <c r="K398" s="216" t="b">
        <v>0</v>
      </c>
    </row>
    <row r="399">
      <c r="A399" s="216" t="s">
        <v>1771</v>
      </c>
      <c r="B399" s="217">
        <v>32.0</v>
      </c>
      <c r="C399" s="217">
        <v>30.0</v>
      </c>
      <c r="D399" s="218">
        <v>52.117986</v>
      </c>
      <c r="E399" s="218">
        <v>5.387499</v>
      </c>
      <c r="F399" s="216" t="s">
        <v>70</v>
      </c>
      <c r="G399" s="216" t="s">
        <v>71</v>
      </c>
      <c r="I399" s="221"/>
      <c r="J399" s="222"/>
      <c r="K399" s="216" t="b">
        <v>0</v>
      </c>
    </row>
    <row r="400">
      <c r="A400" s="216" t="s">
        <v>1772</v>
      </c>
      <c r="B400" s="217">
        <v>32.0</v>
      </c>
      <c r="C400" s="217">
        <v>31.0</v>
      </c>
      <c r="D400" s="218">
        <v>52.117986</v>
      </c>
      <c r="E400" s="218">
        <v>5.387733</v>
      </c>
      <c r="F400" s="216" t="s">
        <v>51</v>
      </c>
      <c r="G400" s="216" t="s">
        <v>52</v>
      </c>
      <c r="I400" s="221"/>
      <c r="J400" s="222"/>
      <c r="K400" s="216" t="b">
        <v>0</v>
      </c>
    </row>
    <row r="401">
      <c r="A401" s="216" t="s">
        <v>1773</v>
      </c>
      <c r="B401" s="217">
        <v>32.0</v>
      </c>
      <c r="C401" s="217">
        <v>32.0</v>
      </c>
      <c r="D401" s="218">
        <v>52.117986</v>
      </c>
      <c r="E401" s="218">
        <v>5.387968</v>
      </c>
      <c r="F401" s="216" t="s">
        <v>100</v>
      </c>
      <c r="G401" s="216" t="s">
        <v>101</v>
      </c>
      <c r="I401" s="221"/>
      <c r="J401" s="222"/>
      <c r="K401" s="216" t="b">
        <v>0</v>
      </c>
    </row>
    <row r="402">
      <c r="A402" s="216" t="s">
        <v>1774</v>
      </c>
      <c r="B402" s="217">
        <v>32.0</v>
      </c>
      <c r="C402" s="217">
        <v>33.0</v>
      </c>
      <c r="D402" s="218">
        <v>52.117986</v>
      </c>
      <c r="E402" s="218">
        <v>5.388202</v>
      </c>
      <c r="F402" s="216" t="s">
        <v>100</v>
      </c>
      <c r="G402" s="216" t="s">
        <v>101</v>
      </c>
      <c r="I402" s="221"/>
      <c r="J402" s="222"/>
      <c r="K402" s="216" t="b">
        <v>0</v>
      </c>
    </row>
    <row r="403">
      <c r="A403" s="216" t="s">
        <v>1775</v>
      </c>
      <c r="B403" s="217">
        <v>33.0</v>
      </c>
      <c r="C403" s="217">
        <v>10.0</v>
      </c>
      <c r="D403" s="218">
        <v>52.117842</v>
      </c>
      <c r="E403" s="218">
        <v>5.382818</v>
      </c>
      <c r="F403" s="216" t="s">
        <v>51</v>
      </c>
      <c r="G403" s="216" t="s">
        <v>52</v>
      </c>
      <c r="I403" s="221"/>
      <c r="J403" s="222"/>
      <c r="K403" s="216" t="b">
        <v>0</v>
      </c>
    </row>
    <row r="404">
      <c r="A404" s="216" t="s">
        <v>1776</v>
      </c>
      <c r="B404" s="217">
        <v>33.0</v>
      </c>
      <c r="C404" s="217">
        <v>11.0</v>
      </c>
      <c r="D404" s="218">
        <v>52.117842</v>
      </c>
      <c r="E404" s="218">
        <v>5.383052</v>
      </c>
      <c r="F404" s="216" t="s">
        <v>70</v>
      </c>
      <c r="G404" s="216" t="s">
        <v>71</v>
      </c>
      <c r="I404" s="221"/>
      <c r="J404" s="222"/>
      <c r="K404" s="216" t="b">
        <v>0</v>
      </c>
    </row>
    <row r="405">
      <c r="A405" s="216" t="s">
        <v>1777</v>
      </c>
      <c r="B405" s="217">
        <v>33.0</v>
      </c>
      <c r="C405" s="217">
        <v>12.0</v>
      </c>
      <c r="D405" s="218">
        <v>52.117842</v>
      </c>
      <c r="E405" s="218">
        <v>5.383286</v>
      </c>
      <c r="F405" s="216" t="s">
        <v>70</v>
      </c>
      <c r="G405" s="216" t="s">
        <v>71</v>
      </c>
      <c r="I405" s="221"/>
      <c r="J405" s="222"/>
      <c r="K405" s="216" t="b">
        <v>0</v>
      </c>
    </row>
    <row r="406">
      <c r="A406" s="216" t="s">
        <v>1778</v>
      </c>
      <c r="B406" s="217">
        <v>33.0</v>
      </c>
      <c r="C406" s="217">
        <v>13.0</v>
      </c>
      <c r="D406" s="218">
        <v>52.117842</v>
      </c>
      <c r="E406" s="218">
        <v>5.38352</v>
      </c>
      <c r="F406" s="216" t="s">
        <v>125</v>
      </c>
      <c r="G406" s="216" t="s">
        <v>126</v>
      </c>
      <c r="I406" s="221"/>
      <c r="J406" s="222"/>
      <c r="K406" s="216" t="b">
        <v>0</v>
      </c>
    </row>
    <row r="407">
      <c r="A407" s="216" t="s">
        <v>1779</v>
      </c>
      <c r="B407" s="217">
        <v>33.0</v>
      </c>
      <c r="C407" s="217">
        <v>14.0</v>
      </c>
      <c r="D407" s="218">
        <v>52.117842</v>
      </c>
      <c r="E407" s="218">
        <v>5.383754</v>
      </c>
      <c r="F407" s="216" t="s">
        <v>125</v>
      </c>
      <c r="G407" s="216" t="s">
        <v>126</v>
      </c>
      <c r="I407" s="221"/>
      <c r="J407" s="222"/>
      <c r="K407" s="216" t="b">
        <v>0</v>
      </c>
    </row>
    <row r="408">
      <c r="A408" s="216" t="s">
        <v>1780</v>
      </c>
      <c r="B408" s="217">
        <v>33.0</v>
      </c>
      <c r="C408" s="217">
        <v>15.0</v>
      </c>
      <c r="D408" s="218">
        <v>52.117842</v>
      </c>
      <c r="E408" s="218">
        <v>5.383988</v>
      </c>
      <c r="F408" s="216" t="s">
        <v>125</v>
      </c>
      <c r="G408" s="216" t="s">
        <v>126</v>
      </c>
      <c r="I408" s="221"/>
      <c r="J408" s="222"/>
      <c r="K408" s="216" t="b">
        <v>0</v>
      </c>
    </row>
    <row r="409">
      <c r="A409" s="216" t="s">
        <v>1781</v>
      </c>
      <c r="B409" s="217">
        <v>33.0</v>
      </c>
      <c r="C409" s="217">
        <v>16.0</v>
      </c>
      <c r="D409" s="218">
        <v>52.117842</v>
      </c>
      <c r="E409" s="218">
        <v>5.384222</v>
      </c>
      <c r="F409" s="216" t="s">
        <v>125</v>
      </c>
      <c r="G409" s="216" t="s">
        <v>126</v>
      </c>
      <c r="I409" s="221"/>
      <c r="J409" s="222"/>
      <c r="K409" s="216" t="b">
        <v>0</v>
      </c>
    </row>
    <row r="410">
      <c r="A410" s="216" t="s">
        <v>1782</v>
      </c>
      <c r="B410" s="217">
        <v>33.0</v>
      </c>
      <c r="C410" s="217">
        <v>17.0</v>
      </c>
      <c r="D410" s="218">
        <v>52.117842</v>
      </c>
      <c r="E410" s="218">
        <v>5.384456</v>
      </c>
      <c r="F410" s="216" t="s">
        <v>125</v>
      </c>
      <c r="G410" s="216" t="s">
        <v>126</v>
      </c>
      <c r="I410" s="221"/>
      <c r="J410" s="222"/>
      <c r="K410" s="216" t="b">
        <v>0</v>
      </c>
    </row>
    <row r="411">
      <c r="A411" s="216" t="s">
        <v>1783</v>
      </c>
      <c r="B411" s="217">
        <v>33.0</v>
      </c>
      <c r="C411" s="217">
        <v>18.0</v>
      </c>
      <c r="D411" s="218">
        <v>52.117842</v>
      </c>
      <c r="E411" s="218">
        <v>5.38469</v>
      </c>
      <c r="F411" s="216" t="s">
        <v>125</v>
      </c>
      <c r="G411" s="216" t="s">
        <v>126</v>
      </c>
      <c r="I411" s="221"/>
      <c r="J411" s="222"/>
      <c r="K411" s="216" t="b">
        <v>0</v>
      </c>
    </row>
    <row r="412">
      <c r="A412" s="216" t="s">
        <v>1784</v>
      </c>
      <c r="B412" s="217">
        <v>33.0</v>
      </c>
      <c r="C412" s="217">
        <v>19.0</v>
      </c>
      <c r="D412" s="218">
        <v>52.117842</v>
      </c>
      <c r="E412" s="218">
        <v>5.384925</v>
      </c>
      <c r="F412" s="216" t="s">
        <v>125</v>
      </c>
      <c r="G412" s="216" t="s">
        <v>126</v>
      </c>
      <c r="I412" s="221"/>
      <c r="J412" s="222"/>
      <c r="K412" s="216" t="b">
        <v>0</v>
      </c>
    </row>
    <row r="413">
      <c r="A413" s="216" t="s">
        <v>1785</v>
      </c>
      <c r="B413" s="217">
        <v>33.0</v>
      </c>
      <c r="C413" s="217">
        <v>20.0</v>
      </c>
      <c r="D413" s="218">
        <v>52.117842</v>
      </c>
      <c r="E413" s="218">
        <v>5.385159</v>
      </c>
      <c r="F413" s="216" t="s">
        <v>125</v>
      </c>
      <c r="G413" s="216" t="s">
        <v>126</v>
      </c>
      <c r="I413" s="221"/>
      <c r="J413" s="222"/>
      <c r="K413" s="216" t="b">
        <v>0</v>
      </c>
    </row>
    <row r="414">
      <c r="A414" s="216" t="s">
        <v>1786</v>
      </c>
      <c r="B414" s="217">
        <v>33.0</v>
      </c>
      <c r="C414" s="217">
        <v>21.0</v>
      </c>
      <c r="D414" s="218">
        <v>52.117842</v>
      </c>
      <c r="E414" s="218">
        <v>5.385393</v>
      </c>
      <c r="F414" s="216" t="s">
        <v>125</v>
      </c>
      <c r="G414" s="216" t="s">
        <v>126</v>
      </c>
      <c r="I414" s="221"/>
      <c r="J414" s="222"/>
      <c r="K414" s="216" t="b">
        <v>0</v>
      </c>
    </row>
    <row r="415">
      <c r="A415" s="216" t="s">
        <v>1787</v>
      </c>
      <c r="B415" s="217">
        <v>33.0</v>
      </c>
      <c r="C415" s="217">
        <v>22.0</v>
      </c>
      <c r="D415" s="218">
        <v>52.117842</v>
      </c>
      <c r="E415" s="218">
        <v>5.385627</v>
      </c>
      <c r="F415" s="216" t="s">
        <v>125</v>
      </c>
      <c r="G415" s="216" t="s">
        <v>126</v>
      </c>
      <c r="I415" s="221"/>
      <c r="J415" s="222"/>
      <c r="K415" s="216" t="b">
        <v>0</v>
      </c>
    </row>
    <row r="416">
      <c r="A416" s="216" t="s">
        <v>1788</v>
      </c>
      <c r="B416" s="217">
        <v>33.0</v>
      </c>
      <c r="C416" s="217">
        <v>23.0</v>
      </c>
      <c r="D416" s="218">
        <v>52.117842</v>
      </c>
      <c r="E416" s="218">
        <v>5.385861</v>
      </c>
      <c r="F416" s="216" t="s">
        <v>125</v>
      </c>
      <c r="G416" s="216" t="s">
        <v>126</v>
      </c>
      <c r="I416" s="221"/>
      <c r="J416" s="222"/>
      <c r="K416" s="216" t="b">
        <v>0</v>
      </c>
    </row>
    <row r="417">
      <c r="A417" s="216" t="s">
        <v>1789</v>
      </c>
      <c r="B417" s="217">
        <v>33.0</v>
      </c>
      <c r="C417" s="217">
        <v>24.0</v>
      </c>
      <c r="D417" s="218">
        <v>52.117842</v>
      </c>
      <c r="E417" s="218">
        <v>5.386095</v>
      </c>
      <c r="F417" s="216" t="s">
        <v>100</v>
      </c>
      <c r="G417" s="216" t="s">
        <v>101</v>
      </c>
      <c r="I417" s="221"/>
      <c r="J417" s="222"/>
      <c r="K417" s="216" t="b">
        <v>0</v>
      </c>
    </row>
    <row r="418">
      <c r="A418" s="216" t="s">
        <v>1790</v>
      </c>
      <c r="B418" s="217">
        <v>33.0</v>
      </c>
      <c r="C418" s="217">
        <v>25.0</v>
      </c>
      <c r="D418" s="218">
        <v>52.117842</v>
      </c>
      <c r="E418" s="218">
        <v>5.386329</v>
      </c>
      <c r="F418" s="216" t="s">
        <v>100</v>
      </c>
      <c r="G418" s="216" t="s">
        <v>101</v>
      </c>
      <c r="I418" s="221"/>
      <c r="J418" s="222"/>
      <c r="K418" s="216" t="b">
        <v>0</v>
      </c>
    </row>
    <row r="419">
      <c r="A419" s="216" t="s">
        <v>1791</v>
      </c>
      <c r="B419" s="217">
        <v>33.0</v>
      </c>
      <c r="C419" s="217">
        <v>26.0</v>
      </c>
      <c r="D419" s="218">
        <v>52.117842</v>
      </c>
      <c r="E419" s="218">
        <v>5.386563</v>
      </c>
      <c r="F419" s="216" t="s">
        <v>100</v>
      </c>
      <c r="G419" s="216" t="s">
        <v>101</v>
      </c>
      <c r="I419" s="221"/>
      <c r="J419" s="222"/>
      <c r="K419" s="216" t="b">
        <v>0</v>
      </c>
    </row>
    <row r="420">
      <c r="A420" s="216" t="s">
        <v>1792</v>
      </c>
      <c r="B420" s="217">
        <v>33.0</v>
      </c>
      <c r="C420" s="217">
        <v>29.0</v>
      </c>
      <c r="D420" s="218">
        <v>52.117842</v>
      </c>
      <c r="E420" s="218">
        <v>5.387265</v>
      </c>
      <c r="F420" s="216" t="s">
        <v>100</v>
      </c>
      <c r="G420" s="216" t="s">
        <v>101</v>
      </c>
      <c r="I420" s="221"/>
      <c r="J420" s="222"/>
      <c r="K420" s="216" t="b">
        <v>0</v>
      </c>
    </row>
    <row r="421">
      <c r="A421" s="216" t="s">
        <v>1793</v>
      </c>
      <c r="B421" s="217">
        <v>33.0</v>
      </c>
      <c r="C421" s="217">
        <v>30.0</v>
      </c>
      <c r="D421" s="218">
        <v>52.117842</v>
      </c>
      <c r="E421" s="218">
        <v>5.387499</v>
      </c>
      <c r="F421" s="216" t="s">
        <v>100</v>
      </c>
      <c r="G421" s="216" t="s">
        <v>101</v>
      </c>
      <c r="I421" s="221"/>
      <c r="J421" s="222"/>
      <c r="K421" s="216" t="b">
        <v>0</v>
      </c>
    </row>
    <row r="422">
      <c r="A422" s="216" t="s">
        <v>1794</v>
      </c>
      <c r="B422" s="217">
        <v>33.0</v>
      </c>
      <c r="C422" s="217">
        <v>31.0</v>
      </c>
      <c r="D422" s="218">
        <v>52.117842</v>
      </c>
      <c r="E422" s="218">
        <v>5.387733</v>
      </c>
      <c r="F422" s="216" t="s">
        <v>100</v>
      </c>
      <c r="G422" s="216" t="s">
        <v>101</v>
      </c>
      <c r="I422" s="221"/>
      <c r="J422" s="222"/>
      <c r="K422" s="216" t="b">
        <v>0</v>
      </c>
    </row>
    <row r="423">
      <c r="A423" s="216" t="s">
        <v>1795</v>
      </c>
      <c r="B423" s="217">
        <v>34.0</v>
      </c>
      <c r="C423" s="217">
        <v>11.0</v>
      </c>
      <c r="D423" s="218">
        <v>52.117698</v>
      </c>
      <c r="E423" s="218">
        <v>5.383052</v>
      </c>
      <c r="F423" s="216" t="s">
        <v>100</v>
      </c>
      <c r="G423" s="216" t="s">
        <v>101</v>
      </c>
      <c r="I423" s="221"/>
      <c r="J423" s="222"/>
      <c r="K423" s="216" t="b">
        <v>0</v>
      </c>
    </row>
    <row r="424">
      <c r="A424" s="216" t="s">
        <v>1796</v>
      </c>
      <c r="B424" s="217">
        <v>34.0</v>
      </c>
      <c r="C424" s="217">
        <v>12.0</v>
      </c>
      <c r="D424" s="218">
        <v>52.117698</v>
      </c>
      <c r="E424" s="218">
        <v>5.383286</v>
      </c>
      <c r="F424" s="216" t="s">
        <v>51</v>
      </c>
      <c r="G424" s="216" t="s">
        <v>52</v>
      </c>
      <c r="I424" s="221"/>
      <c r="J424" s="222"/>
      <c r="K424" s="216" t="b">
        <v>0</v>
      </c>
    </row>
    <row r="425">
      <c r="A425" s="216" t="s">
        <v>1797</v>
      </c>
      <c r="B425" s="217">
        <v>34.0</v>
      </c>
      <c r="C425" s="217">
        <v>13.0</v>
      </c>
      <c r="D425" s="218">
        <v>52.117698</v>
      </c>
      <c r="E425" s="218">
        <v>5.38352</v>
      </c>
      <c r="F425" s="216" t="s">
        <v>125</v>
      </c>
      <c r="G425" s="216" t="s">
        <v>126</v>
      </c>
      <c r="I425" s="221"/>
      <c r="J425" s="222"/>
      <c r="K425" s="216" t="b">
        <v>0</v>
      </c>
    </row>
    <row r="426">
      <c r="A426" s="216" t="s">
        <v>1798</v>
      </c>
      <c r="B426" s="217">
        <v>34.0</v>
      </c>
      <c r="C426" s="217">
        <v>14.0</v>
      </c>
      <c r="D426" s="218">
        <v>52.117698</v>
      </c>
      <c r="E426" s="218">
        <v>5.383754</v>
      </c>
      <c r="F426" s="216" t="s">
        <v>125</v>
      </c>
      <c r="G426" s="216" t="s">
        <v>126</v>
      </c>
      <c r="I426" s="221"/>
      <c r="J426" s="222"/>
      <c r="K426" s="216" t="b">
        <v>0</v>
      </c>
    </row>
    <row r="427">
      <c r="A427" s="216" t="s">
        <v>1799</v>
      </c>
      <c r="B427" s="217">
        <v>34.0</v>
      </c>
      <c r="C427" s="217">
        <v>15.0</v>
      </c>
      <c r="D427" s="218">
        <v>52.117698</v>
      </c>
      <c r="E427" s="218">
        <v>5.383988</v>
      </c>
      <c r="F427" s="216" t="s">
        <v>125</v>
      </c>
      <c r="G427" s="216" t="s">
        <v>126</v>
      </c>
      <c r="I427" s="221"/>
      <c r="J427" s="222"/>
      <c r="K427" s="216" t="b">
        <v>0</v>
      </c>
    </row>
    <row r="428">
      <c r="A428" s="216" t="s">
        <v>1800</v>
      </c>
      <c r="B428" s="217">
        <v>34.0</v>
      </c>
      <c r="C428" s="217">
        <v>16.0</v>
      </c>
      <c r="D428" s="218">
        <v>52.117698</v>
      </c>
      <c r="E428" s="218">
        <v>5.384222</v>
      </c>
      <c r="F428" s="216" t="s">
        <v>125</v>
      </c>
      <c r="G428" s="216" t="s">
        <v>126</v>
      </c>
      <c r="I428" s="221"/>
      <c r="J428" s="222"/>
      <c r="K428" s="216" t="b">
        <v>0</v>
      </c>
    </row>
    <row r="429">
      <c r="A429" s="216" t="s">
        <v>1801</v>
      </c>
      <c r="B429" s="217">
        <v>34.0</v>
      </c>
      <c r="C429" s="217">
        <v>17.0</v>
      </c>
      <c r="D429" s="218">
        <v>52.117698</v>
      </c>
      <c r="E429" s="218">
        <v>5.384456</v>
      </c>
      <c r="F429" s="216" t="s">
        <v>70</v>
      </c>
      <c r="G429" s="216" t="s">
        <v>71</v>
      </c>
      <c r="I429" s="221"/>
      <c r="J429" s="222"/>
      <c r="K429" s="216" t="b">
        <v>0</v>
      </c>
    </row>
    <row r="430">
      <c r="A430" s="216" t="s">
        <v>1802</v>
      </c>
      <c r="B430" s="217">
        <v>34.0</v>
      </c>
      <c r="C430" s="217">
        <v>18.0</v>
      </c>
      <c r="D430" s="218">
        <v>52.117698</v>
      </c>
      <c r="E430" s="218">
        <v>5.38469</v>
      </c>
      <c r="F430" s="216" t="s">
        <v>70</v>
      </c>
      <c r="G430" s="216" t="s">
        <v>71</v>
      </c>
      <c r="I430" s="221"/>
      <c r="J430" s="222"/>
      <c r="K430" s="216" t="b">
        <v>0</v>
      </c>
    </row>
    <row r="431">
      <c r="A431" s="216" t="s">
        <v>1803</v>
      </c>
      <c r="B431" s="217">
        <v>34.0</v>
      </c>
      <c r="C431" s="217">
        <v>19.0</v>
      </c>
      <c r="D431" s="218">
        <v>52.117698</v>
      </c>
      <c r="E431" s="218">
        <v>5.384924</v>
      </c>
      <c r="F431" s="216" t="s">
        <v>78</v>
      </c>
      <c r="G431" s="216" t="s">
        <v>79</v>
      </c>
      <c r="I431" s="221"/>
      <c r="J431" s="222"/>
      <c r="K431" s="216" t="b">
        <v>0</v>
      </c>
    </row>
    <row r="432">
      <c r="A432" s="216" t="s">
        <v>1804</v>
      </c>
      <c r="B432" s="217">
        <v>34.0</v>
      </c>
      <c r="C432" s="217">
        <v>20.0</v>
      </c>
      <c r="D432" s="218">
        <v>52.117698</v>
      </c>
      <c r="E432" s="218">
        <v>5.385159</v>
      </c>
      <c r="F432" s="216" t="s">
        <v>78</v>
      </c>
      <c r="G432" s="216" t="s">
        <v>79</v>
      </c>
      <c r="I432" s="221"/>
      <c r="J432" s="222"/>
      <c r="K432" s="216" t="b">
        <v>0</v>
      </c>
    </row>
    <row r="433">
      <c r="A433" s="216" t="s">
        <v>1805</v>
      </c>
      <c r="B433" s="217">
        <v>34.0</v>
      </c>
      <c r="C433" s="217">
        <v>21.0</v>
      </c>
      <c r="D433" s="218">
        <v>52.117698</v>
      </c>
      <c r="E433" s="218">
        <v>5.385393</v>
      </c>
      <c r="F433" s="216" t="s">
        <v>125</v>
      </c>
      <c r="G433" s="216" t="s">
        <v>126</v>
      </c>
      <c r="I433" s="221"/>
      <c r="J433" s="222"/>
      <c r="K433" s="216" t="b">
        <v>0</v>
      </c>
    </row>
    <row r="434">
      <c r="A434" s="216" t="s">
        <v>1806</v>
      </c>
      <c r="B434" s="217">
        <v>34.0</v>
      </c>
      <c r="C434" s="217">
        <v>22.0</v>
      </c>
      <c r="D434" s="218">
        <v>52.117698</v>
      </c>
      <c r="E434" s="218">
        <v>5.385627</v>
      </c>
      <c r="F434" s="216" t="s">
        <v>125</v>
      </c>
      <c r="G434" s="216" t="s">
        <v>126</v>
      </c>
      <c r="I434" s="221"/>
      <c r="J434" s="222"/>
      <c r="K434" s="216" t="b">
        <v>0</v>
      </c>
    </row>
    <row r="435">
      <c r="A435" s="216" t="s">
        <v>1807</v>
      </c>
      <c r="B435" s="217">
        <v>34.0</v>
      </c>
      <c r="C435" s="217">
        <v>23.0</v>
      </c>
      <c r="D435" s="218">
        <v>52.117698</v>
      </c>
      <c r="E435" s="218">
        <v>5.385861</v>
      </c>
      <c r="F435" s="216" t="s">
        <v>100</v>
      </c>
      <c r="G435" s="216" t="s">
        <v>101</v>
      </c>
      <c r="I435" s="221"/>
      <c r="J435" s="222"/>
      <c r="K435" s="216" t="b">
        <v>0</v>
      </c>
    </row>
    <row r="436">
      <c r="A436" s="216" t="s">
        <v>1808</v>
      </c>
      <c r="B436" s="217">
        <v>34.0</v>
      </c>
      <c r="C436" s="217">
        <v>24.0</v>
      </c>
      <c r="D436" s="218">
        <v>52.117698</v>
      </c>
      <c r="E436" s="218">
        <v>5.386095</v>
      </c>
      <c r="F436" s="216" t="s">
        <v>100</v>
      </c>
      <c r="G436" s="216" t="s">
        <v>101</v>
      </c>
      <c r="I436" s="221"/>
      <c r="J436" s="222"/>
      <c r="K436" s="216" t="b">
        <v>0</v>
      </c>
    </row>
    <row r="437">
      <c r="A437" s="216" t="s">
        <v>1809</v>
      </c>
      <c r="B437" s="217">
        <v>35.0</v>
      </c>
      <c r="C437" s="217">
        <v>13.0</v>
      </c>
      <c r="D437" s="218">
        <v>52.117554</v>
      </c>
      <c r="E437" s="218">
        <v>5.38352</v>
      </c>
      <c r="F437" s="216" t="s">
        <v>100</v>
      </c>
      <c r="G437" s="216" t="s">
        <v>101</v>
      </c>
      <c r="H437" s="216" t="s">
        <v>1267</v>
      </c>
      <c r="I437" s="219" t="s">
        <v>1810</v>
      </c>
      <c r="J437" s="222"/>
      <c r="K437" s="216" t="b">
        <v>0</v>
      </c>
    </row>
    <row r="438">
      <c r="A438" s="216" t="s">
        <v>1811</v>
      </c>
      <c r="B438" s="217">
        <v>35.0</v>
      </c>
      <c r="C438" s="217">
        <v>14.0</v>
      </c>
      <c r="D438" s="218">
        <v>52.117554</v>
      </c>
      <c r="E438" s="218">
        <v>5.383754</v>
      </c>
      <c r="F438" s="216" t="s">
        <v>100</v>
      </c>
      <c r="G438" s="216" t="s">
        <v>101</v>
      </c>
      <c r="H438" s="216" t="s">
        <v>1812</v>
      </c>
      <c r="I438" s="219" t="s">
        <v>1813</v>
      </c>
      <c r="J438" s="222"/>
      <c r="K438" s="216" t="b">
        <v>0</v>
      </c>
    </row>
    <row r="439">
      <c r="A439" s="216" t="s">
        <v>1814</v>
      </c>
      <c r="B439" s="217">
        <v>35.0</v>
      </c>
      <c r="C439" s="217">
        <v>15.0</v>
      </c>
      <c r="D439" s="218">
        <v>52.117554</v>
      </c>
      <c r="E439" s="218">
        <v>5.383988</v>
      </c>
      <c r="F439" s="216" t="s">
        <v>125</v>
      </c>
      <c r="G439" s="216" t="s">
        <v>126</v>
      </c>
      <c r="H439" s="216" t="s">
        <v>1815</v>
      </c>
      <c r="I439" s="219" t="s">
        <v>1816</v>
      </c>
      <c r="J439" s="222"/>
      <c r="K439" s="216" t="b">
        <v>0</v>
      </c>
    </row>
    <row r="440">
      <c r="A440" s="216" t="s">
        <v>1817</v>
      </c>
      <c r="B440" s="217">
        <v>35.0</v>
      </c>
      <c r="C440" s="217">
        <v>16.0</v>
      </c>
      <c r="D440" s="218">
        <v>52.117554</v>
      </c>
      <c r="E440" s="218">
        <v>5.384222</v>
      </c>
      <c r="F440" s="216" t="s">
        <v>70</v>
      </c>
      <c r="G440" s="216" t="s">
        <v>71</v>
      </c>
      <c r="H440" s="216" t="s">
        <v>1267</v>
      </c>
      <c r="I440" s="219" t="s">
        <v>1818</v>
      </c>
      <c r="J440" s="222"/>
      <c r="K440" s="216" t="b">
        <v>0</v>
      </c>
    </row>
    <row r="441">
      <c r="A441" s="216" t="s">
        <v>1819</v>
      </c>
      <c r="B441" s="217">
        <v>35.0</v>
      </c>
      <c r="C441" s="217">
        <v>17.0</v>
      </c>
      <c r="D441" s="218">
        <v>52.117554</v>
      </c>
      <c r="E441" s="218">
        <v>5.384456</v>
      </c>
      <c r="F441" s="216" t="s">
        <v>78</v>
      </c>
      <c r="G441" s="216" t="s">
        <v>79</v>
      </c>
      <c r="H441" s="216" t="s">
        <v>1812</v>
      </c>
      <c r="I441" s="219" t="s">
        <v>1820</v>
      </c>
      <c r="J441" s="222"/>
      <c r="K441" s="216" t="b">
        <v>0</v>
      </c>
    </row>
    <row r="442">
      <c r="A442" s="216" t="s">
        <v>1821</v>
      </c>
      <c r="B442" s="217">
        <v>35.0</v>
      </c>
      <c r="C442" s="217">
        <v>18.0</v>
      </c>
      <c r="D442" s="218">
        <v>52.117554</v>
      </c>
      <c r="E442" s="218">
        <v>5.38469</v>
      </c>
      <c r="F442" s="216" t="s">
        <v>57</v>
      </c>
      <c r="G442" s="216" t="s">
        <v>58</v>
      </c>
      <c r="H442" s="216" t="s">
        <v>1815</v>
      </c>
      <c r="I442" s="219" t="s">
        <v>1822</v>
      </c>
      <c r="J442" s="222"/>
      <c r="K442" s="216" t="b">
        <v>0</v>
      </c>
    </row>
    <row r="443">
      <c r="A443" s="216" t="s">
        <v>1823</v>
      </c>
      <c r="B443" s="217">
        <v>35.0</v>
      </c>
      <c r="C443" s="217">
        <v>19.0</v>
      </c>
      <c r="D443" s="218">
        <v>52.117554</v>
      </c>
      <c r="E443" s="218">
        <v>5.384924</v>
      </c>
      <c r="F443" s="216" t="s">
        <v>70</v>
      </c>
      <c r="G443" s="216" t="s">
        <v>71</v>
      </c>
      <c r="H443" s="216" t="s">
        <v>1267</v>
      </c>
      <c r="I443" s="219" t="s">
        <v>1824</v>
      </c>
      <c r="J443" s="222"/>
      <c r="K443" s="216" t="b">
        <v>0</v>
      </c>
    </row>
    <row r="444">
      <c r="A444" s="216" t="s">
        <v>1825</v>
      </c>
      <c r="B444" s="217">
        <v>35.0</v>
      </c>
      <c r="C444" s="217">
        <v>20.0</v>
      </c>
      <c r="D444" s="218">
        <v>52.117554</v>
      </c>
      <c r="E444" s="218">
        <v>5.385159</v>
      </c>
      <c r="F444" s="216" t="s">
        <v>125</v>
      </c>
      <c r="G444" s="216" t="s">
        <v>126</v>
      </c>
      <c r="H444" s="216" t="s">
        <v>1812</v>
      </c>
      <c r="I444" s="219" t="s">
        <v>1826</v>
      </c>
      <c r="J444" s="222"/>
      <c r="K444" s="216" t="b">
        <v>0</v>
      </c>
    </row>
    <row r="445">
      <c r="A445" s="216" t="s">
        <v>1827</v>
      </c>
      <c r="B445" s="217">
        <v>35.0</v>
      </c>
      <c r="C445" s="217">
        <v>21.0</v>
      </c>
      <c r="D445" s="218">
        <v>52.117554</v>
      </c>
      <c r="E445" s="218">
        <v>5.385393</v>
      </c>
      <c r="F445" s="216" t="s">
        <v>100</v>
      </c>
      <c r="G445" s="216" t="s">
        <v>101</v>
      </c>
      <c r="H445" s="216" t="s">
        <v>1815</v>
      </c>
      <c r="I445" s="219" t="s">
        <v>1828</v>
      </c>
      <c r="J445" s="222"/>
      <c r="K445" s="216" t="b">
        <v>0</v>
      </c>
    </row>
    <row r="446">
      <c r="A446" s="216" t="s">
        <v>1829</v>
      </c>
      <c r="B446" s="217">
        <v>35.0</v>
      </c>
      <c r="C446" s="217">
        <v>22.0</v>
      </c>
      <c r="D446" s="218">
        <v>52.117554</v>
      </c>
      <c r="E446" s="218">
        <v>5.385627</v>
      </c>
      <c r="F446" s="216" t="s">
        <v>100</v>
      </c>
      <c r="G446" s="216" t="s">
        <v>101</v>
      </c>
      <c r="I446" s="221"/>
      <c r="J446" s="222"/>
      <c r="K446" s="216" t="b">
        <v>0</v>
      </c>
    </row>
    <row r="447">
      <c r="A447" s="216" t="s">
        <v>1830</v>
      </c>
      <c r="B447" s="217">
        <v>36.0</v>
      </c>
      <c r="C447" s="217">
        <v>14.0</v>
      </c>
      <c r="D447" s="218">
        <v>52.117411</v>
      </c>
      <c r="E447" s="218">
        <v>5.383754</v>
      </c>
      <c r="F447" s="216" t="s">
        <v>100</v>
      </c>
      <c r="G447" s="216" t="s">
        <v>101</v>
      </c>
      <c r="I447" s="221"/>
      <c r="J447" s="222"/>
      <c r="K447" s="216" t="b">
        <v>0</v>
      </c>
    </row>
    <row r="448">
      <c r="A448" s="216" t="s">
        <v>1831</v>
      </c>
      <c r="B448" s="217">
        <v>36.0</v>
      </c>
      <c r="C448" s="217">
        <v>15.0</v>
      </c>
      <c r="D448" s="218">
        <v>52.117411</v>
      </c>
      <c r="E448" s="218">
        <v>5.383988</v>
      </c>
      <c r="F448" s="216" t="s">
        <v>100</v>
      </c>
      <c r="G448" s="216" t="s">
        <v>101</v>
      </c>
      <c r="I448" s="221"/>
      <c r="J448" s="222"/>
      <c r="K448" s="216" t="b">
        <v>0</v>
      </c>
    </row>
    <row r="449">
      <c r="A449" s="216" t="s">
        <v>1832</v>
      </c>
      <c r="B449" s="217">
        <v>36.0</v>
      </c>
      <c r="C449" s="217">
        <v>16.0</v>
      </c>
      <c r="D449" s="218">
        <v>52.117411</v>
      </c>
      <c r="E449" s="218">
        <v>5.384222</v>
      </c>
      <c r="F449" s="216" t="s">
        <v>877</v>
      </c>
      <c r="G449" s="216" t="s">
        <v>878</v>
      </c>
      <c r="I449" s="221"/>
      <c r="J449" s="222"/>
      <c r="K449" s="216" t="b">
        <v>0</v>
      </c>
    </row>
    <row r="450">
      <c r="A450" s="216" t="s">
        <v>1833</v>
      </c>
      <c r="B450" s="217">
        <v>36.0</v>
      </c>
      <c r="C450" s="217">
        <v>17.0</v>
      </c>
      <c r="D450" s="218">
        <v>52.117411</v>
      </c>
      <c r="E450" s="218">
        <v>5.384456</v>
      </c>
      <c r="F450" s="216" t="s">
        <v>100</v>
      </c>
      <c r="G450" s="216" t="s">
        <v>101</v>
      </c>
      <c r="I450" s="221"/>
      <c r="J450" s="222"/>
      <c r="K450" s="216" t="b">
        <v>0</v>
      </c>
    </row>
    <row r="451">
      <c r="A451" s="216" t="s">
        <v>1834</v>
      </c>
      <c r="B451" s="217">
        <v>36.0</v>
      </c>
      <c r="C451" s="217">
        <v>18.0</v>
      </c>
      <c r="D451" s="218">
        <v>52.117411</v>
      </c>
      <c r="E451" s="218">
        <v>5.38469</v>
      </c>
      <c r="F451" s="216" t="s">
        <v>100</v>
      </c>
      <c r="G451" s="216" t="s">
        <v>101</v>
      </c>
      <c r="I451" s="221"/>
      <c r="J451" s="222"/>
      <c r="K451" s="216" t="b">
        <v>0</v>
      </c>
    </row>
    <row r="452">
      <c r="A452" s="216" t="s">
        <v>1835</v>
      </c>
      <c r="B452" s="217">
        <v>36.0</v>
      </c>
      <c r="C452" s="217">
        <v>19.0</v>
      </c>
      <c r="D452" s="218">
        <v>52.117411</v>
      </c>
      <c r="E452" s="218">
        <v>5.384924</v>
      </c>
      <c r="F452" s="216" t="s">
        <v>100</v>
      </c>
      <c r="G452" s="216" t="s">
        <v>101</v>
      </c>
      <c r="I452" s="221"/>
      <c r="J452" s="222"/>
      <c r="K452" s="216" t="b">
        <v>0</v>
      </c>
    </row>
    <row r="453">
      <c r="A453" s="216" t="s">
        <v>1836</v>
      </c>
      <c r="B453" s="217">
        <v>36.0</v>
      </c>
      <c r="C453" s="217">
        <v>20.0</v>
      </c>
      <c r="D453" s="218">
        <v>52.117411</v>
      </c>
      <c r="E453" s="218">
        <v>5.385159</v>
      </c>
      <c r="F453" s="216" t="s">
        <v>100</v>
      </c>
      <c r="G453" s="216" t="s">
        <v>101</v>
      </c>
      <c r="I453" s="221"/>
      <c r="J453" s="222"/>
      <c r="K453" s="216" t="b">
        <v>0</v>
      </c>
    </row>
    <row r="454">
      <c r="A454" s="216" t="s">
        <v>1837</v>
      </c>
      <c r="B454" s="217">
        <v>37.0</v>
      </c>
      <c r="C454" s="217">
        <v>14.0</v>
      </c>
      <c r="D454" s="218">
        <v>52.117267</v>
      </c>
      <c r="E454" s="218">
        <v>5.383754</v>
      </c>
      <c r="F454" s="216" t="s">
        <v>100</v>
      </c>
      <c r="G454" s="216" t="s">
        <v>101</v>
      </c>
      <c r="I454" s="221"/>
      <c r="J454" s="222"/>
      <c r="K454" s="216" t="b">
        <v>0</v>
      </c>
    </row>
    <row r="455">
      <c r="A455" s="216" t="s">
        <v>1838</v>
      </c>
      <c r="B455" s="217">
        <v>37.0</v>
      </c>
      <c r="C455" s="217">
        <v>15.0</v>
      </c>
      <c r="D455" s="218">
        <v>52.117267</v>
      </c>
      <c r="E455" s="218">
        <v>5.383988</v>
      </c>
      <c r="F455" s="216" t="s">
        <v>877</v>
      </c>
      <c r="G455" s="216" t="s">
        <v>878</v>
      </c>
      <c r="I455" s="221"/>
      <c r="J455" s="222"/>
      <c r="K455" s="216" t="b">
        <v>0</v>
      </c>
    </row>
    <row r="456">
      <c r="A456" s="216" t="s">
        <v>1839</v>
      </c>
      <c r="B456" s="217">
        <v>37.0</v>
      </c>
      <c r="C456" s="217">
        <v>16.0</v>
      </c>
      <c r="D456" s="218">
        <v>52.117267</v>
      </c>
      <c r="E456" s="218">
        <v>5.384222</v>
      </c>
      <c r="F456" s="216" t="s">
        <v>100</v>
      </c>
      <c r="G456" s="216" t="s">
        <v>101</v>
      </c>
      <c r="I456" s="221"/>
      <c r="J456" s="222"/>
      <c r="K456" s="216" t="b">
        <v>0</v>
      </c>
    </row>
    <row r="457">
      <c r="A457" s="216" t="s">
        <v>1840</v>
      </c>
      <c r="B457" s="217">
        <v>37.0</v>
      </c>
      <c r="C457" s="217">
        <v>18.0</v>
      </c>
      <c r="D457" s="218">
        <v>52.117267</v>
      </c>
      <c r="E457" s="218">
        <v>5.38469</v>
      </c>
      <c r="F457" s="216" t="s">
        <v>100</v>
      </c>
      <c r="G457" s="216" t="s">
        <v>101</v>
      </c>
      <c r="I457" s="221"/>
      <c r="J457" s="222"/>
      <c r="K457" s="216" t="b">
        <v>0</v>
      </c>
    </row>
    <row r="458">
      <c r="A458" s="216" t="s">
        <v>1841</v>
      </c>
      <c r="B458" s="217">
        <v>37.0</v>
      </c>
      <c r="C458" s="217">
        <v>19.0</v>
      </c>
      <c r="D458" s="218">
        <v>52.117267</v>
      </c>
      <c r="E458" s="218">
        <v>5.384924</v>
      </c>
      <c r="F458" s="216" t="s">
        <v>877</v>
      </c>
      <c r="G458" s="216" t="s">
        <v>878</v>
      </c>
      <c r="I458" s="221"/>
      <c r="J458" s="222"/>
      <c r="K458" s="216" t="b">
        <v>0</v>
      </c>
    </row>
    <row r="459">
      <c r="A459" s="216" t="s">
        <v>1842</v>
      </c>
      <c r="B459" s="217">
        <v>37.0</v>
      </c>
      <c r="C459" s="217">
        <v>20.0</v>
      </c>
      <c r="D459" s="218">
        <v>52.117267</v>
      </c>
      <c r="E459" s="218">
        <v>5.385158</v>
      </c>
      <c r="F459" s="216" t="s">
        <v>100</v>
      </c>
      <c r="G459" s="216" t="s">
        <v>101</v>
      </c>
      <c r="I459" s="221"/>
      <c r="J459" s="222"/>
      <c r="K459" s="216" t="b">
        <v>0</v>
      </c>
    </row>
    <row r="460">
      <c r="A460" s="216" t="s">
        <v>1843</v>
      </c>
      <c r="B460" s="217">
        <v>38.0</v>
      </c>
      <c r="C460" s="217">
        <v>3.0</v>
      </c>
      <c r="D460" s="218">
        <v>52.117123</v>
      </c>
      <c r="E460" s="218">
        <v>5.381179</v>
      </c>
      <c r="F460" s="216" t="s">
        <v>1087</v>
      </c>
      <c r="G460" s="216" t="s">
        <v>1088</v>
      </c>
      <c r="H460" s="216" t="s">
        <v>1267</v>
      </c>
      <c r="I460" s="219" t="s">
        <v>1844</v>
      </c>
      <c r="J460" s="222"/>
      <c r="K460" s="216" t="b">
        <v>0</v>
      </c>
    </row>
    <row r="461">
      <c r="A461" s="216" t="s">
        <v>1845</v>
      </c>
      <c r="B461" s="217">
        <v>38.0</v>
      </c>
      <c r="C461" s="217">
        <v>4.0</v>
      </c>
      <c r="D461" s="218">
        <v>52.117123</v>
      </c>
      <c r="E461" s="218">
        <v>5.381413</v>
      </c>
      <c r="F461" s="216" t="s">
        <v>1087</v>
      </c>
      <c r="G461" s="216" t="s">
        <v>1088</v>
      </c>
      <c r="H461" s="216" t="s">
        <v>1812</v>
      </c>
      <c r="I461" s="219" t="s">
        <v>1846</v>
      </c>
      <c r="J461" s="222"/>
      <c r="K461" s="216" t="b">
        <v>0</v>
      </c>
    </row>
    <row r="462">
      <c r="A462" s="216" t="s">
        <v>1847</v>
      </c>
      <c r="B462" s="217">
        <v>38.0</v>
      </c>
      <c r="C462" s="217">
        <v>8.0</v>
      </c>
      <c r="D462" s="218">
        <v>52.117123</v>
      </c>
      <c r="E462" s="218">
        <v>5.38235</v>
      </c>
      <c r="F462" s="216" t="s">
        <v>1087</v>
      </c>
      <c r="G462" s="216" t="s">
        <v>1088</v>
      </c>
      <c r="H462" s="216" t="s">
        <v>1815</v>
      </c>
      <c r="I462" s="219" t="s">
        <v>1848</v>
      </c>
      <c r="J462" s="222"/>
      <c r="K462" s="216" t="b">
        <v>0</v>
      </c>
    </row>
    <row r="463">
      <c r="A463" s="216" t="s">
        <v>1849</v>
      </c>
      <c r="B463" s="217">
        <v>38.0</v>
      </c>
      <c r="C463" s="217">
        <v>9.0</v>
      </c>
      <c r="D463" s="218">
        <v>52.117123</v>
      </c>
      <c r="E463" s="218">
        <v>5.382584</v>
      </c>
      <c r="F463" s="216" t="s">
        <v>1087</v>
      </c>
      <c r="G463" s="216" t="s">
        <v>1088</v>
      </c>
      <c r="I463" s="221"/>
      <c r="J463" s="222"/>
      <c r="K463" s="216" t="b">
        <v>0</v>
      </c>
    </row>
    <row r="464">
      <c r="A464" s="216" t="s">
        <v>1850</v>
      </c>
      <c r="B464" s="217">
        <v>38.0</v>
      </c>
      <c r="C464" s="217">
        <v>14.0</v>
      </c>
      <c r="D464" s="218">
        <v>52.117123</v>
      </c>
      <c r="E464" s="218">
        <v>5.383754</v>
      </c>
      <c r="F464" s="216" t="s">
        <v>125</v>
      </c>
      <c r="G464" s="216" t="s">
        <v>126</v>
      </c>
      <c r="I464" s="221"/>
      <c r="J464" s="222"/>
      <c r="K464" s="216" t="b">
        <v>0</v>
      </c>
    </row>
    <row r="465">
      <c r="A465" s="216" t="s">
        <v>1851</v>
      </c>
      <c r="B465" s="217">
        <v>38.0</v>
      </c>
      <c r="C465" s="217">
        <v>15.0</v>
      </c>
      <c r="D465" s="218">
        <v>52.117123</v>
      </c>
      <c r="E465" s="218">
        <v>5.383988</v>
      </c>
      <c r="F465" s="216" t="s">
        <v>100</v>
      </c>
      <c r="G465" s="216" t="s">
        <v>101</v>
      </c>
      <c r="I465" s="221"/>
      <c r="J465" s="222"/>
      <c r="K465" s="216" t="b">
        <v>0</v>
      </c>
    </row>
    <row r="466">
      <c r="A466" s="216" t="s">
        <v>1852</v>
      </c>
      <c r="B466" s="217">
        <v>38.0</v>
      </c>
      <c r="C466" s="217">
        <v>18.0</v>
      </c>
      <c r="D466" s="218">
        <v>52.117123</v>
      </c>
      <c r="E466" s="218">
        <v>5.38469</v>
      </c>
      <c r="F466" s="216" t="s">
        <v>100</v>
      </c>
      <c r="G466" s="216" t="s">
        <v>101</v>
      </c>
      <c r="I466" s="221"/>
      <c r="J466" s="222"/>
      <c r="K466" s="216" t="b">
        <v>0</v>
      </c>
    </row>
    <row r="467">
      <c r="A467" s="216" t="s">
        <v>1853</v>
      </c>
      <c r="B467" s="217">
        <v>38.0</v>
      </c>
      <c r="C467" s="217">
        <v>19.0</v>
      </c>
      <c r="D467" s="218">
        <v>52.117123</v>
      </c>
      <c r="E467" s="218">
        <v>5.384924</v>
      </c>
      <c r="F467" s="216" t="s">
        <v>125</v>
      </c>
      <c r="G467" s="216" t="s">
        <v>126</v>
      </c>
      <c r="I467" s="221"/>
      <c r="J467" s="222"/>
      <c r="K467" s="216" t="b">
        <v>0</v>
      </c>
    </row>
    <row r="468">
      <c r="A468" s="216" t="s">
        <v>1854</v>
      </c>
      <c r="B468" s="217">
        <v>38.0</v>
      </c>
      <c r="C468" s="217">
        <v>20.0</v>
      </c>
      <c r="D468" s="218">
        <v>52.117123</v>
      </c>
      <c r="E468" s="218">
        <v>5.385158</v>
      </c>
      <c r="F468" s="216" t="s">
        <v>100</v>
      </c>
      <c r="G468" s="216" t="s">
        <v>101</v>
      </c>
      <c r="I468" s="221"/>
      <c r="J468" s="222"/>
      <c r="K468" s="216" t="b">
        <v>0</v>
      </c>
    </row>
    <row r="469">
      <c r="A469" s="216" t="s">
        <v>1855</v>
      </c>
      <c r="B469" s="217">
        <v>38.0</v>
      </c>
      <c r="C469" s="217">
        <v>25.0</v>
      </c>
      <c r="D469" s="218">
        <v>52.117123</v>
      </c>
      <c r="E469" s="218">
        <v>5.386329</v>
      </c>
      <c r="F469" s="216" t="s">
        <v>1087</v>
      </c>
      <c r="G469" s="216" t="s">
        <v>1088</v>
      </c>
      <c r="H469" s="216" t="s">
        <v>1856</v>
      </c>
      <c r="I469" s="221"/>
      <c r="J469" s="222"/>
      <c r="K469" s="216" t="b">
        <v>0</v>
      </c>
    </row>
    <row r="470">
      <c r="A470" s="216" t="s">
        <v>1857</v>
      </c>
      <c r="B470" s="217">
        <v>38.0</v>
      </c>
      <c r="C470" s="217">
        <v>26.0</v>
      </c>
      <c r="D470" s="218">
        <v>52.117123</v>
      </c>
      <c r="E470" s="218">
        <v>5.386563</v>
      </c>
      <c r="F470" s="216" t="s">
        <v>1087</v>
      </c>
      <c r="G470" s="216" t="s">
        <v>1088</v>
      </c>
      <c r="H470" s="216" t="s">
        <v>1267</v>
      </c>
      <c r="I470" s="219" t="s">
        <v>1858</v>
      </c>
      <c r="J470" s="222"/>
      <c r="K470" s="216" t="b">
        <v>0</v>
      </c>
    </row>
    <row r="471">
      <c r="A471" s="216" t="s">
        <v>1859</v>
      </c>
      <c r="B471" s="217">
        <v>38.0</v>
      </c>
      <c r="C471" s="217">
        <v>30.0</v>
      </c>
      <c r="D471" s="218">
        <v>52.117123</v>
      </c>
      <c r="E471" s="218">
        <v>5.387499</v>
      </c>
      <c r="F471" s="216" t="s">
        <v>1087</v>
      </c>
      <c r="G471" s="216" t="s">
        <v>1088</v>
      </c>
      <c r="H471" s="216" t="s">
        <v>1812</v>
      </c>
      <c r="I471" s="219" t="s">
        <v>1860</v>
      </c>
      <c r="J471" s="222"/>
      <c r="K471" s="216" t="b">
        <v>0</v>
      </c>
    </row>
    <row r="472">
      <c r="A472" s="216" t="s">
        <v>1861</v>
      </c>
      <c r="B472" s="217">
        <v>38.0</v>
      </c>
      <c r="C472" s="217">
        <v>31.0</v>
      </c>
      <c r="D472" s="218">
        <v>52.117123</v>
      </c>
      <c r="E472" s="218">
        <v>5.387733</v>
      </c>
      <c r="F472" s="216" t="s">
        <v>1087</v>
      </c>
      <c r="G472" s="216" t="s">
        <v>1088</v>
      </c>
      <c r="H472" s="216" t="s">
        <v>1815</v>
      </c>
      <c r="I472" s="219" t="s">
        <v>1862</v>
      </c>
      <c r="J472" s="222"/>
      <c r="K472" s="216" t="b">
        <v>0</v>
      </c>
    </row>
    <row r="473">
      <c r="A473" s="216" t="s">
        <v>1863</v>
      </c>
      <c r="B473" s="217">
        <v>39.0</v>
      </c>
      <c r="C473" s="217">
        <v>2.0</v>
      </c>
      <c r="D473" s="218">
        <v>52.11698</v>
      </c>
      <c r="E473" s="218">
        <v>5.380945</v>
      </c>
      <c r="F473" s="216" t="s">
        <v>1087</v>
      </c>
      <c r="G473" s="216" t="s">
        <v>1088</v>
      </c>
      <c r="H473" s="216" t="s">
        <v>1856</v>
      </c>
      <c r="I473" s="221"/>
      <c r="J473" s="222"/>
      <c r="K473" s="216" t="b">
        <v>0</v>
      </c>
    </row>
    <row r="474">
      <c r="A474" s="216" t="s">
        <v>1864</v>
      </c>
      <c r="B474" s="217">
        <v>39.0</v>
      </c>
      <c r="C474" s="217">
        <v>5.0</v>
      </c>
      <c r="D474" s="218">
        <v>52.11698</v>
      </c>
      <c r="E474" s="218">
        <v>5.381647</v>
      </c>
      <c r="F474" s="216" t="s">
        <v>1087</v>
      </c>
      <c r="G474" s="216" t="s">
        <v>1088</v>
      </c>
      <c r="I474" s="221"/>
      <c r="J474" s="222"/>
      <c r="K474" s="216" t="b">
        <v>0</v>
      </c>
    </row>
    <row r="475">
      <c r="A475" s="216" t="s">
        <v>1865</v>
      </c>
      <c r="B475" s="217">
        <v>39.0</v>
      </c>
      <c r="C475" s="217">
        <v>7.0</v>
      </c>
      <c r="D475" s="218">
        <v>52.11698</v>
      </c>
      <c r="E475" s="218">
        <v>5.382116</v>
      </c>
      <c r="F475" s="216" t="s">
        <v>1087</v>
      </c>
      <c r="G475" s="216" t="s">
        <v>1088</v>
      </c>
      <c r="I475" s="221"/>
      <c r="J475" s="222"/>
      <c r="K475" s="216" t="b">
        <v>0</v>
      </c>
    </row>
    <row r="476">
      <c r="A476" s="216" t="s">
        <v>1866</v>
      </c>
      <c r="B476" s="217">
        <v>39.0</v>
      </c>
      <c r="C476" s="217">
        <v>10.0</v>
      </c>
      <c r="D476" s="218">
        <v>52.11698</v>
      </c>
      <c r="E476" s="218">
        <v>5.382818</v>
      </c>
      <c r="F476" s="216" t="s">
        <v>1087</v>
      </c>
      <c r="G476" s="216" t="s">
        <v>1088</v>
      </c>
      <c r="I476" s="221"/>
      <c r="J476" s="222"/>
      <c r="K476" s="216" t="b">
        <v>0</v>
      </c>
    </row>
    <row r="477">
      <c r="A477" s="216" t="s">
        <v>1867</v>
      </c>
      <c r="B477" s="217">
        <v>39.0</v>
      </c>
      <c r="C477" s="217">
        <v>14.0</v>
      </c>
      <c r="D477" s="218">
        <v>52.11698</v>
      </c>
      <c r="E477" s="218">
        <v>5.383754</v>
      </c>
      <c r="F477" s="216" t="s">
        <v>132</v>
      </c>
      <c r="G477" s="216" t="s">
        <v>133</v>
      </c>
      <c r="I477" s="221"/>
      <c r="J477" s="222"/>
      <c r="K477" s="216" t="b">
        <v>0</v>
      </c>
    </row>
    <row r="478">
      <c r="A478" s="216" t="s">
        <v>1868</v>
      </c>
      <c r="B478" s="217">
        <v>39.0</v>
      </c>
      <c r="C478" s="217">
        <v>19.0</v>
      </c>
      <c r="D478" s="218">
        <v>52.11698</v>
      </c>
      <c r="E478" s="218">
        <v>5.384924</v>
      </c>
      <c r="F478" s="216" t="s">
        <v>132</v>
      </c>
      <c r="G478" s="216" t="s">
        <v>133</v>
      </c>
      <c r="I478" s="221"/>
      <c r="J478" s="222"/>
      <c r="K478" s="216" t="b">
        <v>0</v>
      </c>
    </row>
    <row r="479">
      <c r="A479" s="216" t="s">
        <v>1869</v>
      </c>
      <c r="B479" s="217">
        <v>39.0</v>
      </c>
      <c r="C479" s="217">
        <v>20.0</v>
      </c>
      <c r="D479" s="218">
        <v>52.11698</v>
      </c>
      <c r="E479" s="218">
        <v>5.385158</v>
      </c>
      <c r="F479" s="216" t="s">
        <v>132</v>
      </c>
      <c r="G479" s="216" t="s">
        <v>133</v>
      </c>
      <c r="I479" s="221"/>
      <c r="J479" s="222"/>
      <c r="K479" s="216" t="b">
        <v>0</v>
      </c>
    </row>
    <row r="480">
      <c r="A480" s="216" t="s">
        <v>1870</v>
      </c>
      <c r="B480" s="217">
        <v>39.0</v>
      </c>
      <c r="C480" s="217">
        <v>24.0</v>
      </c>
      <c r="D480" s="218">
        <v>52.11698</v>
      </c>
      <c r="E480" s="218">
        <v>5.386095</v>
      </c>
      <c r="F480" s="216" t="s">
        <v>1087</v>
      </c>
      <c r="G480" s="216" t="s">
        <v>1088</v>
      </c>
      <c r="H480" s="216" t="s">
        <v>1856</v>
      </c>
      <c r="I480" s="221"/>
      <c r="J480" s="222"/>
      <c r="K480" s="216" t="b">
        <v>0</v>
      </c>
    </row>
    <row r="481">
      <c r="A481" s="216" t="s">
        <v>1871</v>
      </c>
      <c r="B481" s="217">
        <v>39.0</v>
      </c>
      <c r="C481" s="217">
        <v>27.0</v>
      </c>
      <c r="D481" s="218">
        <v>52.11698</v>
      </c>
      <c r="E481" s="218">
        <v>5.386797</v>
      </c>
      <c r="F481" s="216" t="s">
        <v>1087</v>
      </c>
      <c r="G481" s="216" t="s">
        <v>1088</v>
      </c>
      <c r="I481" s="221"/>
      <c r="J481" s="222"/>
      <c r="K481" s="216" t="b">
        <v>0</v>
      </c>
    </row>
    <row r="482">
      <c r="A482" s="216" t="s">
        <v>1872</v>
      </c>
      <c r="B482" s="217">
        <v>39.0</v>
      </c>
      <c r="C482" s="217">
        <v>29.0</v>
      </c>
      <c r="D482" s="218">
        <v>52.11698</v>
      </c>
      <c r="E482" s="218">
        <v>5.387265</v>
      </c>
      <c r="F482" s="216" t="s">
        <v>1087</v>
      </c>
      <c r="G482" s="216" t="s">
        <v>1088</v>
      </c>
      <c r="I482" s="221"/>
      <c r="J482" s="222"/>
      <c r="K482" s="216" t="b">
        <v>0</v>
      </c>
    </row>
    <row r="483">
      <c r="A483" s="216" t="s">
        <v>1873</v>
      </c>
      <c r="B483" s="217">
        <v>39.0</v>
      </c>
      <c r="C483" s="217">
        <v>32.0</v>
      </c>
      <c r="D483" s="218">
        <v>52.11698</v>
      </c>
      <c r="E483" s="218">
        <v>5.387967</v>
      </c>
      <c r="F483" s="216" t="s">
        <v>1087</v>
      </c>
      <c r="G483" s="216" t="s">
        <v>1088</v>
      </c>
      <c r="I483" s="221"/>
      <c r="J483" s="222"/>
      <c r="K483" s="216" t="b">
        <v>0</v>
      </c>
    </row>
    <row r="484">
      <c r="A484" s="216" t="s">
        <v>1874</v>
      </c>
      <c r="B484" s="217">
        <v>40.0</v>
      </c>
      <c r="C484" s="217">
        <v>4.0</v>
      </c>
      <c r="D484" s="218">
        <v>52.116836</v>
      </c>
      <c r="E484" s="218">
        <v>5.381413</v>
      </c>
      <c r="F484" s="216" t="s">
        <v>1087</v>
      </c>
      <c r="G484" s="216" t="s">
        <v>1088</v>
      </c>
      <c r="H484" s="216" t="s">
        <v>53</v>
      </c>
      <c r="I484" s="219" t="s">
        <v>1875</v>
      </c>
      <c r="J484" s="220" t="s">
        <v>1346</v>
      </c>
      <c r="K484" s="216" t="b">
        <v>0</v>
      </c>
    </row>
    <row r="485">
      <c r="A485" s="216" t="s">
        <v>1876</v>
      </c>
      <c r="B485" s="217">
        <v>40.0</v>
      </c>
      <c r="C485" s="217">
        <v>7.0</v>
      </c>
      <c r="D485" s="218">
        <v>52.116836</v>
      </c>
      <c r="E485" s="218">
        <v>5.382116</v>
      </c>
      <c r="F485" s="216" t="s">
        <v>1087</v>
      </c>
      <c r="G485" s="216" t="s">
        <v>1088</v>
      </c>
      <c r="I485" s="221"/>
      <c r="J485" s="222"/>
      <c r="K485" s="216" t="b">
        <v>0</v>
      </c>
    </row>
    <row r="486">
      <c r="A486" s="216" t="s">
        <v>1877</v>
      </c>
      <c r="B486" s="217">
        <v>40.0</v>
      </c>
      <c r="C486" s="217">
        <v>10.0</v>
      </c>
      <c r="D486" s="218">
        <v>52.116836</v>
      </c>
      <c r="E486" s="218">
        <v>5.382818</v>
      </c>
      <c r="F486" s="216" t="s">
        <v>1087</v>
      </c>
      <c r="G486" s="216" t="s">
        <v>1088</v>
      </c>
      <c r="H486" s="216" t="s">
        <v>53</v>
      </c>
      <c r="I486" s="219" t="s">
        <v>1878</v>
      </c>
      <c r="J486" s="220" t="s">
        <v>1346</v>
      </c>
      <c r="K486" s="216" t="b">
        <v>0</v>
      </c>
    </row>
    <row r="487">
      <c r="A487" s="216" t="s">
        <v>1879</v>
      </c>
      <c r="B487" s="217">
        <v>40.0</v>
      </c>
      <c r="C487" s="217">
        <v>14.0</v>
      </c>
      <c r="D487" s="218">
        <v>52.116836</v>
      </c>
      <c r="E487" s="218">
        <v>5.383754</v>
      </c>
      <c r="F487" s="216" t="s">
        <v>132</v>
      </c>
      <c r="G487" s="216" t="s">
        <v>133</v>
      </c>
      <c r="I487" s="221"/>
      <c r="J487" s="222"/>
      <c r="K487" s="216" t="b">
        <v>0</v>
      </c>
    </row>
    <row r="488">
      <c r="A488" s="216" t="s">
        <v>1880</v>
      </c>
      <c r="B488" s="217">
        <v>40.0</v>
      </c>
      <c r="C488" s="217">
        <v>20.0</v>
      </c>
      <c r="D488" s="218">
        <v>52.116836</v>
      </c>
      <c r="E488" s="218">
        <v>5.385158</v>
      </c>
      <c r="F488" s="216" t="s">
        <v>132</v>
      </c>
      <c r="G488" s="216" t="s">
        <v>133</v>
      </c>
      <c r="I488" s="221"/>
      <c r="J488" s="222"/>
      <c r="K488" s="216" t="b">
        <v>0</v>
      </c>
    </row>
    <row r="489">
      <c r="A489" s="216" t="s">
        <v>1881</v>
      </c>
      <c r="B489" s="217">
        <v>40.0</v>
      </c>
      <c r="C489" s="217">
        <v>26.0</v>
      </c>
      <c r="D489" s="218">
        <v>52.116836</v>
      </c>
      <c r="E489" s="218">
        <v>5.386563</v>
      </c>
      <c r="F489" s="216" t="s">
        <v>1087</v>
      </c>
      <c r="G489" s="216" t="s">
        <v>1088</v>
      </c>
      <c r="H489" s="216" t="s">
        <v>53</v>
      </c>
      <c r="I489" s="219" t="s">
        <v>1882</v>
      </c>
      <c r="J489" s="220" t="s">
        <v>1346</v>
      </c>
      <c r="K489" s="216" t="b">
        <v>0</v>
      </c>
    </row>
    <row r="490">
      <c r="A490" s="216" t="s">
        <v>1883</v>
      </c>
      <c r="B490" s="217">
        <v>40.0</v>
      </c>
      <c r="C490" s="217">
        <v>31.0</v>
      </c>
      <c r="D490" s="218">
        <v>52.116836</v>
      </c>
      <c r="E490" s="218">
        <v>5.387733</v>
      </c>
      <c r="F490" s="216" t="s">
        <v>1087</v>
      </c>
      <c r="G490" s="216" t="s">
        <v>1088</v>
      </c>
      <c r="I490" s="221"/>
      <c r="J490" s="222"/>
      <c r="K490" s="216" t="b">
        <v>0</v>
      </c>
    </row>
    <row r="491">
      <c r="A491" s="216" t="s">
        <v>1884</v>
      </c>
      <c r="B491" s="217">
        <v>41.0</v>
      </c>
      <c r="C491" s="217">
        <v>3.0</v>
      </c>
      <c r="D491" s="218">
        <v>52.116692</v>
      </c>
      <c r="E491" s="218">
        <v>5.381179</v>
      </c>
      <c r="F491" s="216" t="s">
        <v>1087</v>
      </c>
      <c r="G491" s="216" t="s">
        <v>1088</v>
      </c>
      <c r="I491" s="221"/>
      <c r="J491" s="222"/>
      <c r="K491" s="216" t="b">
        <v>0</v>
      </c>
    </row>
    <row r="492">
      <c r="A492" s="216" t="s">
        <v>1885</v>
      </c>
      <c r="B492" s="217">
        <v>41.0</v>
      </c>
      <c r="C492" s="217">
        <v>7.0</v>
      </c>
      <c r="D492" s="218">
        <v>52.116692</v>
      </c>
      <c r="E492" s="218">
        <v>5.382116</v>
      </c>
      <c r="F492" s="216" t="s">
        <v>1087</v>
      </c>
      <c r="G492" s="216" t="s">
        <v>1088</v>
      </c>
      <c r="I492" s="221"/>
      <c r="J492" s="222"/>
      <c r="K492" s="216" t="b">
        <v>0</v>
      </c>
    </row>
    <row r="493">
      <c r="A493" s="216" t="s">
        <v>1886</v>
      </c>
      <c r="B493" s="217">
        <v>41.0</v>
      </c>
      <c r="C493" s="217">
        <v>10.0</v>
      </c>
      <c r="D493" s="218">
        <v>52.116692</v>
      </c>
      <c r="E493" s="218">
        <v>5.382818</v>
      </c>
      <c r="F493" s="216" t="s">
        <v>1087</v>
      </c>
      <c r="G493" s="216" t="s">
        <v>1088</v>
      </c>
      <c r="I493" s="221"/>
      <c r="J493" s="222"/>
      <c r="K493" s="216" t="b">
        <v>0</v>
      </c>
    </row>
    <row r="494">
      <c r="A494" s="216" t="s">
        <v>1887</v>
      </c>
      <c r="B494" s="217">
        <v>41.0</v>
      </c>
      <c r="C494" s="217">
        <v>14.0</v>
      </c>
      <c r="D494" s="218">
        <v>52.116692</v>
      </c>
      <c r="E494" s="218">
        <v>5.383754</v>
      </c>
      <c r="F494" s="216" t="s">
        <v>132</v>
      </c>
      <c r="G494" s="216" t="s">
        <v>133</v>
      </c>
      <c r="I494" s="221"/>
      <c r="J494" s="222"/>
      <c r="K494" s="216" t="b">
        <v>0</v>
      </c>
    </row>
    <row r="495">
      <c r="A495" s="216" t="s">
        <v>1888</v>
      </c>
      <c r="B495" s="217">
        <v>41.0</v>
      </c>
      <c r="C495" s="217">
        <v>20.0</v>
      </c>
      <c r="D495" s="218">
        <v>52.116692</v>
      </c>
      <c r="E495" s="218">
        <v>5.385158</v>
      </c>
      <c r="F495" s="216" t="s">
        <v>132</v>
      </c>
      <c r="G495" s="216" t="s">
        <v>133</v>
      </c>
      <c r="I495" s="221"/>
      <c r="J495" s="222"/>
      <c r="K495" s="216" t="b">
        <v>0</v>
      </c>
    </row>
    <row r="496">
      <c r="A496" s="216" t="s">
        <v>1889</v>
      </c>
      <c r="B496" s="217">
        <v>41.0</v>
      </c>
      <c r="C496" s="217">
        <v>25.0</v>
      </c>
      <c r="D496" s="218">
        <v>52.116692</v>
      </c>
      <c r="E496" s="218">
        <v>5.386329</v>
      </c>
      <c r="F496" s="216" t="s">
        <v>1087</v>
      </c>
      <c r="G496" s="216" t="s">
        <v>1088</v>
      </c>
      <c r="H496" s="216" t="s">
        <v>1856</v>
      </c>
      <c r="I496" s="221"/>
      <c r="J496" s="222"/>
      <c r="K496" s="216" t="b">
        <v>0</v>
      </c>
    </row>
    <row r="497">
      <c r="A497" s="216" t="s">
        <v>1890</v>
      </c>
      <c r="B497" s="217">
        <v>41.0</v>
      </c>
      <c r="C497" s="217">
        <v>30.0</v>
      </c>
      <c r="D497" s="218">
        <v>52.116692</v>
      </c>
      <c r="E497" s="218">
        <v>5.387499</v>
      </c>
      <c r="F497" s="216" t="s">
        <v>1087</v>
      </c>
      <c r="G497" s="216" t="s">
        <v>1088</v>
      </c>
      <c r="I497" s="221"/>
      <c r="J497" s="222"/>
      <c r="K497" s="216" t="b">
        <v>0</v>
      </c>
    </row>
    <row r="498">
      <c r="A498" s="216" t="s">
        <v>1891</v>
      </c>
      <c r="B498" s="217">
        <v>42.0</v>
      </c>
      <c r="C498" s="217">
        <v>2.0</v>
      </c>
      <c r="D498" s="218">
        <v>52.116548</v>
      </c>
      <c r="E498" s="218">
        <v>5.380945</v>
      </c>
      <c r="F498" s="216" t="s">
        <v>1087</v>
      </c>
      <c r="G498" s="216" t="s">
        <v>1088</v>
      </c>
      <c r="H498" s="216" t="s">
        <v>1491</v>
      </c>
      <c r="I498" s="219" t="s">
        <v>1892</v>
      </c>
      <c r="J498" s="222"/>
      <c r="K498" s="216" t="b">
        <v>0</v>
      </c>
    </row>
    <row r="499">
      <c r="A499" s="216" t="s">
        <v>1893</v>
      </c>
      <c r="B499" s="217">
        <v>42.0</v>
      </c>
      <c r="C499" s="217">
        <v>3.0</v>
      </c>
      <c r="D499" s="218">
        <v>52.116548</v>
      </c>
      <c r="E499" s="218">
        <v>5.381179</v>
      </c>
      <c r="F499" s="216" t="s">
        <v>1087</v>
      </c>
      <c r="G499" s="216" t="s">
        <v>1088</v>
      </c>
      <c r="H499" s="216" t="s">
        <v>1856</v>
      </c>
      <c r="I499" s="221"/>
      <c r="J499" s="222"/>
      <c r="K499" s="216" t="b">
        <v>0</v>
      </c>
    </row>
    <row r="500">
      <c r="A500" s="216" t="s">
        <v>1894</v>
      </c>
      <c r="B500" s="217">
        <v>42.0</v>
      </c>
      <c r="C500" s="217">
        <v>4.0</v>
      </c>
      <c r="D500" s="218">
        <v>52.116548</v>
      </c>
      <c r="E500" s="218">
        <v>5.381413</v>
      </c>
      <c r="F500" s="216" t="s">
        <v>1087</v>
      </c>
      <c r="G500" s="216" t="s">
        <v>1088</v>
      </c>
      <c r="I500" s="221"/>
      <c r="J500" s="222"/>
      <c r="K500" s="216" t="b">
        <v>0</v>
      </c>
    </row>
    <row r="501">
      <c r="A501" s="216" t="s">
        <v>1895</v>
      </c>
      <c r="B501" s="217">
        <v>42.0</v>
      </c>
      <c r="C501" s="217">
        <v>5.0</v>
      </c>
      <c r="D501" s="218">
        <v>52.116548</v>
      </c>
      <c r="E501" s="218">
        <v>5.381647</v>
      </c>
      <c r="F501" s="216" t="s">
        <v>1087</v>
      </c>
      <c r="G501" s="216" t="s">
        <v>1088</v>
      </c>
      <c r="H501" s="216" t="s">
        <v>1491</v>
      </c>
      <c r="I501" s="219" t="s">
        <v>1896</v>
      </c>
      <c r="J501" s="222"/>
      <c r="K501" s="216" t="b">
        <v>0</v>
      </c>
    </row>
    <row r="502">
      <c r="A502" s="216" t="s">
        <v>1897</v>
      </c>
      <c r="B502" s="217">
        <v>42.0</v>
      </c>
      <c r="C502" s="217">
        <v>8.0</v>
      </c>
      <c r="D502" s="218">
        <v>52.116548</v>
      </c>
      <c r="E502" s="218">
        <v>5.38235</v>
      </c>
      <c r="F502" s="216" t="s">
        <v>1087</v>
      </c>
      <c r="G502" s="216" t="s">
        <v>1088</v>
      </c>
      <c r="I502" s="221"/>
      <c r="J502" s="222"/>
      <c r="K502" s="216" t="b">
        <v>0</v>
      </c>
    </row>
    <row r="503">
      <c r="A503" s="216" t="s">
        <v>1898</v>
      </c>
      <c r="B503" s="217">
        <v>42.0</v>
      </c>
      <c r="C503" s="217">
        <v>9.0</v>
      </c>
      <c r="D503" s="218">
        <v>52.116548</v>
      </c>
      <c r="E503" s="218">
        <v>5.382584</v>
      </c>
      <c r="F503" s="216" t="s">
        <v>1087</v>
      </c>
      <c r="G503" s="216" t="s">
        <v>1088</v>
      </c>
      <c r="H503" s="216" t="s">
        <v>1856</v>
      </c>
      <c r="I503" s="221"/>
      <c r="J503" s="222"/>
      <c r="K503" s="216" t="b">
        <v>0</v>
      </c>
    </row>
    <row r="504">
      <c r="A504" s="216" t="s">
        <v>1899</v>
      </c>
      <c r="B504" s="217">
        <v>42.0</v>
      </c>
      <c r="C504" s="217">
        <v>13.0</v>
      </c>
      <c r="D504" s="218">
        <v>52.116548</v>
      </c>
      <c r="E504" s="218">
        <v>5.38352</v>
      </c>
      <c r="F504" s="216" t="s">
        <v>132</v>
      </c>
      <c r="G504" s="216" t="s">
        <v>133</v>
      </c>
      <c r="I504" s="221"/>
      <c r="J504" s="222"/>
      <c r="K504" s="216" t="b">
        <v>0</v>
      </c>
    </row>
    <row r="505">
      <c r="A505" s="216" t="s">
        <v>1900</v>
      </c>
      <c r="B505" s="217">
        <v>42.0</v>
      </c>
      <c r="C505" s="217">
        <v>20.0</v>
      </c>
      <c r="D505" s="218">
        <v>52.116548</v>
      </c>
      <c r="E505" s="218">
        <v>5.385158</v>
      </c>
      <c r="F505" s="216" t="s">
        <v>247</v>
      </c>
      <c r="G505" s="216" t="s">
        <v>248</v>
      </c>
      <c r="I505" s="221"/>
      <c r="J505" s="222"/>
      <c r="K505" s="216" t="b">
        <v>0</v>
      </c>
    </row>
    <row r="506">
      <c r="A506" s="216" t="s">
        <v>1901</v>
      </c>
      <c r="B506" s="217">
        <v>42.0</v>
      </c>
      <c r="C506" s="217">
        <v>24.0</v>
      </c>
      <c r="D506" s="218">
        <v>52.116548</v>
      </c>
      <c r="E506" s="218">
        <v>5.386095</v>
      </c>
      <c r="F506" s="216" t="s">
        <v>1087</v>
      </c>
      <c r="G506" s="216" t="s">
        <v>1088</v>
      </c>
      <c r="H506" s="216" t="s">
        <v>1267</v>
      </c>
      <c r="I506" s="219" t="s">
        <v>1902</v>
      </c>
      <c r="J506" s="222"/>
      <c r="K506" s="216" t="b">
        <v>0</v>
      </c>
    </row>
    <row r="507">
      <c r="A507" s="216" t="s">
        <v>1903</v>
      </c>
      <c r="B507" s="217">
        <v>42.0</v>
      </c>
      <c r="C507" s="217">
        <v>25.0</v>
      </c>
      <c r="D507" s="218">
        <v>52.116548</v>
      </c>
      <c r="E507" s="218">
        <v>5.386329</v>
      </c>
      <c r="F507" s="216" t="s">
        <v>1087</v>
      </c>
      <c r="G507" s="216" t="s">
        <v>1088</v>
      </c>
      <c r="H507" s="216" t="s">
        <v>1812</v>
      </c>
      <c r="I507" s="219" t="s">
        <v>1904</v>
      </c>
      <c r="J507" s="222"/>
      <c r="K507" s="216" t="b">
        <v>0</v>
      </c>
    </row>
    <row r="508">
      <c r="A508" s="216" t="s">
        <v>1905</v>
      </c>
      <c r="B508" s="217">
        <v>42.0</v>
      </c>
      <c r="C508" s="217">
        <v>26.0</v>
      </c>
      <c r="D508" s="218">
        <v>52.116548</v>
      </c>
      <c r="E508" s="218">
        <v>5.386563</v>
      </c>
      <c r="F508" s="216" t="s">
        <v>1087</v>
      </c>
      <c r="G508" s="216" t="s">
        <v>1088</v>
      </c>
      <c r="H508" s="216" t="s">
        <v>1815</v>
      </c>
      <c r="I508" s="219" t="s">
        <v>1906</v>
      </c>
      <c r="J508" s="222"/>
      <c r="K508" s="216" t="b">
        <v>0</v>
      </c>
    </row>
    <row r="509">
      <c r="A509" s="216" t="s">
        <v>1907</v>
      </c>
      <c r="B509" s="217">
        <v>42.0</v>
      </c>
      <c r="C509" s="217">
        <v>27.0</v>
      </c>
      <c r="D509" s="218">
        <v>52.116548</v>
      </c>
      <c r="E509" s="218">
        <v>5.386797</v>
      </c>
      <c r="F509" s="216" t="s">
        <v>1087</v>
      </c>
      <c r="G509" s="216" t="s">
        <v>1088</v>
      </c>
      <c r="H509" s="216" t="s">
        <v>1267</v>
      </c>
      <c r="I509" s="219" t="s">
        <v>1908</v>
      </c>
      <c r="J509" s="222"/>
      <c r="K509" s="216" t="b">
        <v>0</v>
      </c>
    </row>
    <row r="510">
      <c r="A510" s="216" t="s">
        <v>1909</v>
      </c>
      <c r="B510" s="217">
        <v>42.0</v>
      </c>
      <c r="C510" s="217">
        <v>29.0</v>
      </c>
      <c r="D510" s="218">
        <v>52.116548</v>
      </c>
      <c r="E510" s="218">
        <v>5.387265</v>
      </c>
      <c r="F510" s="216" t="s">
        <v>1087</v>
      </c>
      <c r="G510" s="216" t="s">
        <v>1088</v>
      </c>
      <c r="H510" s="216" t="s">
        <v>1812</v>
      </c>
      <c r="I510" s="219" t="s">
        <v>1910</v>
      </c>
      <c r="J510" s="222"/>
      <c r="K510" s="216" t="b">
        <v>0</v>
      </c>
    </row>
    <row r="511">
      <c r="A511" s="216" t="s">
        <v>1911</v>
      </c>
      <c r="B511" s="217">
        <v>42.0</v>
      </c>
      <c r="C511" s="217">
        <v>30.0</v>
      </c>
      <c r="D511" s="218">
        <v>52.116548</v>
      </c>
      <c r="E511" s="218">
        <v>5.387499</v>
      </c>
      <c r="F511" s="216" t="s">
        <v>1087</v>
      </c>
      <c r="G511" s="216" t="s">
        <v>1088</v>
      </c>
      <c r="H511" s="216" t="s">
        <v>1815</v>
      </c>
      <c r="I511" s="219" t="s">
        <v>1912</v>
      </c>
      <c r="J511" s="222"/>
      <c r="K511" s="216" t="b">
        <v>0</v>
      </c>
    </row>
    <row r="512">
      <c r="A512" s="216" t="s">
        <v>1913</v>
      </c>
      <c r="B512" s="217">
        <v>42.0</v>
      </c>
      <c r="C512" s="217">
        <v>31.0</v>
      </c>
      <c r="D512" s="218">
        <v>52.116548</v>
      </c>
      <c r="E512" s="218">
        <v>5.387733</v>
      </c>
      <c r="F512" s="216" t="s">
        <v>1087</v>
      </c>
      <c r="G512" s="216" t="s">
        <v>1088</v>
      </c>
      <c r="I512" s="221"/>
      <c r="J512" s="222"/>
      <c r="K512" s="216" t="b">
        <v>0</v>
      </c>
    </row>
    <row r="513">
      <c r="A513" s="216" t="s">
        <v>1914</v>
      </c>
      <c r="B513" s="217">
        <v>42.0</v>
      </c>
      <c r="C513" s="217">
        <v>32.0</v>
      </c>
      <c r="D513" s="218">
        <v>52.116548</v>
      </c>
      <c r="E513" s="218">
        <v>5.387967</v>
      </c>
      <c r="F513" s="216" t="s">
        <v>1087</v>
      </c>
      <c r="G513" s="216" t="s">
        <v>1088</v>
      </c>
      <c r="I513" s="221"/>
      <c r="J513" s="222"/>
      <c r="K513" s="216" t="b">
        <v>0</v>
      </c>
    </row>
    <row r="514">
      <c r="A514" s="216" t="s">
        <v>1915</v>
      </c>
      <c r="B514" s="217">
        <v>43.0</v>
      </c>
      <c r="C514" s="217">
        <v>1.0</v>
      </c>
      <c r="D514" s="218">
        <v>52.116405</v>
      </c>
      <c r="E514" s="218">
        <v>5.380711</v>
      </c>
      <c r="F514" s="216" t="s">
        <v>1191</v>
      </c>
      <c r="G514" s="216" t="s">
        <v>1192</v>
      </c>
      <c r="H514" s="216" t="s">
        <v>53</v>
      </c>
      <c r="I514" s="221"/>
      <c r="J514" s="220" t="s">
        <v>1346</v>
      </c>
      <c r="K514" s="216" t="b">
        <v>0</v>
      </c>
    </row>
    <row r="515">
      <c r="A515" s="216" t="s">
        <v>1916</v>
      </c>
      <c r="B515" s="217">
        <v>43.0</v>
      </c>
      <c r="C515" s="217">
        <v>2.0</v>
      </c>
      <c r="D515" s="218">
        <v>52.116405</v>
      </c>
      <c r="E515" s="218">
        <v>5.380945</v>
      </c>
      <c r="F515" s="216" t="s">
        <v>1191</v>
      </c>
      <c r="G515" s="216" t="s">
        <v>1192</v>
      </c>
      <c r="H515" s="216" t="s">
        <v>1267</v>
      </c>
      <c r="I515" s="219" t="s">
        <v>1917</v>
      </c>
      <c r="J515" s="222"/>
      <c r="K515" s="216" t="b">
        <v>0</v>
      </c>
    </row>
    <row r="516">
      <c r="A516" s="216" t="s">
        <v>1918</v>
      </c>
      <c r="B516" s="217">
        <v>43.0</v>
      </c>
      <c r="C516" s="217">
        <v>3.0</v>
      </c>
      <c r="D516" s="218">
        <v>52.116405</v>
      </c>
      <c r="E516" s="218">
        <v>5.381179</v>
      </c>
      <c r="F516" s="216" t="s">
        <v>1191</v>
      </c>
      <c r="G516" s="216" t="s">
        <v>1192</v>
      </c>
      <c r="H516" s="216" t="s">
        <v>1812</v>
      </c>
      <c r="I516" s="219" t="s">
        <v>1919</v>
      </c>
      <c r="J516" s="222"/>
      <c r="K516" s="216" t="b">
        <v>0</v>
      </c>
    </row>
    <row r="517">
      <c r="A517" s="216" t="s">
        <v>1920</v>
      </c>
      <c r="B517" s="217">
        <v>43.0</v>
      </c>
      <c r="C517" s="217">
        <v>4.0</v>
      </c>
      <c r="D517" s="218">
        <v>52.116405</v>
      </c>
      <c r="E517" s="218">
        <v>5.381413</v>
      </c>
      <c r="F517" s="216" t="s">
        <v>1191</v>
      </c>
      <c r="G517" s="216" t="s">
        <v>1192</v>
      </c>
      <c r="H517" s="216" t="s">
        <v>1815</v>
      </c>
      <c r="I517" s="219" t="s">
        <v>1921</v>
      </c>
      <c r="J517" s="220" t="s">
        <v>1346</v>
      </c>
      <c r="K517" s="216" t="b">
        <v>0</v>
      </c>
    </row>
    <row r="518">
      <c r="A518" s="216" t="s">
        <v>1922</v>
      </c>
      <c r="B518" s="217">
        <v>43.0</v>
      </c>
      <c r="C518" s="217">
        <v>5.0</v>
      </c>
      <c r="D518" s="218">
        <v>52.116405</v>
      </c>
      <c r="E518" s="218">
        <v>5.381647</v>
      </c>
      <c r="F518" s="216" t="s">
        <v>1191</v>
      </c>
      <c r="G518" s="216" t="s">
        <v>1192</v>
      </c>
      <c r="I518" s="221"/>
      <c r="J518" s="222"/>
      <c r="K518" s="216" t="b">
        <v>0</v>
      </c>
    </row>
    <row r="519">
      <c r="A519" s="216" t="s">
        <v>1923</v>
      </c>
      <c r="B519" s="217">
        <v>43.0</v>
      </c>
      <c r="C519" s="217">
        <v>6.0</v>
      </c>
      <c r="D519" s="218">
        <v>52.116405</v>
      </c>
      <c r="E519" s="218">
        <v>5.381881</v>
      </c>
      <c r="F519" s="216" t="s">
        <v>1191</v>
      </c>
      <c r="G519" s="216" t="s">
        <v>1192</v>
      </c>
      <c r="H519" s="216" t="s">
        <v>1924</v>
      </c>
      <c r="I519" s="219" t="s">
        <v>1925</v>
      </c>
      <c r="J519" s="220" t="s">
        <v>1926</v>
      </c>
      <c r="K519" s="216" t="b">
        <v>0</v>
      </c>
    </row>
    <row r="520">
      <c r="A520" s="216" t="s">
        <v>1927</v>
      </c>
      <c r="B520" s="217">
        <v>43.0</v>
      </c>
      <c r="C520" s="217">
        <v>7.0</v>
      </c>
      <c r="D520" s="218">
        <v>52.116405</v>
      </c>
      <c r="E520" s="218">
        <v>5.382115</v>
      </c>
      <c r="F520" s="216" t="s">
        <v>1191</v>
      </c>
      <c r="G520" s="216" t="s">
        <v>1192</v>
      </c>
      <c r="H520" s="216" t="s">
        <v>53</v>
      </c>
      <c r="I520" s="221"/>
      <c r="J520" s="220" t="s">
        <v>1346</v>
      </c>
      <c r="K520" s="216" t="b">
        <v>0</v>
      </c>
    </row>
    <row r="521">
      <c r="A521" s="216" t="s">
        <v>1928</v>
      </c>
      <c r="B521" s="217">
        <v>43.0</v>
      </c>
      <c r="C521" s="217">
        <v>8.0</v>
      </c>
      <c r="D521" s="218">
        <v>52.116405</v>
      </c>
      <c r="E521" s="218">
        <v>5.38235</v>
      </c>
      <c r="F521" s="216" t="s">
        <v>1191</v>
      </c>
      <c r="G521" s="216" t="s">
        <v>1192</v>
      </c>
      <c r="H521" s="216" t="s">
        <v>1504</v>
      </c>
      <c r="I521" s="219" t="s">
        <v>1929</v>
      </c>
      <c r="J521" s="222"/>
      <c r="K521" s="216" t="b">
        <v>0</v>
      </c>
    </row>
    <row r="522">
      <c r="A522" s="216" t="s">
        <v>1930</v>
      </c>
      <c r="B522" s="217">
        <v>43.0</v>
      </c>
      <c r="C522" s="217">
        <v>9.0</v>
      </c>
      <c r="D522" s="218">
        <v>52.116405</v>
      </c>
      <c r="E522" s="218">
        <v>5.382584</v>
      </c>
      <c r="F522" s="216" t="s">
        <v>1191</v>
      </c>
      <c r="G522" s="216" t="s">
        <v>1192</v>
      </c>
      <c r="H522" s="216" t="s">
        <v>1491</v>
      </c>
      <c r="I522" s="226" t="s">
        <v>1931</v>
      </c>
      <c r="J522" s="222"/>
      <c r="K522" s="216" t="b">
        <v>0</v>
      </c>
    </row>
    <row r="523">
      <c r="A523" s="216" t="s">
        <v>1932</v>
      </c>
      <c r="B523" s="217">
        <v>43.0</v>
      </c>
      <c r="C523" s="217">
        <v>10.0</v>
      </c>
      <c r="D523" s="218">
        <v>52.116405</v>
      </c>
      <c r="E523" s="218">
        <v>5.382818</v>
      </c>
      <c r="F523" s="216" t="s">
        <v>1191</v>
      </c>
      <c r="G523" s="216" t="s">
        <v>1192</v>
      </c>
      <c r="H523" s="216" t="s">
        <v>53</v>
      </c>
      <c r="I523" s="221"/>
      <c r="J523" s="220" t="s">
        <v>1346</v>
      </c>
      <c r="K523" s="216" t="b">
        <v>0</v>
      </c>
    </row>
    <row r="524">
      <c r="A524" s="216" t="s">
        <v>1933</v>
      </c>
      <c r="B524" s="217">
        <v>43.0</v>
      </c>
      <c r="C524" s="217">
        <v>11.0</v>
      </c>
      <c r="D524" s="218">
        <v>52.116405</v>
      </c>
      <c r="E524" s="218">
        <v>5.383052</v>
      </c>
      <c r="F524" s="216" t="s">
        <v>1191</v>
      </c>
      <c r="G524" s="216" t="s">
        <v>1192</v>
      </c>
      <c r="H524" s="216" t="s">
        <v>1924</v>
      </c>
      <c r="I524" s="219" t="s">
        <v>1934</v>
      </c>
      <c r="J524" s="220" t="s">
        <v>1926</v>
      </c>
      <c r="K524" s="216" t="b">
        <v>0</v>
      </c>
    </row>
    <row r="525">
      <c r="A525" s="216" t="s">
        <v>1935</v>
      </c>
      <c r="B525" s="217">
        <v>43.0</v>
      </c>
      <c r="C525" s="217">
        <v>13.0</v>
      </c>
      <c r="D525" s="218">
        <v>52.116405</v>
      </c>
      <c r="E525" s="218">
        <v>5.38352</v>
      </c>
      <c r="F525" s="216" t="s">
        <v>132</v>
      </c>
      <c r="G525" s="216" t="s">
        <v>133</v>
      </c>
      <c r="H525" s="216" t="s">
        <v>53</v>
      </c>
      <c r="I525" s="221"/>
      <c r="J525" s="220" t="s">
        <v>1346</v>
      </c>
      <c r="K525" s="216" t="b">
        <v>0</v>
      </c>
    </row>
    <row r="526">
      <c r="A526" s="216" t="s">
        <v>1936</v>
      </c>
      <c r="B526" s="217">
        <v>43.0</v>
      </c>
      <c r="C526" s="217">
        <v>20.0</v>
      </c>
      <c r="D526" s="218">
        <v>52.116405</v>
      </c>
      <c r="E526" s="218">
        <v>5.385158</v>
      </c>
      <c r="F526" s="216" t="s">
        <v>247</v>
      </c>
      <c r="G526" s="216" t="s">
        <v>248</v>
      </c>
      <c r="H526" s="216" t="s">
        <v>53</v>
      </c>
      <c r="I526" s="221"/>
      <c r="J526" s="220" t="s">
        <v>1346</v>
      </c>
      <c r="K526" s="216" t="b">
        <v>0</v>
      </c>
    </row>
    <row r="527">
      <c r="A527" s="216" t="s">
        <v>1937</v>
      </c>
      <c r="B527" s="217">
        <v>43.0</v>
      </c>
      <c r="C527" s="217">
        <v>23.0</v>
      </c>
      <c r="D527" s="218">
        <v>52.116405</v>
      </c>
      <c r="E527" s="218">
        <v>5.385861</v>
      </c>
      <c r="F527" s="216" t="s">
        <v>1191</v>
      </c>
      <c r="G527" s="216" t="s">
        <v>1192</v>
      </c>
      <c r="H527" s="216" t="s">
        <v>53</v>
      </c>
      <c r="I527" s="221"/>
      <c r="J527" s="220" t="s">
        <v>1346</v>
      </c>
      <c r="K527" s="216" t="b">
        <v>0</v>
      </c>
    </row>
    <row r="528">
      <c r="A528" s="216" t="s">
        <v>1938</v>
      </c>
      <c r="B528" s="217">
        <v>43.0</v>
      </c>
      <c r="C528" s="217">
        <v>24.0</v>
      </c>
      <c r="D528" s="218">
        <v>52.116405</v>
      </c>
      <c r="E528" s="218">
        <v>5.386095</v>
      </c>
      <c r="F528" s="216" t="s">
        <v>1191</v>
      </c>
      <c r="G528" s="216" t="s">
        <v>1192</v>
      </c>
      <c r="H528" s="216" t="s">
        <v>1924</v>
      </c>
      <c r="I528" s="219" t="s">
        <v>1939</v>
      </c>
      <c r="J528" s="220" t="s">
        <v>1926</v>
      </c>
      <c r="K528" s="216" t="b">
        <v>0</v>
      </c>
    </row>
    <row r="529">
      <c r="A529" s="216" t="s">
        <v>1940</v>
      </c>
      <c r="B529" s="217">
        <v>43.0</v>
      </c>
      <c r="C529" s="217">
        <v>25.0</v>
      </c>
      <c r="D529" s="218">
        <v>52.116405</v>
      </c>
      <c r="E529" s="218">
        <v>5.386329</v>
      </c>
      <c r="F529" s="216" t="s">
        <v>1191</v>
      </c>
      <c r="G529" s="216" t="s">
        <v>1192</v>
      </c>
      <c r="I529" s="221"/>
      <c r="J529" s="222"/>
      <c r="K529" s="216" t="b">
        <v>0</v>
      </c>
    </row>
    <row r="530">
      <c r="A530" s="216" t="s">
        <v>1941</v>
      </c>
      <c r="B530" s="217">
        <v>43.0</v>
      </c>
      <c r="C530" s="217">
        <v>26.0</v>
      </c>
      <c r="D530" s="218">
        <v>52.116405</v>
      </c>
      <c r="E530" s="218">
        <v>5.386563</v>
      </c>
      <c r="F530" s="216" t="s">
        <v>1191</v>
      </c>
      <c r="G530" s="216" t="s">
        <v>1192</v>
      </c>
      <c r="H530" s="216" t="s">
        <v>53</v>
      </c>
      <c r="I530" s="221"/>
      <c r="J530" s="220" t="s">
        <v>1346</v>
      </c>
      <c r="K530" s="216" t="b">
        <v>0</v>
      </c>
    </row>
    <row r="531">
      <c r="A531" s="216" t="s">
        <v>1942</v>
      </c>
      <c r="B531" s="217">
        <v>43.0</v>
      </c>
      <c r="C531" s="217">
        <v>27.0</v>
      </c>
      <c r="D531" s="218">
        <v>52.116405</v>
      </c>
      <c r="E531" s="218">
        <v>5.386797</v>
      </c>
      <c r="F531" s="216" t="s">
        <v>1191</v>
      </c>
      <c r="G531" s="216" t="s">
        <v>1192</v>
      </c>
      <c r="H531" s="216" t="s">
        <v>1924</v>
      </c>
      <c r="I531" s="219" t="s">
        <v>1943</v>
      </c>
      <c r="J531" s="220" t="s">
        <v>1926</v>
      </c>
      <c r="K531" s="216" t="b">
        <v>0</v>
      </c>
    </row>
    <row r="532">
      <c r="A532" s="216" t="s">
        <v>1944</v>
      </c>
      <c r="B532" s="217">
        <v>43.0</v>
      </c>
      <c r="C532" s="217">
        <v>28.0</v>
      </c>
      <c r="D532" s="218">
        <v>52.116405</v>
      </c>
      <c r="E532" s="218">
        <v>5.387031</v>
      </c>
      <c r="F532" s="216" t="s">
        <v>1191</v>
      </c>
      <c r="G532" s="216" t="s">
        <v>1192</v>
      </c>
      <c r="I532" s="221"/>
      <c r="J532" s="222"/>
      <c r="K532" s="216" t="b">
        <v>0</v>
      </c>
    </row>
    <row r="533">
      <c r="A533" s="216" t="s">
        <v>1945</v>
      </c>
      <c r="B533" s="217">
        <v>43.0</v>
      </c>
      <c r="C533" s="217">
        <v>29.0</v>
      </c>
      <c r="D533" s="218">
        <v>52.116405</v>
      </c>
      <c r="E533" s="218">
        <v>5.387265</v>
      </c>
      <c r="F533" s="216" t="s">
        <v>1191</v>
      </c>
      <c r="G533" s="216" t="s">
        <v>1192</v>
      </c>
      <c r="H533" s="216" t="s">
        <v>53</v>
      </c>
      <c r="I533" s="221"/>
      <c r="J533" s="220" t="s">
        <v>1346</v>
      </c>
      <c r="K533" s="216" t="b">
        <v>0</v>
      </c>
    </row>
    <row r="534">
      <c r="A534" s="216" t="s">
        <v>1946</v>
      </c>
      <c r="B534" s="217">
        <v>43.0</v>
      </c>
      <c r="C534" s="217">
        <v>30.0</v>
      </c>
      <c r="D534" s="218">
        <v>52.116405</v>
      </c>
      <c r="E534" s="218">
        <v>5.387499</v>
      </c>
      <c r="F534" s="216" t="s">
        <v>1191</v>
      </c>
      <c r="G534" s="216" t="s">
        <v>1192</v>
      </c>
      <c r="H534" s="216" t="s">
        <v>1947</v>
      </c>
      <c r="I534" s="221"/>
      <c r="J534" s="220" t="s">
        <v>1948</v>
      </c>
      <c r="K534" s="216" t="b">
        <v>0</v>
      </c>
    </row>
    <row r="535">
      <c r="A535" s="216" t="s">
        <v>1949</v>
      </c>
      <c r="B535" s="217">
        <v>43.0</v>
      </c>
      <c r="C535" s="217">
        <v>31.0</v>
      </c>
      <c r="D535" s="218">
        <v>52.116405</v>
      </c>
      <c r="E535" s="218">
        <v>5.387733</v>
      </c>
      <c r="F535" s="216" t="s">
        <v>1191</v>
      </c>
      <c r="G535" s="216" t="s">
        <v>1192</v>
      </c>
      <c r="H535" s="216" t="s">
        <v>1950</v>
      </c>
      <c r="I535" s="221"/>
      <c r="J535" s="220" t="s">
        <v>1948</v>
      </c>
      <c r="K535" s="216" t="b">
        <v>0</v>
      </c>
    </row>
    <row r="536">
      <c r="A536" s="216" t="s">
        <v>1951</v>
      </c>
      <c r="B536" s="217">
        <v>43.0</v>
      </c>
      <c r="C536" s="217">
        <v>32.0</v>
      </c>
      <c r="D536" s="218">
        <v>52.116405</v>
      </c>
      <c r="E536" s="218">
        <v>5.387967</v>
      </c>
      <c r="F536" s="216" t="s">
        <v>1191</v>
      </c>
      <c r="G536" s="216" t="s">
        <v>1192</v>
      </c>
      <c r="H536" s="216" t="s">
        <v>53</v>
      </c>
      <c r="I536" s="221"/>
      <c r="J536" s="220" t="s">
        <v>1346</v>
      </c>
      <c r="K536" s="216" t="b">
        <v>0</v>
      </c>
    </row>
    <row r="537">
      <c r="A537" s="216" t="s">
        <v>1952</v>
      </c>
      <c r="B537" s="217">
        <v>43.0</v>
      </c>
      <c r="C537" s="217">
        <v>33.0</v>
      </c>
      <c r="D537" s="218">
        <v>52.116405</v>
      </c>
      <c r="E537" s="218">
        <v>5.388201</v>
      </c>
      <c r="F537" s="216" t="s">
        <v>1191</v>
      </c>
      <c r="G537" s="216" t="s">
        <v>1192</v>
      </c>
      <c r="H537" s="216" t="s">
        <v>1953</v>
      </c>
      <c r="I537" s="221"/>
      <c r="J537" s="220" t="s">
        <v>1948</v>
      </c>
      <c r="K537" s="216" t="b">
        <v>0</v>
      </c>
    </row>
    <row r="538">
      <c r="A538" s="216" t="s">
        <v>1954</v>
      </c>
      <c r="B538" s="217">
        <v>44.0</v>
      </c>
      <c r="C538" s="217">
        <v>13.0</v>
      </c>
      <c r="D538" s="218">
        <v>52.116261</v>
      </c>
      <c r="E538" s="218">
        <v>5.38352</v>
      </c>
      <c r="F538" s="216" t="s">
        <v>247</v>
      </c>
      <c r="G538" s="216" t="s">
        <v>248</v>
      </c>
      <c r="I538" s="221"/>
      <c r="J538" s="222"/>
      <c r="K538" s="216" t="b">
        <v>0</v>
      </c>
    </row>
    <row r="539">
      <c r="A539" s="216" t="s">
        <v>1955</v>
      </c>
      <c r="B539" s="217">
        <v>44.0</v>
      </c>
      <c r="C539" s="217">
        <v>21.0</v>
      </c>
      <c r="D539" s="218">
        <v>52.116261</v>
      </c>
      <c r="E539" s="218">
        <v>5.385392</v>
      </c>
      <c r="F539" s="216" t="s">
        <v>247</v>
      </c>
      <c r="G539" s="216" t="s">
        <v>248</v>
      </c>
      <c r="I539" s="221"/>
      <c r="J539" s="222"/>
      <c r="K539" s="216" t="b">
        <v>0</v>
      </c>
    </row>
    <row r="540">
      <c r="A540" s="216" t="s">
        <v>1956</v>
      </c>
      <c r="B540" s="217">
        <v>45.0</v>
      </c>
      <c r="C540" s="217">
        <v>13.0</v>
      </c>
      <c r="D540" s="218">
        <v>52.116117</v>
      </c>
      <c r="E540" s="218">
        <v>5.38352</v>
      </c>
      <c r="F540" s="216" t="s">
        <v>247</v>
      </c>
      <c r="G540" s="216" t="s">
        <v>248</v>
      </c>
      <c r="I540" s="221"/>
      <c r="J540" s="222"/>
      <c r="K540" s="216" t="b">
        <v>0</v>
      </c>
    </row>
    <row r="541">
      <c r="A541" s="216" t="s">
        <v>1957</v>
      </c>
      <c r="B541" s="217">
        <v>45.0</v>
      </c>
      <c r="C541" s="217">
        <v>21.0</v>
      </c>
      <c r="D541" s="218">
        <v>52.116117</v>
      </c>
      <c r="E541" s="218">
        <v>5.385392</v>
      </c>
      <c r="F541" s="216" t="s">
        <v>247</v>
      </c>
      <c r="G541" s="216" t="s">
        <v>248</v>
      </c>
      <c r="I541" s="221"/>
      <c r="J541" s="222"/>
      <c r="K541" s="216" t="b">
        <v>0</v>
      </c>
    </row>
    <row r="542">
      <c r="A542" s="216" t="s">
        <v>1958</v>
      </c>
      <c r="B542" s="217">
        <v>46.0</v>
      </c>
      <c r="C542" s="217">
        <v>13.0</v>
      </c>
      <c r="D542" s="218">
        <v>52.115973</v>
      </c>
      <c r="E542" s="218">
        <v>5.38352</v>
      </c>
      <c r="F542" s="216" t="s">
        <v>247</v>
      </c>
      <c r="G542" s="216" t="s">
        <v>248</v>
      </c>
      <c r="I542" s="221"/>
      <c r="J542" s="222"/>
      <c r="K542" s="216" t="b">
        <v>0</v>
      </c>
    </row>
    <row r="543">
      <c r="A543" s="216" t="s">
        <v>1959</v>
      </c>
      <c r="B543" s="217">
        <v>46.0</v>
      </c>
      <c r="C543" s="217">
        <v>21.0</v>
      </c>
      <c r="D543" s="218">
        <v>52.115973</v>
      </c>
      <c r="E543" s="218">
        <v>5.385392</v>
      </c>
      <c r="F543" s="216" t="s">
        <v>247</v>
      </c>
      <c r="G543" s="216" t="s">
        <v>248</v>
      </c>
      <c r="I543" s="221"/>
      <c r="J543" s="222"/>
      <c r="K543" s="216" t="b">
        <v>0</v>
      </c>
    </row>
    <row r="544">
      <c r="A544" s="216" t="s">
        <v>1960</v>
      </c>
      <c r="B544" s="217">
        <v>47.0</v>
      </c>
      <c r="C544" s="217">
        <v>12.0</v>
      </c>
      <c r="D544" s="218">
        <v>52.11583</v>
      </c>
      <c r="E544" s="218">
        <v>5.383286</v>
      </c>
      <c r="F544" s="216" t="s">
        <v>132</v>
      </c>
      <c r="G544" s="216" t="s">
        <v>133</v>
      </c>
      <c r="I544" s="221"/>
      <c r="J544" s="222"/>
      <c r="K544" s="216" t="b">
        <v>0</v>
      </c>
    </row>
    <row r="545">
      <c r="A545" s="216" t="s">
        <v>1961</v>
      </c>
      <c r="B545" s="217">
        <v>47.0</v>
      </c>
      <c r="C545" s="217">
        <v>21.0</v>
      </c>
      <c r="D545" s="218">
        <v>52.11583</v>
      </c>
      <c r="E545" s="218">
        <v>5.385392</v>
      </c>
      <c r="F545" s="216" t="s">
        <v>132</v>
      </c>
      <c r="G545" s="216" t="s">
        <v>133</v>
      </c>
      <c r="I545" s="221"/>
      <c r="J545" s="222"/>
      <c r="K545" s="216" t="b">
        <v>0</v>
      </c>
    </row>
    <row r="546">
      <c r="A546" s="216" t="s">
        <v>1962</v>
      </c>
      <c r="B546" s="217">
        <v>48.0</v>
      </c>
      <c r="C546" s="217">
        <v>12.0</v>
      </c>
      <c r="D546" s="218">
        <v>52.115686</v>
      </c>
      <c r="E546" s="218">
        <v>5.383286</v>
      </c>
      <c r="F546" s="216" t="s">
        <v>247</v>
      </c>
      <c r="G546" s="216" t="s">
        <v>248</v>
      </c>
      <c r="I546" s="221"/>
      <c r="J546" s="222"/>
      <c r="K546" s="216" t="b">
        <v>0</v>
      </c>
    </row>
    <row r="547">
      <c r="A547" s="216" t="s">
        <v>1963</v>
      </c>
      <c r="B547" s="217">
        <v>48.0</v>
      </c>
      <c r="C547" s="217">
        <v>21.0</v>
      </c>
      <c r="D547" s="218">
        <v>52.115686</v>
      </c>
      <c r="E547" s="218">
        <v>5.385392</v>
      </c>
      <c r="F547" s="216" t="s">
        <v>132</v>
      </c>
      <c r="G547" s="216" t="s">
        <v>133</v>
      </c>
      <c r="I547" s="221"/>
      <c r="J547" s="222"/>
      <c r="K547" s="216" t="b">
        <v>0</v>
      </c>
    </row>
    <row r="548">
      <c r="A548" s="216" t="s">
        <v>1964</v>
      </c>
      <c r="B548" s="217">
        <v>49.0</v>
      </c>
      <c r="C548" s="217">
        <v>12.0</v>
      </c>
      <c r="D548" s="218">
        <v>52.115542</v>
      </c>
      <c r="E548" s="218">
        <v>5.383286</v>
      </c>
      <c r="F548" s="216" t="s">
        <v>247</v>
      </c>
      <c r="G548" s="216" t="s">
        <v>248</v>
      </c>
      <c r="I548" s="221"/>
      <c r="J548" s="222"/>
      <c r="K548" s="216" t="b">
        <v>0</v>
      </c>
    </row>
    <row r="549">
      <c r="A549" s="216" t="s">
        <v>1965</v>
      </c>
      <c r="B549" s="217">
        <v>49.0</v>
      </c>
      <c r="C549" s="217">
        <v>22.0</v>
      </c>
      <c r="D549" s="218">
        <v>52.115542</v>
      </c>
      <c r="E549" s="218">
        <v>5.385626</v>
      </c>
      <c r="F549" s="216" t="s">
        <v>132</v>
      </c>
      <c r="G549" s="216" t="s">
        <v>133</v>
      </c>
      <c r="I549" s="221"/>
      <c r="J549" s="222"/>
      <c r="K549" s="216" t="b">
        <v>0</v>
      </c>
    </row>
    <row r="550">
      <c r="A550" s="216" t="s">
        <v>1966</v>
      </c>
      <c r="B550" s="217">
        <v>50.0</v>
      </c>
      <c r="C550" s="217">
        <v>12.0</v>
      </c>
      <c r="D550" s="218">
        <v>52.115399</v>
      </c>
      <c r="E550" s="218">
        <v>5.383286</v>
      </c>
      <c r="F550" s="216" t="s">
        <v>247</v>
      </c>
      <c r="G550" s="216" t="s">
        <v>248</v>
      </c>
      <c r="I550" s="221"/>
      <c r="J550" s="222"/>
      <c r="K550" s="216" t="b">
        <v>0</v>
      </c>
    </row>
    <row r="551">
      <c r="A551" s="216" t="s">
        <v>1967</v>
      </c>
      <c r="B551" s="217">
        <v>50.0</v>
      </c>
      <c r="C551" s="217">
        <v>22.0</v>
      </c>
      <c r="D551" s="218">
        <v>52.115399</v>
      </c>
      <c r="E551" s="218">
        <v>5.385626</v>
      </c>
      <c r="F551" s="216" t="s">
        <v>132</v>
      </c>
      <c r="G551" s="216" t="s">
        <v>133</v>
      </c>
      <c r="I551" s="221"/>
      <c r="J551" s="222"/>
      <c r="K551" s="216" t="b">
        <v>0</v>
      </c>
    </row>
    <row r="552">
      <c r="A552" s="216" t="s">
        <v>1968</v>
      </c>
      <c r="B552" s="217">
        <v>51.0</v>
      </c>
      <c r="C552" s="217">
        <v>11.0</v>
      </c>
      <c r="D552" s="218">
        <v>52.115255</v>
      </c>
      <c r="E552" s="218">
        <v>5.383052</v>
      </c>
      <c r="F552" s="216" t="s">
        <v>247</v>
      </c>
      <c r="G552" s="216" t="s">
        <v>248</v>
      </c>
      <c r="I552" s="221"/>
      <c r="J552" s="222"/>
      <c r="K552" s="216" t="b">
        <v>0</v>
      </c>
    </row>
    <row r="553">
      <c r="A553" s="216" t="s">
        <v>1969</v>
      </c>
      <c r="B553" s="217">
        <v>51.0</v>
      </c>
      <c r="C553" s="217">
        <v>22.0</v>
      </c>
      <c r="D553" s="218">
        <v>52.115255</v>
      </c>
      <c r="E553" s="218">
        <v>5.385626</v>
      </c>
      <c r="F553" s="216" t="s">
        <v>247</v>
      </c>
      <c r="G553" s="216" t="s">
        <v>248</v>
      </c>
      <c r="I553" s="221"/>
      <c r="J553" s="222"/>
      <c r="K553" s="216" t="b">
        <v>0</v>
      </c>
    </row>
    <row r="554">
      <c r="A554" s="216" t="s">
        <v>1970</v>
      </c>
      <c r="B554" s="217">
        <v>52.0</v>
      </c>
      <c r="C554" s="217">
        <v>11.0</v>
      </c>
      <c r="D554" s="218">
        <v>52.115111</v>
      </c>
      <c r="E554" s="218">
        <v>5.383052</v>
      </c>
      <c r="F554" s="216" t="s">
        <v>247</v>
      </c>
      <c r="G554" s="216" t="s">
        <v>248</v>
      </c>
      <c r="I554" s="221"/>
      <c r="J554" s="222"/>
      <c r="K554" s="216" t="b">
        <v>0</v>
      </c>
    </row>
    <row r="555">
      <c r="A555" s="216" t="s">
        <v>1971</v>
      </c>
      <c r="B555" s="217">
        <v>52.0</v>
      </c>
      <c r="C555" s="217">
        <v>22.0</v>
      </c>
      <c r="D555" s="218">
        <v>52.115111</v>
      </c>
      <c r="E555" s="218">
        <v>5.385626</v>
      </c>
      <c r="F555" s="216" t="s">
        <v>247</v>
      </c>
      <c r="G555" s="216" t="s">
        <v>248</v>
      </c>
      <c r="I555" s="221"/>
      <c r="J555" s="222"/>
      <c r="K555" s="216" t="b">
        <v>0</v>
      </c>
    </row>
    <row r="556">
      <c r="A556" s="216" t="s">
        <v>1972</v>
      </c>
      <c r="B556" s="217">
        <v>53.0</v>
      </c>
      <c r="C556" s="217">
        <v>11.0</v>
      </c>
      <c r="D556" s="218">
        <v>52.114967</v>
      </c>
      <c r="E556" s="218">
        <v>5.383052</v>
      </c>
      <c r="F556" s="216" t="s">
        <v>247</v>
      </c>
      <c r="G556" s="216" t="s">
        <v>248</v>
      </c>
      <c r="I556" s="221"/>
      <c r="J556" s="222"/>
      <c r="K556" s="216" t="b">
        <v>0</v>
      </c>
    </row>
    <row r="557">
      <c r="A557" s="216" t="s">
        <v>1973</v>
      </c>
      <c r="B557" s="217">
        <v>53.0</v>
      </c>
      <c r="C557" s="217">
        <v>22.0</v>
      </c>
      <c r="D557" s="218">
        <v>52.114967</v>
      </c>
      <c r="E557" s="218">
        <v>5.385626</v>
      </c>
      <c r="F557" s="216" t="s">
        <v>247</v>
      </c>
      <c r="G557" s="216" t="s">
        <v>248</v>
      </c>
      <c r="I557" s="221"/>
      <c r="J557" s="222"/>
      <c r="K557" s="216" t="b">
        <v>0</v>
      </c>
    </row>
    <row r="558">
      <c r="A558" s="216" t="s">
        <v>1974</v>
      </c>
      <c r="B558" s="217">
        <v>54.0</v>
      </c>
      <c r="C558" s="217">
        <v>11.0</v>
      </c>
      <c r="D558" s="218">
        <v>52.114824</v>
      </c>
      <c r="E558" s="218">
        <v>5.383052</v>
      </c>
      <c r="F558" s="216" t="s">
        <v>132</v>
      </c>
      <c r="G558" s="216" t="s">
        <v>133</v>
      </c>
      <c r="I558" s="221"/>
      <c r="J558" s="222"/>
      <c r="K558" s="216" t="b">
        <v>0</v>
      </c>
    </row>
    <row r="559">
      <c r="A559" s="216" t="s">
        <v>1975</v>
      </c>
      <c r="B559" s="217">
        <v>54.0</v>
      </c>
      <c r="C559" s="217">
        <v>23.0</v>
      </c>
      <c r="D559" s="218">
        <v>52.114824</v>
      </c>
      <c r="E559" s="218">
        <v>5.38586</v>
      </c>
      <c r="F559" s="216" t="s">
        <v>132</v>
      </c>
      <c r="G559" s="216" t="s">
        <v>133</v>
      </c>
      <c r="I559" s="221"/>
      <c r="J559" s="222"/>
      <c r="K559" s="216" t="b">
        <v>0</v>
      </c>
    </row>
    <row r="560">
      <c r="A560" s="216" t="s">
        <v>1976</v>
      </c>
      <c r="B560" s="217">
        <v>55.0</v>
      </c>
      <c r="C560" s="217">
        <v>10.0</v>
      </c>
      <c r="D560" s="218">
        <v>52.11468</v>
      </c>
      <c r="E560" s="218">
        <v>5.382817</v>
      </c>
      <c r="F560" s="216" t="s">
        <v>132</v>
      </c>
      <c r="G560" s="216" t="s">
        <v>133</v>
      </c>
      <c r="I560" s="221"/>
      <c r="J560" s="222"/>
      <c r="K560" s="216" t="b">
        <v>0</v>
      </c>
    </row>
    <row r="561">
      <c r="A561" s="216" t="s">
        <v>1977</v>
      </c>
      <c r="B561" s="217">
        <v>55.0</v>
      </c>
      <c r="C561" s="217">
        <v>11.0</v>
      </c>
      <c r="D561" s="218">
        <v>52.11468</v>
      </c>
      <c r="E561" s="218">
        <v>5.383052</v>
      </c>
      <c r="F561" s="216" t="s">
        <v>132</v>
      </c>
      <c r="G561" s="216" t="s">
        <v>133</v>
      </c>
      <c r="I561" s="221"/>
      <c r="J561" s="222"/>
      <c r="K561" s="216" t="b">
        <v>0</v>
      </c>
    </row>
    <row r="562">
      <c r="A562" s="216" t="s">
        <v>1978</v>
      </c>
      <c r="B562" s="217">
        <v>55.0</v>
      </c>
      <c r="C562" s="217">
        <v>23.0</v>
      </c>
      <c r="D562" s="218">
        <v>52.11468</v>
      </c>
      <c r="E562" s="218">
        <v>5.38586</v>
      </c>
      <c r="F562" s="216" t="s">
        <v>132</v>
      </c>
      <c r="G562" s="216" t="s">
        <v>133</v>
      </c>
      <c r="I562" s="221"/>
      <c r="J562" s="222"/>
      <c r="K562" s="216" t="b">
        <v>0</v>
      </c>
    </row>
    <row r="563">
      <c r="A563" s="216" t="s">
        <v>1979</v>
      </c>
      <c r="B563" s="217">
        <v>56.0</v>
      </c>
      <c r="C563" s="217">
        <v>10.0</v>
      </c>
      <c r="D563" s="218">
        <v>52.114536</v>
      </c>
      <c r="E563" s="218">
        <v>5.382817</v>
      </c>
      <c r="F563" s="216" t="s">
        <v>132</v>
      </c>
      <c r="G563" s="216" t="s">
        <v>133</v>
      </c>
      <c r="I563" s="221"/>
      <c r="J563" s="222"/>
      <c r="K563" s="216" t="b">
        <v>0</v>
      </c>
    </row>
    <row r="564">
      <c r="A564" s="216" t="s">
        <v>1980</v>
      </c>
      <c r="B564" s="217">
        <v>56.0</v>
      </c>
      <c r="C564" s="217">
        <v>23.0</v>
      </c>
      <c r="D564" s="218">
        <v>52.114536</v>
      </c>
      <c r="E564" s="218">
        <v>5.38586</v>
      </c>
      <c r="F564" s="216" t="s">
        <v>132</v>
      </c>
      <c r="G564" s="216" t="s">
        <v>133</v>
      </c>
      <c r="I564" s="221"/>
      <c r="J564" s="222"/>
      <c r="K564" s="216" t="b">
        <v>0</v>
      </c>
    </row>
    <row r="565">
      <c r="A565" s="216" t="s">
        <v>1981</v>
      </c>
      <c r="B565" s="217">
        <v>57.0</v>
      </c>
      <c r="C565" s="217">
        <v>10.0</v>
      </c>
      <c r="D565" s="218">
        <v>52.114392</v>
      </c>
      <c r="E565" s="218">
        <v>5.382817</v>
      </c>
      <c r="F565" s="216" t="s">
        <v>247</v>
      </c>
      <c r="G565" s="216" t="s">
        <v>248</v>
      </c>
      <c r="I565" s="221"/>
      <c r="J565" s="222"/>
      <c r="K565" s="216" t="b">
        <v>0</v>
      </c>
    </row>
    <row r="566">
      <c r="A566" s="216" t="s">
        <v>1982</v>
      </c>
      <c r="B566" s="217">
        <v>57.0</v>
      </c>
      <c r="C566" s="217">
        <v>23.0</v>
      </c>
      <c r="D566" s="218">
        <v>52.114392</v>
      </c>
      <c r="E566" s="218">
        <v>5.38586</v>
      </c>
      <c r="F566" s="216" t="s">
        <v>247</v>
      </c>
      <c r="G566" s="216" t="s">
        <v>248</v>
      </c>
      <c r="I566" s="221"/>
      <c r="J566" s="222"/>
      <c r="K566" s="216" t="b">
        <v>0</v>
      </c>
    </row>
    <row r="567">
      <c r="A567" s="216" t="s">
        <v>1983</v>
      </c>
      <c r="B567" s="217">
        <v>58.0</v>
      </c>
      <c r="C567" s="217">
        <v>8.0</v>
      </c>
      <c r="D567" s="218">
        <v>52.114249</v>
      </c>
      <c r="E567" s="218">
        <v>5.382349</v>
      </c>
      <c r="F567" s="216" t="s">
        <v>132</v>
      </c>
      <c r="G567" s="216" t="s">
        <v>133</v>
      </c>
      <c r="H567" s="216" t="s">
        <v>53</v>
      </c>
      <c r="I567" s="221"/>
      <c r="J567" s="220" t="s">
        <v>1346</v>
      </c>
      <c r="K567" s="216" t="b">
        <v>0</v>
      </c>
    </row>
    <row r="568">
      <c r="A568" s="216" t="s">
        <v>1984</v>
      </c>
      <c r="B568" s="217">
        <v>58.0</v>
      </c>
      <c r="C568" s="217">
        <v>9.0</v>
      </c>
      <c r="D568" s="218">
        <v>52.114249</v>
      </c>
      <c r="E568" s="218">
        <v>5.382583</v>
      </c>
      <c r="F568" s="216" t="s">
        <v>132</v>
      </c>
      <c r="G568" s="216" t="s">
        <v>133</v>
      </c>
      <c r="I568" s="221"/>
      <c r="J568" s="222"/>
      <c r="K568" s="216" t="b">
        <v>0</v>
      </c>
    </row>
    <row r="569">
      <c r="A569" s="216" t="s">
        <v>1985</v>
      </c>
      <c r="B569" s="217">
        <v>58.0</v>
      </c>
      <c r="C569" s="217">
        <v>10.0</v>
      </c>
      <c r="D569" s="218">
        <v>52.114249</v>
      </c>
      <c r="E569" s="218">
        <v>5.382817</v>
      </c>
      <c r="F569" s="216" t="s">
        <v>132</v>
      </c>
      <c r="G569" s="216" t="s">
        <v>133</v>
      </c>
      <c r="I569" s="221"/>
      <c r="J569" s="222"/>
      <c r="K569" s="216" t="b">
        <v>0</v>
      </c>
    </row>
    <row r="570">
      <c r="A570" s="216" t="s">
        <v>1986</v>
      </c>
      <c r="B570" s="217">
        <v>58.0</v>
      </c>
      <c r="C570" s="217">
        <v>11.0</v>
      </c>
      <c r="D570" s="218">
        <v>52.114249</v>
      </c>
      <c r="E570" s="218">
        <v>5.383051</v>
      </c>
      <c r="F570" s="216" t="s">
        <v>132</v>
      </c>
      <c r="G570" s="216" t="s">
        <v>133</v>
      </c>
      <c r="H570" s="216" t="s">
        <v>53</v>
      </c>
      <c r="I570" s="221"/>
      <c r="J570" s="220" t="s">
        <v>1346</v>
      </c>
      <c r="K570" s="216" t="b">
        <v>0</v>
      </c>
    </row>
    <row r="571">
      <c r="A571" s="216" t="s">
        <v>1987</v>
      </c>
      <c r="B571" s="217">
        <v>58.0</v>
      </c>
      <c r="C571" s="217">
        <v>22.0</v>
      </c>
      <c r="D571" s="218">
        <v>52.114249</v>
      </c>
      <c r="E571" s="218">
        <v>5.385626</v>
      </c>
      <c r="F571" s="216" t="s">
        <v>132</v>
      </c>
      <c r="G571" s="216" t="s">
        <v>133</v>
      </c>
      <c r="H571" s="216" t="s">
        <v>53</v>
      </c>
      <c r="I571" s="221"/>
      <c r="J571" s="220" t="s">
        <v>1346</v>
      </c>
      <c r="K571" s="216" t="b">
        <v>0</v>
      </c>
    </row>
    <row r="572">
      <c r="A572" s="216" t="s">
        <v>1988</v>
      </c>
      <c r="B572" s="217">
        <v>58.0</v>
      </c>
      <c r="C572" s="217">
        <v>23.0</v>
      </c>
      <c r="D572" s="218">
        <v>52.114249</v>
      </c>
      <c r="E572" s="218">
        <v>5.38586</v>
      </c>
      <c r="F572" s="216" t="s">
        <v>132</v>
      </c>
      <c r="G572" s="216" t="s">
        <v>133</v>
      </c>
      <c r="I572" s="221"/>
      <c r="J572" s="222"/>
      <c r="K572" s="216" t="b">
        <v>0</v>
      </c>
    </row>
    <row r="573">
      <c r="A573" s="216" t="s">
        <v>1989</v>
      </c>
      <c r="B573" s="217">
        <v>58.0</v>
      </c>
      <c r="C573" s="217">
        <v>24.0</v>
      </c>
      <c r="D573" s="218">
        <v>52.114249</v>
      </c>
      <c r="E573" s="218">
        <v>5.386094</v>
      </c>
      <c r="F573" s="216" t="s">
        <v>132</v>
      </c>
      <c r="G573" s="216" t="s">
        <v>133</v>
      </c>
      <c r="I573" s="221"/>
      <c r="J573" s="222"/>
      <c r="K573" s="216" t="b">
        <v>0</v>
      </c>
    </row>
    <row r="574">
      <c r="A574" s="216" t="s">
        <v>1990</v>
      </c>
      <c r="B574" s="217">
        <v>58.0</v>
      </c>
      <c r="C574" s="217">
        <v>25.0</v>
      </c>
      <c r="D574" s="218">
        <v>52.114249</v>
      </c>
      <c r="E574" s="218">
        <v>5.386328</v>
      </c>
      <c r="F574" s="216" t="s">
        <v>132</v>
      </c>
      <c r="G574" s="216" t="s">
        <v>133</v>
      </c>
      <c r="H574" s="216" t="s">
        <v>53</v>
      </c>
      <c r="I574" s="221"/>
      <c r="J574" s="220" t="s">
        <v>1346</v>
      </c>
      <c r="K574" s="216" t="b">
        <v>0</v>
      </c>
    </row>
  </sheetData>
  <mergeCells count="2">
    <mergeCell ref="A1:E2"/>
    <mergeCell ref="F1:G5"/>
  </mergeCells>
  <conditionalFormatting sqref="H7:H574">
    <cfRule type="notContainsBlanks" dxfId="0" priority="1">
      <formula>LEN(TRIM(H7))&gt;0</formula>
    </cfRule>
  </conditionalFormatting>
  <conditionalFormatting sqref="I7:I574">
    <cfRule type="notContainsBlanks" dxfId="16" priority="2">
      <formula>LEN(TRIM(I7))&gt;0</formula>
    </cfRule>
  </conditionalFormatting>
  <conditionalFormatting sqref="K7:K574">
    <cfRule type="cellIs" dxfId="1" priority="3" operator="equal">
      <formula>"TRUE"</formula>
    </cfRule>
  </conditionalFormatting>
  <hyperlinks>
    <hyperlink r:id="rId1" ref="B4"/>
    <hyperlink r:id="rId2" ref="B5"/>
    <hyperlink r:id="rId3" ref="I7"/>
    <hyperlink r:id="rId4" ref="I29"/>
    <hyperlink r:id="rId5" ref="I33"/>
    <hyperlink r:id="rId6" ref="I64"/>
    <hyperlink r:id="rId7" ref="I67"/>
    <hyperlink r:id="rId8" ref="I72"/>
    <hyperlink r:id="rId9" ref="I90"/>
    <hyperlink r:id="rId10" ref="I124"/>
    <hyperlink r:id="rId11" ref="I146"/>
    <hyperlink r:id="rId12" ref="I149"/>
    <hyperlink r:id="rId13" ref="I150"/>
    <hyperlink r:id="rId14" ref="I153"/>
    <hyperlink r:id="rId15" ref="I154"/>
    <hyperlink r:id="rId16" ref="I156"/>
    <hyperlink r:id="rId17" ref="I159"/>
    <hyperlink r:id="rId18" ref="I198"/>
    <hyperlink r:id="rId19" ref="I199"/>
    <hyperlink r:id="rId20" ref="I201"/>
    <hyperlink r:id="rId21" ref="I204"/>
    <hyperlink r:id="rId22" ref="I207"/>
    <hyperlink r:id="rId23" ref="I210"/>
    <hyperlink r:id="rId24" ref="I213"/>
    <hyperlink r:id="rId25" ref="I216"/>
    <hyperlink r:id="rId26" ref="I271"/>
    <hyperlink r:id="rId27" ref="I272"/>
    <hyperlink r:id="rId28" ref="I274"/>
    <hyperlink r:id="rId29" ref="I277"/>
    <hyperlink r:id="rId30" ref="I280"/>
    <hyperlink r:id="rId31" ref="I283"/>
    <hyperlink r:id="rId32" ref="I286"/>
    <hyperlink r:id="rId33" ref="I289"/>
    <hyperlink r:id="rId34" ref="I292"/>
    <hyperlink r:id="rId35" ref="I295"/>
    <hyperlink r:id="rId36" ref="I437"/>
    <hyperlink r:id="rId37" ref="I438"/>
    <hyperlink r:id="rId38" ref="I439"/>
    <hyperlink r:id="rId39" ref="I440"/>
    <hyperlink r:id="rId40" ref="I441"/>
    <hyperlink r:id="rId41" ref="I442"/>
    <hyperlink r:id="rId42" ref="I443"/>
    <hyperlink r:id="rId43" ref="I444"/>
    <hyperlink r:id="rId44" ref="I445"/>
    <hyperlink r:id="rId45" ref="I460"/>
    <hyperlink r:id="rId46" ref="I461"/>
    <hyperlink r:id="rId47" ref="I462"/>
    <hyperlink r:id="rId48" ref="I470"/>
    <hyperlink r:id="rId49" ref="I471"/>
    <hyperlink r:id="rId50" ref="I472"/>
    <hyperlink r:id="rId51" ref="I484"/>
    <hyperlink r:id="rId52" ref="I486"/>
    <hyperlink r:id="rId53" ref="I489"/>
    <hyperlink r:id="rId54" ref="I498"/>
    <hyperlink r:id="rId55" ref="I501"/>
    <hyperlink r:id="rId56" ref="I506"/>
    <hyperlink r:id="rId57" ref="I507"/>
    <hyperlink r:id="rId58" ref="I508"/>
    <hyperlink r:id="rId59" ref="I509"/>
    <hyperlink r:id="rId60" ref="I510"/>
    <hyperlink r:id="rId61" ref="I511"/>
    <hyperlink r:id="rId62" ref="I515"/>
    <hyperlink r:id="rId63" ref="I516"/>
    <hyperlink r:id="rId64" ref="I517"/>
    <hyperlink r:id="rId65" ref="I519"/>
    <hyperlink r:id="rId66" ref="I521"/>
    <hyperlink r:id="rId67" ref="I522"/>
    <hyperlink r:id="rId68" ref="I524"/>
    <hyperlink r:id="rId69" ref="I528"/>
    <hyperlink r:id="rId70" ref="I531"/>
  </hyperlinks>
  <drawing r:id="rId71"/>
</worksheet>
</file>