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" sheetId="1" r:id="rId3"/>
    <sheet state="visible" name="Information" sheetId="2" r:id="rId4"/>
    <sheet state="visible" name="Pattern" sheetId="3" r:id="rId5"/>
    <sheet state="visible" name="To be checked" sheetId="4" r:id="rId6"/>
  </sheets>
  <definedNames>
    <definedName hidden="1" localSheetId="0" name="Z_E2871B06_7E75_4ECE_8EF8_AE6624A3DD67_.wvu.FilterData">Heart!$A$1:$M$56</definedName>
  </definedNames>
  <calcPr/>
  <customWorkbookViews>
    <customWorkbookView activeSheetId="0" maximized="1" windowHeight="0" windowWidth="0" guid="{E2871B06-7E75-4ECE-8EF8-AE6624A3DD67}" name="To be checked"/>
  </customWorkbookViews>
</workbook>
</file>

<file path=xl/sharedStrings.xml><?xml version="1.0" encoding="utf-8"?>
<sst xmlns="http://schemas.openxmlformats.org/spreadsheetml/2006/main" count="259" uniqueCount="130">
  <si>
    <t>Pin #</t>
  </si>
  <si>
    <t>Row</t>
  </si>
  <si>
    <t>Column</t>
  </si>
  <si>
    <t>Latitude</t>
  </si>
  <si>
    <t>Longitude</t>
  </si>
  <si>
    <t>Munzee</t>
  </si>
  <si>
    <t>Color</t>
  </si>
  <si>
    <t>Username</t>
  </si>
  <si>
    <t>Deploy #</t>
  </si>
  <si>
    <t>Checker Link</t>
  </si>
  <si>
    <t>Checked</t>
  </si>
  <si>
    <t>Comments</t>
  </si>
  <si>
    <t>Deployed</t>
  </si>
  <si>
    <t>Heart #00</t>
  </si>
  <si>
    <t>Heart #01</t>
  </si>
  <si>
    <t>Virtual Onyx</t>
  </si>
  <si>
    <t>onyx</t>
  </si>
  <si>
    <t>jameshau84</t>
  </si>
  <si>
    <t>Heart #02</t>
  </si>
  <si>
    <t>Majsan</t>
  </si>
  <si>
    <t>Heart #03</t>
  </si>
  <si>
    <t>technical13</t>
  </si>
  <si>
    <t>Heart #04</t>
  </si>
  <si>
    <t>Heart #05</t>
  </si>
  <si>
    <t>kiitokurre</t>
  </si>
  <si>
    <t>Heart #06</t>
  </si>
  <si>
    <t>Virtual Red</t>
  </si>
  <si>
    <t>red</t>
  </si>
  <si>
    <t>brunosantos</t>
  </si>
  <si>
    <t>Heart #07</t>
  </si>
  <si>
    <t>Muriabreu</t>
  </si>
  <si>
    <t>Heart #08</t>
  </si>
  <si>
    <t>WinterCheetah</t>
  </si>
  <si>
    <t>Heart #09</t>
  </si>
  <si>
    <t>Djaehrling</t>
  </si>
  <si>
    <t>Heart #10</t>
  </si>
  <si>
    <t>SpaceCoastGeoStore</t>
  </si>
  <si>
    <t>Heart #11</t>
  </si>
  <si>
    <t>SLAUGY</t>
  </si>
  <si>
    <t>Heart #12</t>
  </si>
  <si>
    <t>bslaugh</t>
  </si>
  <si>
    <t>Heart #13</t>
  </si>
  <si>
    <t>denali0407</t>
  </si>
  <si>
    <t>Heart #14</t>
  </si>
  <si>
    <t>annabanana</t>
  </si>
  <si>
    <t>Heart #15</t>
  </si>
  <si>
    <t>JRdaBoss</t>
  </si>
  <si>
    <t>Heart #16</t>
  </si>
  <si>
    <t>sohcah</t>
  </si>
  <si>
    <t>Heart #17</t>
  </si>
  <si>
    <t>PelicanRouge</t>
  </si>
  <si>
    <t>Heart #18</t>
  </si>
  <si>
    <t>BonnieB1</t>
  </si>
  <si>
    <t>Heart #19</t>
  </si>
  <si>
    <t>IggiePiggie</t>
  </si>
  <si>
    <t>Heart #20</t>
  </si>
  <si>
    <t>lanyasummer</t>
  </si>
  <si>
    <t>Heart #21</t>
  </si>
  <si>
    <t>Heart #22</t>
  </si>
  <si>
    <t>RePe</t>
  </si>
  <si>
    <t>Heart #23</t>
  </si>
  <si>
    <t>grubsneerg</t>
  </si>
  <si>
    <t>Heart #24</t>
  </si>
  <si>
    <t>TheJump</t>
  </si>
  <si>
    <t>Heart #25</t>
  </si>
  <si>
    <t>Heart #26</t>
  </si>
  <si>
    <t>Heart #27</t>
  </si>
  <si>
    <t xml:space="preserve">daysleeperdot </t>
  </si>
  <si>
    <t>Heart #28</t>
  </si>
  <si>
    <t>Soitenlysue</t>
  </si>
  <si>
    <t>Heart #29</t>
  </si>
  <si>
    <t>Heart #30</t>
  </si>
  <si>
    <t>Neta</t>
  </si>
  <si>
    <t>Heart #31</t>
  </si>
  <si>
    <t>Heart #32</t>
  </si>
  <si>
    <t xml:space="preserve">Munzeeprof </t>
  </si>
  <si>
    <t>Heart #33</t>
  </si>
  <si>
    <t>EmeraldAngel</t>
  </si>
  <si>
    <t>Heart #34</t>
  </si>
  <si>
    <t>mortonfox</t>
  </si>
  <si>
    <t>Heart #35</t>
  </si>
  <si>
    <t>MarkCase</t>
  </si>
  <si>
    <t>Heart #36</t>
  </si>
  <si>
    <t>Heart #37</t>
  </si>
  <si>
    <t>Heart #38</t>
  </si>
  <si>
    <t>teamsturms</t>
  </si>
  <si>
    <t>Heart #39</t>
  </si>
  <si>
    <t>rgforsythe</t>
  </si>
  <si>
    <t>Heart #40</t>
  </si>
  <si>
    <t>PlacenteFan</t>
  </si>
  <si>
    <t>Heart #41</t>
  </si>
  <si>
    <t>ladymunzee</t>
  </si>
  <si>
    <t>Heart #42</t>
  </si>
  <si>
    <t>WVKiwi</t>
  </si>
  <si>
    <t>Heart #43</t>
  </si>
  <si>
    <t>klc1960</t>
  </si>
  <si>
    <t>Heart #44</t>
  </si>
  <si>
    <t>Bayermunzeer</t>
  </si>
  <si>
    <t>Heart #45</t>
  </si>
  <si>
    <t>kcpride</t>
  </si>
  <si>
    <t>Heart #46</t>
  </si>
  <si>
    <t>92Supercoupe</t>
  </si>
  <si>
    <t>Heart #47</t>
  </si>
  <si>
    <t>Boersentrader</t>
  </si>
  <si>
    <t>Heart #48</t>
  </si>
  <si>
    <t>Heart #49</t>
  </si>
  <si>
    <t>Centern</t>
  </si>
  <si>
    <t>Heart #50</t>
  </si>
  <si>
    <t>Heart #51</t>
  </si>
  <si>
    <t>Heart #52</t>
  </si>
  <si>
    <t>Heart #53</t>
  </si>
  <si>
    <t>Heart #54</t>
  </si>
  <si>
    <t>Lehmis</t>
  </si>
  <si>
    <t>&lt;-- HIDE ROW ONCE SET --&gt;</t>
  </si>
  <si>
    <t>Number of top contributors to show:</t>
  </si>
  <si>
    <t>Coordination chat URL:</t>
  </si>
  <si>
    <t>https://discord.me/Munzee</t>
  </si>
  <si>
    <t>Map link URL:</t>
  </si>
  <si>
    <t>https://www.munzee.com/map/dp5u68qf0/17</t>
  </si>
  <si>
    <t>Saint Mary's Heart</t>
  </si>
  <si>
    <t>TOTAL</t>
  </si>
  <si>
    <t>Heart shaped garden at Saint Mary's Cemetery in Greenville, OH</t>
  </si>
  <si>
    <t>Virual color</t>
  </si>
  <si>
    <t>Amount</t>
  </si>
  <si>
    <t>Available</t>
  </si>
  <si>
    <t>% done</t>
  </si>
  <si>
    <t>Insert screenshot from VGP
with no crosshairs as a drawing here.</t>
  </si>
  <si>
    <t>Pin Name</t>
  </si>
  <si>
    <t>Type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</si>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</sst>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19">
    <font>
      <sz val="10.0"/>
      <color rgb="FF000000"/>
      <name val="Arial"/>
    </font>
    <font>
      <b/>
      <sz val="12.0"/>
      <name val="Arial"/>
    </font>
    <font/>
    <font>
      <sz val="11.0"/>
      <color rgb="FF000000"/>
      <name val="Calibri"/>
    </font>
    <font>
      <u/>
      <color rgb="FF0000FF"/>
    </font>
    <font>
      <i/>
      <color rgb="FF000000"/>
    </font>
    <font>
      <u/>
      <color rgb="FF0000FF"/>
    </font>
    <font>
      <b/>
      <sz val="18.0"/>
    </font>
    <font>
      <b/>
      <u/>
      <sz val="14.0"/>
      <color rgb="FF0000FF"/>
    </font>
    <font>
      <b/>
      <sz val="14.0"/>
      <name val="Arial"/>
    </font>
    <font>
      <b/>
      <i/>
      <sz val="14.0"/>
      <color rgb="FFFFFFFF"/>
      <name val="Arial"/>
    </font>
    <font>
      <b/>
      <sz val="18.0"/>
      <name val="Arial"/>
    </font>
    <font>
      <b/>
      <sz val="18.0"/>
      <name val="Oxygen"/>
    </font>
    <font>
      <b/>
      <sz val="11.0"/>
      <name val="Oxygen"/>
    </font>
    <font>
      <b/>
      <name val="Oxygen"/>
    </font>
    <font>
      <b/>
      <color rgb="FFFFFFFF"/>
      <name val="Oxygen"/>
    </font>
    <font>
      <name val="Arial"/>
    </font>
    <font>
      <b/>
      <sz val="11.0"/>
      <name val="Calibri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3" numFmtId="1" xfId="0" applyAlignment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2" fillId="2" fontId="9" numFmtId="0" xfId="0" applyAlignment="1" applyBorder="1" applyFill="1" applyFont="1">
      <alignment horizontal="center" vertical="bottom"/>
    </xf>
    <xf borderId="3" fillId="0" fontId="9" numFmtId="3" xfId="0" applyAlignment="1" applyBorder="1" applyFont="1" applyNumberFormat="1">
      <alignment horizontal="center" vertical="bottom"/>
    </xf>
    <xf borderId="3" fillId="3" fontId="10" numFmtId="10" xfId="0" applyAlignment="1" applyBorder="1" applyFill="1" applyFont="1" applyNumberFormat="1">
      <alignment horizontal="center" vertical="bottom"/>
    </xf>
    <xf borderId="4" fillId="2" fontId="11" numFmtId="0" xfId="0" applyAlignment="1" applyBorder="1" applyFont="1">
      <alignment horizontal="center" vertical="center"/>
    </xf>
    <xf borderId="5" fillId="2" fontId="11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1" fillId="0" fontId="2" numFmtId="0" xfId="0" applyBorder="1" applyFont="1"/>
    <xf borderId="6" fillId="0" fontId="12" numFmtId="0" xfId="0" applyAlignment="1" applyBorder="1" applyFont="1">
      <alignment horizontal="center" vertical="center"/>
    </xf>
    <xf borderId="7" fillId="0" fontId="2" numFmtId="0" xfId="0" applyBorder="1" applyFont="1"/>
    <xf borderId="8" fillId="0" fontId="13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1" fillId="4" fontId="15" numFmtId="0" xfId="0" applyAlignment="1" applyBorder="1" applyFill="1" applyFont="1">
      <alignment horizontal="center" vertical="center"/>
    </xf>
    <xf borderId="0" fillId="4" fontId="15" numFmtId="0" xfId="0" applyAlignment="1" applyFont="1">
      <alignment horizontal="center" vertical="center"/>
    </xf>
    <xf borderId="12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12" fillId="3" fontId="15" numFmtId="0" xfId="0" applyAlignment="1" applyBorder="1" applyFont="1">
      <alignment horizontal="center" vertical="center"/>
    </xf>
    <xf borderId="11" fillId="5" fontId="14" numFmtId="0" xfId="0" applyAlignment="1" applyBorder="1" applyFill="1" applyFont="1">
      <alignment horizontal="center" vertical="center"/>
    </xf>
    <xf borderId="0" fillId="5" fontId="14" numFmtId="0" xfId="0" applyAlignment="1" applyFont="1">
      <alignment horizontal="center" vertical="center"/>
    </xf>
    <xf borderId="12" fillId="5" fontId="14" numFmtId="0" xfId="0" applyAlignment="1" applyBorder="1" applyFont="1">
      <alignment horizontal="center" vertical="center"/>
    </xf>
    <xf borderId="11" fillId="6" fontId="16" numFmtId="0" xfId="0" applyAlignment="1" applyBorder="1" applyFill="1" applyFont="1">
      <alignment horizontal="center" vertical="center"/>
    </xf>
    <xf borderId="0" fillId="6" fontId="16" numFmtId="0" xfId="0" applyAlignment="1" applyFont="1">
      <alignment horizontal="center" vertical="center"/>
    </xf>
    <xf borderId="12" fillId="6" fontId="16" numFmtId="0" xfId="0" applyAlignment="1" applyBorder="1" applyFont="1">
      <alignment horizontal="center" vertical="center"/>
    </xf>
    <xf borderId="11" fillId="7" fontId="16" numFmtId="0" xfId="0" applyAlignment="1" applyBorder="1" applyFill="1" applyFont="1">
      <alignment horizontal="center" vertical="center"/>
    </xf>
    <xf borderId="0" fillId="7" fontId="16" numFmtId="0" xfId="0" applyAlignment="1" applyFont="1">
      <alignment horizontal="center" vertical="center"/>
    </xf>
    <xf borderId="12" fillId="7" fontId="16" numFmtId="0" xfId="0" applyAlignment="1" applyBorder="1" applyFont="1">
      <alignment horizontal="center" vertical="center"/>
    </xf>
    <xf borderId="11" fillId="0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12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80"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strike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>
        <color rgb="FF000000"/>
      </font>
      <fill>
        <patternFill patternType="solid">
          <fgColor rgb="FFE6A8D7"/>
          <bgColor rgb="FFE6A8D7"/>
        </patternFill>
      </fill>
      <border/>
    </dxf>
    <dxf>
      <font>
        <color rgb="FF000000"/>
      </font>
      <fill>
        <patternFill patternType="solid">
          <fgColor rgb="FFCDA4DE"/>
          <bgColor rgb="FFCDA4DE"/>
        </patternFill>
      </fill>
      <border/>
    </dxf>
    <dxf>
      <font>
        <color rgb="FFFFFFFF"/>
      </font>
      <fill>
        <patternFill patternType="solid">
          <fgColor rgb="FF9D81BA"/>
          <bgColor rgb="FF9D81BA"/>
        </patternFill>
      </fill>
      <border/>
    </dxf>
    <dxf>
      <font>
        <color rgb="FFFFFFFF"/>
      </font>
      <fill>
        <patternFill patternType="solid">
          <fgColor rgb="FF926EAE"/>
          <bgColor rgb="FF926EAE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>
        <color rgb="FFFFFFFF"/>
      </font>
      <fill>
        <patternFill patternType="solid">
          <fgColor rgb="FF7366BD"/>
          <bgColor rgb="FF7366BD"/>
        </patternFill>
      </fill>
      <border/>
    </dxf>
    <dxf>
      <font>
        <color rgb="FFFFFFFF"/>
      </font>
      <fill>
        <patternFill patternType="solid">
          <fgColor rgb="FF5D76CB"/>
          <bgColor rgb="FF5D76CB"/>
        </patternFill>
      </fill>
      <border/>
    </dxf>
    <dxf>
      <font>
        <color rgb="FFFFFFFF"/>
      </font>
      <fill>
        <patternFill patternType="solid">
          <fgColor rgb="FF1F75FE"/>
          <bgColor rgb="FF1F75FE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199EBD"/>
          <bgColor rgb="FF199EBD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1DACD6"/>
          <bgColor rgb="FF1DACD6"/>
        </patternFill>
      </fill>
      <border/>
    </dxf>
    <dxf>
      <font/>
      <fill>
        <patternFill patternType="solid">
          <fgColor rgb="FF1FCECB"/>
          <bgColor rgb="FF1FCECB"/>
        </patternFill>
      </fill>
      <border/>
    </dxf>
    <dxf>
      <font/>
      <fill>
        <patternFill patternType="solid">
          <fgColor rgb="FF77DDE7"/>
          <bgColor rgb="FF77DDE7"/>
        </patternFill>
      </fill>
      <border/>
    </dxf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FDBCB4"/>
          <bgColor rgb="FFFDBCB4"/>
        </patternFill>
      </fill>
      <border/>
    </dxf>
    <dxf>
      <font/>
      <fill>
        <patternFill patternType="solid">
          <fgColor rgb="FFFCB3D5"/>
          <bgColor rgb="FFFCB3D5"/>
        </patternFill>
      </fill>
      <border/>
    </dxf>
    <dxf>
      <font/>
      <fill>
        <patternFill patternType="solid">
          <fgColor rgb="FFFFAACC"/>
          <bgColor rgb="FFFFAACC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9BAA"/>
          <bgColor rgb="FFFF9BAA"/>
        </patternFill>
      </fill>
      <border/>
    </dxf>
    <dxf>
      <font/>
      <fill>
        <patternFill patternType="solid">
          <fgColor rgb="FFFC89AC"/>
          <bgColor rgb="FFFC89AC"/>
        </patternFill>
      </fill>
      <border/>
    </dxf>
    <dxf>
      <font/>
      <fill>
        <patternFill patternType="solid">
          <fgColor rgb="FFF664AF"/>
          <bgColor rgb="FFF664AF"/>
        </patternFill>
      </fill>
      <border/>
    </dxf>
    <dxf>
      <font/>
      <fill>
        <patternFill patternType="solid">
          <fgColor rgb="FFFF43A4"/>
          <bgColor rgb="FFFF43A4"/>
        </patternFill>
      </fill>
      <border/>
    </dxf>
    <dxf>
      <font/>
      <fill>
        <patternFill patternType="solid">
          <fgColor rgb="FFF75394"/>
          <bgColor rgb="FFF75394"/>
        </patternFill>
      </fill>
      <border/>
    </dxf>
    <dxf>
      <font/>
      <fill>
        <patternFill patternType="solid">
          <fgColor rgb="FFC0448F"/>
          <bgColor rgb="FFC0448F"/>
        </patternFill>
      </fill>
      <border/>
    </dxf>
    <dxf>
      <font/>
      <fill>
        <patternFill patternType="solid">
          <fgColor rgb="FFFDD9B5"/>
          <bgColor rgb="FFFDD9B5"/>
        </patternFill>
      </fill>
      <border/>
    </dxf>
    <dxf>
      <font/>
      <fill>
        <patternFill patternType="solid">
          <fgColor rgb="FFFFCFAB"/>
          <bgColor rgb="FFFFCFAB"/>
        </patternFill>
      </fill>
      <border/>
    </dxf>
    <dxf>
      <font/>
      <fill>
        <patternFill patternType="solid">
          <fgColor rgb="FFFFBD88"/>
          <bgColor rgb="FFFFBD88"/>
        </patternFill>
      </fill>
      <border/>
    </dxf>
    <dxf>
      <font/>
      <fill>
        <patternFill patternType="solid">
          <fgColor rgb="FFFAA76C"/>
          <bgColor rgb="FFFAA76C"/>
        </patternFill>
      </fill>
      <border/>
    </dxf>
    <dxf>
      <font/>
      <fill>
        <patternFill patternType="solid">
          <fgColor rgb="FFEA7E5D"/>
          <bgColor rgb="FFEA7E5D"/>
        </patternFill>
      </fill>
      <border/>
    </dxf>
    <dxf>
      <font/>
      <fill>
        <patternFill patternType="solid">
          <fgColor rgb="FFFD7C6E"/>
          <bgColor rgb="FFFD7C6E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F22847"/>
          <bgColor rgb="FFF22847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DEAA88"/>
          <bgColor rgb="FFDEAA88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>
        <b/>
        <i/>
      </font>
      <fill>
        <patternFill patternType="solid">
          <fgColor rgb="FFFF7538"/>
          <bgColor rgb="FFFF7538"/>
        </patternFill>
      </fill>
      <border/>
    </dxf>
    <dxf>
      <font>
        <b/>
        <i/>
        <color rgb="FFFFFFFF"/>
      </font>
      <fill>
        <patternFill patternType="solid">
          <fgColor rgb="FF1CAC78"/>
          <bgColor rgb="FF1CAC78"/>
        </patternFill>
      </fill>
      <border/>
    </dxf>
    <dxf>
      <font>
        <b/>
        <i/>
        <color rgb="FFFFFFFF"/>
      </font>
      <fill>
        <patternFill patternType="solid">
          <fgColor rgb="FFB4674D"/>
          <bgColor rgb="FFB4674D"/>
        </patternFill>
      </fill>
      <border/>
    </dxf>
    <dxf>
      <font>
        <b/>
        <i/>
        <color rgb="FF000000"/>
      </font>
      <fill>
        <patternFill patternType="solid">
          <fgColor rgb="FFFCE883"/>
          <bgColor rgb="FFFCE883"/>
        </patternFill>
      </fill>
      <border/>
    </dxf>
    <dxf>
      <font>
        <b/>
        <i/>
        <color rgb="FF000000"/>
      </font>
      <fill>
        <patternFill patternType="solid">
          <fgColor rgb="FFFF5349"/>
          <bgColor rgb="FFFF5349"/>
        </patternFill>
      </fill>
      <border/>
    </dxf>
    <dxf>
      <font>
        <b/>
        <i/>
        <color rgb="FFFFFFFF"/>
      </font>
      <fill>
        <patternFill patternType="solid">
          <fgColor rgb="FFBC5D58"/>
          <bgColor rgb="FFBC5D58"/>
        </patternFill>
      </fill>
      <border/>
    </dxf>
    <dxf>
      <font>
        <b/>
        <color rgb="FFFFFFFF"/>
      </font>
      <fill>
        <patternFill patternType="solid">
          <fgColor rgb="FF5B0F00"/>
          <bgColor rgb="FF5B0F00"/>
        </patternFill>
      </fill>
      <border/>
    </dxf>
    <dxf>
      <font>
        <b/>
        <i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i/>
      </font>
      <fill>
        <patternFill patternType="solid">
          <fgColor rgb="FFFFFF00"/>
          <bgColor rgb="FFFFFF00"/>
        </patternFill>
      </fill>
      <border/>
    </dxf>
    <dxf>
      <font>
        <b/>
        <i/>
        <color rgb="FF980000"/>
      </font>
      <fill>
        <patternFill patternType="solid">
          <fgColor rgb="FFFFFF00"/>
          <bgColor rgb="FFFFFF00"/>
        </patternFill>
      </fill>
      <border/>
    </dxf>
    <dxf>
      <font>
        <b/>
        <i/>
        <color rgb="FFFFFFFF"/>
      </font>
      <fill>
        <patternFill patternType="solid">
          <fgColor rgb="FF980000"/>
          <bgColor rgb="FF980000"/>
        </patternFill>
      </fill>
      <border/>
    </dxf>
    <dxf>
      <font>
        <b/>
        <u/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8</xdr:row>
      <xdr:rowOff>190500</xdr:rowOff>
    </xdr:from>
    <xdr:ext cx="3581400" cy="3600450"/>
    <xdr:grpSp>
      <xdr:nvGrpSpPr>
        <xdr:cNvPr id="2" name="Shape 2" title="Drawing"/>
        <xdr:cNvGrpSpPr/>
      </xdr:nvGrpSpPr>
      <xdr:grpSpPr>
        <a:xfrm>
          <a:off x="883075" y="1208200"/>
          <a:ext cx="2519300" cy="2529100"/>
          <a:chOff x="883075" y="1208200"/>
          <a:chExt cx="2519300" cy="2529100"/>
        </a:xfrm>
      </xdr:grpSpPr>
      <xdr:pic>
        <xdr:nvPicPr>
          <xdr:cNvPr id="3" name="Shape 3"/>
          <xdr:cNvPicPr preferRelativeResize="0"/>
        </xdr:nvPicPr>
        <xdr:blipFill rotWithShape="1">
          <a:blip r:embed="rId1">
            <a:alphaModFix/>
          </a:blip>
          <a:srcRect b="19747" l="18268" r="18759" t="23636"/>
          <a:stretch/>
        </xdr:blipFill>
        <xdr:spPr>
          <a:xfrm>
            <a:off x="883075" y="1208200"/>
            <a:ext cx="2519300" cy="2529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me/Munzee" TargetMode="External"/><Relationship Id="rId2" Type="http://schemas.openxmlformats.org/officeDocument/2006/relationships/hyperlink" Target="https://www.munzee.com/map/dp5u68qf0/17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5.13"/>
    <col customWidth="1" min="3" max="3" width="8.25"/>
    <col customWidth="1" min="4" max="4" width="15.0"/>
    <col customWidth="1" min="5" max="5" width="15.63"/>
    <col customWidth="1" min="6" max="6" width="16.0"/>
    <col customWidth="1" hidden="1" min="7" max="7" width="11.75"/>
    <col customWidth="1" min="8" max="8" width="17.88"/>
    <col customWidth="1" min="9" max="9" width="9.13"/>
    <col customWidth="1" min="10" max="10" width="21.88"/>
    <col customWidth="1" min="11" max="11" width="9.13"/>
    <col customWidth="1" min="12" max="12" width="63.75"/>
    <col customWidth="1" min="13" max="13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3" t="s">
        <v>13</v>
      </c>
      <c r="B2" s="4"/>
      <c r="C2" s="4"/>
      <c r="D2" s="5"/>
      <c r="E2" s="5"/>
      <c r="F2" s="4"/>
      <c r="G2" s="4"/>
      <c r="H2" s="6"/>
      <c r="I2" s="7"/>
      <c r="J2" s="7" t="str">
        <f>IF(AND($H2&lt;&gt;"",$I2&lt;&gt;""),HYPERLINK("https://www.munzee.com/m/"&amp;$H2&amp;"/"&amp;$I2&amp;"/map/?lat="&amp;$D2&amp;"&amp;lon="&amp;$E2&amp;"&amp;type="&amp;$F2&amp;"&amp;name="&amp;SUBSTITUTE($A2,"#","%23"),$H2&amp;"/"&amp;$I2),IF($H2&lt;&gt;"",HYPERLINK("https://www.munzee.com/m/"&amp;$H2&amp;"/",$H2),""))</f>
        <v/>
      </c>
      <c r="K2" s="7" t="b">
        <v>0</v>
      </c>
      <c r="L2" s="7"/>
      <c r="M2" s="7" t="str">
        <f t="shared" ref="M2:M56" si="1">IF($H2="","",COUNTIFS($H$2:$H56,"="&amp;$H2,$K$2:$K56,TRUE))</f>
        <v/>
      </c>
    </row>
    <row r="3">
      <c r="A3" s="3" t="s">
        <v>14</v>
      </c>
      <c r="B3" s="4">
        <v>1.0</v>
      </c>
      <c r="C3" s="4">
        <v>3.0</v>
      </c>
      <c r="D3" s="5">
        <v>40.1239787260229</v>
      </c>
      <c r="E3" s="5">
        <v>-84.6082471150801</v>
      </c>
      <c r="F3" s="4" t="s">
        <v>15</v>
      </c>
      <c r="G3" s="4" t="s">
        <v>16</v>
      </c>
      <c r="H3" s="6" t="s">
        <v>17</v>
      </c>
      <c r="I3" s="6">
        <v>8596.0</v>
      </c>
      <c r="J3" s="8" t="str">
        <f>IFERROR(__xludf.DUMMYFUNCTION("IF(AND(REGEXMATCH($H3,""50( ?['fF]([oO]{2})?[tT]?)?( ?[eE][rR]{2}[oO][rR])"")=FALSE,$H3&lt;&gt;"""",$I3&lt;&gt;""""),HYPERLINK(""https://www.munzee.com/m/""&amp;$H3&amp;""/""&amp;$I3&amp;""/map/?lat=""&amp;$D3&amp;""&amp;lon=""&amp;$E3&amp;""&amp;type=""&amp;$G3&amp;""&amp;name=""&amp;SUBSTITUTE($A3,""#"",""%23""),$H3&amp;""/"&amp;"""&amp;$I3),IF($H3&lt;&gt;"""",IF(REGEXMATCH($H3,""50( ?['fF]([oO]{2})?[tT]?)?( ?[eE][rR]{2}[oO][rR])""),HYPERLINK(""https://www.munzee.com/map/?sandbox=1&amp;lat=""&amp;$D3&amp;""&amp;lon=""&amp;$E3&amp;""&amp;name=""&amp;SUBSTITUTE($A3,""#"",""%23""),""SANDBOX""),HYPERLINK(""https://www.munzee."&amp;"com/m/""&amp;$H3&amp;""/deploys/0/type/""&amp;IFNA(VLOOKUP($G3,IMPORTRANGE(""https://docs.google.com/spreadsheets/d/1DliIGyDywdzxhd4svtjaewR0p9Y5UBTMNMQ2PcXsqss"",""type data!E2:F""),2,FALSE),$G3)&amp;""/"",$H3)),""""))"),"jameshau84/8596")</f>
        <v>jameshau84/8596</v>
      </c>
      <c r="K3" s="6" t="b">
        <v>1</v>
      </c>
      <c r="L3" s="3"/>
      <c r="M3" s="7">
        <f t="shared" si="1"/>
        <v>4</v>
      </c>
    </row>
    <row r="4">
      <c r="A4" s="3" t="s">
        <v>18</v>
      </c>
      <c r="B4" s="4">
        <v>1.0</v>
      </c>
      <c r="C4" s="4">
        <v>4.0</v>
      </c>
      <c r="D4" s="5">
        <v>40.1240888298692</v>
      </c>
      <c r="E4" s="5">
        <v>-84.6081262910613</v>
      </c>
      <c r="F4" s="4" t="s">
        <v>15</v>
      </c>
      <c r="G4" s="4" t="s">
        <v>16</v>
      </c>
      <c r="H4" s="6" t="s">
        <v>19</v>
      </c>
      <c r="I4" s="6">
        <v>4110.0</v>
      </c>
      <c r="J4" s="8" t="str">
        <f>IFERROR(__xludf.DUMMYFUNCTION("IF(AND(REGEXMATCH($H4,""50( ?['fF]([oO]{2})?[tT]?)?( ?[eE][rR]{2}[oO][rR])"")=FALSE,$H4&lt;&gt;"""",$I4&lt;&gt;""""),HYPERLINK(""https://www.munzee.com/m/""&amp;$H4&amp;""/""&amp;$I4&amp;""/map/?lat=""&amp;$D4&amp;""&amp;lon=""&amp;$E4&amp;""&amp;type=""&amp;$G4&amp;""&amp;name=""&amp;SUBSTITUTE($A4,""#"",""%23""),$H4&amp;""/"&amp;"""&amp;$I4),IF($H4&lt;&gt;"""",IF(REGEXMATCH($H4,""50( ?['fF]([oO]{2})?[tT]?)?( ?[eE][rR]{2}[oO][rR])""),HYPERLINK(""https://www.munzee.com/map/?sandbox=1&amp;lat=""&amp;$D4&amp;""&amp;lon=""&amp;$E4&amp;""&amp;name=""&amp;SUBSTITUTE($A4,""#"",""%23""),""SANDBOX""),HYPERLINK(""https://www.munzee."&amp;"com/m/""&amp;$H4&amp;""/deploys/0/type/""&amp;IFNA(VLOOKUP($G4,IMPORTRANGE(""https://docs.google.com/spreadsheets/d/1DliIGyDywdzxhd4svtjaewR0p9Y5UBTMNMQ2PcXsqss"",""type data!E2:F""),2,FALSE),$G4)&amp;""/"",$H4)),""""))"),"Majsan/4110")</f>
        <v>Majsan/4110</v>
      </c>
      <c r="K4" s="6" t="b">
        <v>1</v>
      </c>
      <c r="L4" s="9"/>
      <c r="M4" s="7">
        <f t="shared" si="1"/>
        <v>1</v>
      </c>
    </row>
    <row r="5">
      <c r="A5" s="3" t="s">
        <v>20</v>
      </c>
      <c r="B5" s="4">
        <v>1.0</v>
      </c>
      <c r="C5" s="4">
        <v>6.0</v>
      </c>
      <c r="D5" s="5">
        <v>40.1243090375617</v>
      </c>
      <c r="E5" s="5">
        <v>-84.6078846424363</v>
      </c>
      <c r="F5" s="4" t="s">
        <v>15</v>
      </c>
      <c r="G5" s="4" t="s">
        <v>16</v>
      </c>
      <c r="H5" s="6" t="s">
        <v>21</v>
      </c>
      <c r="I5" s="6">
        <v>1860.0</v>
      </c>
      <c r="J5" s="8" t="str">
        <f>IFERROR(__xludf.DUMMYFUNCTION("IF(AND(REGEXMATCH($H5,""50( ?['fF]([oO]{2})?[tT]?)?( ?[eE][rR]{2}[oO][rR])"")=FALSE,$H5&lt;&gt;"""",$I5&lt;&gt;""""),HYPERLINK(""https://www.munzee.com/m/""&amp;$H5&amp;""/""&amp;$I5&amp;""/map/?lat=""&amp;$D5&amp;""&amp;lon=""&amp;$E5&amp;""&amp;type=""&amp;$G5&amp;""&amp;name=""&amp;SUBSTITUTE($A5,""#"",""%23""),$H5&amp;""/"&amp;"""&amp;$I5),IF($H5&lt;&gt;"""",IF(REGEXMATCH($H5,""50( ?['fF]([oO]{2})?[tT]?)?( ?[eE][rR]{2}[oO][rR])""),HYPERLINK(""https://www.munzee.com/map/?sandbox=1&amp;lat=""&amp;$D5&amp;""&amp;lon=""&amp;$E5&amp;""&amp;name=""&amp;SUBSTITUTE($A5,""#"",""%23""),""SANDBOX""),HYPERLINK(""https://www.munzee."&amp;"com/m/""&amp;$H5&amp;""/deploys/0/type/""&amp;IFNA(VLOOKUP($G5,IMPORTRANGE(""https://docs.google.com/spreadsheets/d/1DliIGyDywdzxhd4svtjaewR0p9Y5UBTMNMQ2PcXsqss"",""type data!E2:F""),2,FALSE),$G5)&amp;""/"",$H5)),""""))"),"technical13/1860")</f>
        <v>technical13/1860</v>
      </c>
      <c r="K5" s="6" t="b">
        <v>1</v>
      </c>
      <c r="L5" s="7"/>
      <c r="M5" s="7">
        <f t="shared" si="1"/>
        <v>2</v>
      </c>
    </row>
    <row r="6">
      <c r="A6" s="3" t="s">
        <v>22</v>
      </c>
      <c r="B6" s="4">
        <v>1.0</v>
      </c>
      <c r="C6" s="4">
        <v>7.0</v>
      </c>
      <c r="D6" s="5">
        <v>40.124419141408</v>
      </c>
      <c r="E6" s="5">
        <v>-84.6077638178304</v>
      </c>
      <c r="F6" s="4" t="s">
        <v>15</v>
      </c>
      <c r="G6" s="4" t="s">
        <v>16</v>
      </c>
      <c r="H6" s="6" t="s">
        <v>17</v>
      </c>
      <c r="I6" s="6">
        <v>8597.0</v>
      </c>
      <c r="J6" s="8" t="str">
        <f>IFERROR(__xludf.DUMMYFUNCTION("IF(AND(REGEXMATCH($H6,""50( ?['fF]([oO]{2})?[tT]?)?( ?[eE][rR]{2}[oO][rR])"")=FALSE,$H6&lt;&gt;"""",$I6&lt;&gt;""""),HYPERLINK(""https://www.munzee.com/m/""&amp;$H6&amp;""/""&amp;$I6&amp;""/map/?lat=""&amp;$D6&amp;""&amp;lon=""&amp;$E6&amp;""&amp;type=""&amp;$G6&amp;""&amp;name=""&amp;SUBSTITUTE($A6,""#"",""%23""),$H6&amp;""/"&amp;"""&amp;$I6),IF($H6&lt;&gt;"""",IF(REGEXMATCH($H6,""50( ?['fF]([oO]{2})?[tT]?)?( ?[eE][rR]{2}[oO][rR])""),HYPERLINK(""https://www.munzee.com/map/?sandbox=1&amp;lat=""&amp;$D6&amp;""&amp;lon=""&amp;$E6&amp;""&amp;name=""&amp;SUBSTITUTE($A6,""#"",""%23""),""SANDBOX""),HYPERLINK(""https://www.munzee."&amp;"com/m/""&amp;$H6&amp;""/deploys/0/type/""&amp;IFNA(VLOOKUP($G6,IMPORTRANGE(""https://docs.google.com/spreadsheets/d/1DliIGyDywdzxhd4svtjaewR0p9Y5UBTMNMQ2PcXsqss"",""type data!E2:F""),2,FALSE),$G6)&amp;""/"",$H6)),""""))"),"jameshau84/8597")</f>
        <v>jameshau84/8597</v>
      </c>
      <c r="K6" s="6" t="b">
        <v>1</v>
      </c>
      <c r="L6" s="3"/>
      <c r="M6" s="7">
        <f t="shared" si="1"/>
        <v>4</v>
      </c>
    </row>
    <row r="7">
      <c r="A7" s="3" t="s">
        <v>23</v>
      </c>
      <c r="B7" s="4">
        <v>2.0</v>
      </c>
      <c r="C7" s="4">
        <v>2.0</v>
      </c>
      <c r="D7" s="5">
        <v>40.123776233938</v>
      </c>
      <c r="E7" s="5">
        <v>-84.6082239475042</v>
      </c>
      <c r="F7" s="4" t="s">
        <v>15</v>
      </c>
      <c r="G7" s="4" t="s">
        <v>16</v>
      </c>
      <c r="H7" s="6" t="s">
        <v>24</v>
      </c>
      <c r="I7" s="6">
        <v>5618.0</v>
      </c>
      <c r="J7" s="8" t="str">
        <f>IFERROR(__xludf.DUMMYFUNCTION("IF(AND(REGEXMATCH($H7,""50( ?['fF]([oO]{2})?[tT]?)?( ?[eE][rR]{2}[oO][rR])"")=FALSE,$H7&lt;&gt;"""",$I7&lt;&gt;""""),HYPERLINK(""https://www.munzee.com/m/""&amp;$H7&amp;""/""&amp;$I7&amp;""/map/?lat=""&amp;$D7&amp;""&amp;lon=""&amp;$E7&amp;""&amp;type=""&amp;$G7&amp;""&amp;name=""&amp;SUBSTITUTE($A7,""#"",""%23""),$H7&amp;""/"&amp;"""&amp;$I7),IF($H7&lt;&gt;"""",IF(REGEXMATCH($H7,""50( ?['fF]([oO]{2})?[tT]?)?( ?[eE][rR]{2}[oO][rR])""),HYPERLINK(""https://www.munzee.com/map/?sandbox=1&amp;lat=""&amp;$D7&amp;""&amp;lon=""&amp;$E7&amp;""&amp;name=""&amp;SUBSTITUTE($A7,""#"",""%23""),""SANDBOX""),HYPERLINK(""https://www.munzee."&amp;"com/m/""&amp;$H7&amp;""/deploys/0/type/""&amp;IFNA(VLOOKUP($G7,IMPORTRANGE(""https://docs.google.com/spreadsheets/d/1DliIGyDywdzxhd4svtjaewR0p9Y5UBTMNMQ2PcXsqss"",""type data!E2:F""),2,FALSE),$G7)&amp;""/"",$H7)),""""))"),"kiitokurre/5618")</f>
        <v>kiitokurre/5618</v>
      </c>
      <c r="K7" s="6" t="b">
        <v>1</v>
      </c>
      <c r="L7" s="9"/>
      <c r="M7" s="7">
        <f t="shared" si="1"/>
        <v>1</v>
      </c>
    </row>
    <row r="8">
      <c r="A8" s="3" t="s">
        <v>25</v>
      </c>
      <c r="B8" s="4">
        <v>2.0</v>
      </c>
      <c r="C8" s="4">
        <v>3.0</v>
      </c>
      <c r="D8" s="5">
        <v>40.1238863377843</v>
      </c>
      <c r="E8" s="5">
        <v>-84.6081031238452</v>
      </c>
      <c r="F8" s="4" t="s">
        <v>26</v>
      </c>
      <c r="G8" s="4" t="s">
        <v>27</v>
      </c>
      <c r="H8" s="6" t="s">
        <v>28</v>
      </c>
      <c r="I8" s="6">
        <v>1036.0</v>
      </c>
      <c r="J8" s="8" t="str">
        <f>IFERROR(__xludf.DUMMYFUNCTION("IF(AND(REGEXMATCH($H8,""50( ?['fF]([oO]{2})?[tT]?)?( ?[eE][rR]{2}[oO][rR])"")=FALSE,$H8&lt;&gt;"""",$I8&lt;&gt;""""),HYPERLINK(""https://www.munzee.com/m/""&amp;$H8&amp;""/""&amp;$I8&amp;""/map/?lat=""&amp;$D8&amp;""&amp;lon=""&amp;$E8&amp;""&amp;type=""&amp;$G8&amp;""&amp;name=""&amp;SUBSTITUTE($A8,""#"",""%23""),$H8&amp;""/"&amp;"""&amp;$I8),IF($H8&lt;&gt;"""",IF(REGEXMATCH($H8,""50( ?['fF]([oO]{2})?[tT]?)?( ?[eE][rR]{2}[oO][rR])""),HYPERLINK(""https://www.munzee.com/map/?sandbox=1&amp;lat=""&amp;$D8&amp;""&amp;lon=""&amp;$E8&amp;""&amp;name=""&amp;SUBSTITUTE($A8,""#"",""%23""),""SANDBOX""),HYPERLINK(""https://www.munzee."&amp;"com/m/""&amp;$H8&amp;""/deploys/0/type/""&amp;IFNA(VLOOKUP($G8,IMPORTRANGE(""https://docs.google.com/spreadsheets/d/1DliIGyDywdzxhd4svtjaewR0p9Y5UBTMNMQ2PcXsqss"",""type data!E2:F""),2,FALSE),$G8)&amp;""/"",$H8)),""""))"),"brunosantos/1036")</f>
        <v>brunosantos/1036</v>
      </c>
      <c r="K8" s="6" t="b">
        <v>1</v>
      </c>
      <c r="L8" s="6"/>
      <c r="M8" s="7">
        <f t="shared" si="1"/>
        <v>1</v>
      </c>
    </row>
    <row r="9">
      <c r="A9" s="3" t="s">
        <v>29</v>
      </c>
      <c r="B9" s="4">
        <v>2.0</v>
      </c>
      <c r="C9" s="4">
        <v>4.0</v>
      </c>
      <c r="D9" s="5">
        <v>40.1239964416306</v>
      </c>
      <c r="E9" s="5">
        <v>-84.6079822999905</v>
      </c>
      <c r="F9" s="4" t="s">
        <v>26</v>
      </c>
      <c r="G9" s="4" t="s">
        <v>27</v>
      </c>
      <c r="H9" s="6" t="s">
        <v>30</v>
      </c>
      <c r="I9" s="6">
        <v>833.0</v>
      </c>
      <c r="J9" s="8" t="str">
        <f>IFERROR(__xludf.DUMMYFUNCTION("IF(AND(REGEXMATCH($H9,""50( ?['fF]([oO]{2})?[tT]?)?( ?[eE][rR]{2}[oO][rR])"")=FALSE,$H9&lt;&gt;"""",$I9&lt;&gt;""""),HYPERLINK(""https://www.munzee.com/m/""&amp;$H9&amp;""/""&amp;$I9&amp;""/map/?lat=""&amp;$D9&amp;""&amp;lon=""&amp;$E9&amp;""&amp;type=""&amp;$G9&amp;""&amp;name=""&amp;SUBSTITUTE($A9,""#"",""%23""),$H9&amp;""/"&amp;"""&amp;$I9),IF($H9&lt;&gt;"""",IF(REGEXMATCH($H9,""50( ?['fF]([oO]{2})?[tT]?)?( ?[eE][rR]{2}[oO][rR])""),HYPERLINK(""https://www.munzee.com/map/?sandbox=1&amp;lat=""&amp;$D9&amp;""&amp;lon=""&amp;$E9&amp;""&amp;name=""&amp;SUBSTITUTE($A9,""#"",""%23""),""SANDBOX""),HYPERLINK(""https://www.munzee."&amp;"com/m/""&amp;$H9&amp;""/deploys/0/type/""&amp;IFNA(VLOOKUP($G9,IMPORTRANGE(""https://docs.google.com/spreadsheets/d/1DliIGyDywdzxhd4svtjaewR0p9Y5UBTMNMQ2PcXsqss"",""type data!E2:F""),2,FALSE),$G9)&amp;""/"",$H9)),""""))"),"Muriabreu/833")</f>
        <v>Muriabreu/833</v>
      </c>
      <c r="K9" s="6" t="b">
        <v>1</v>
      </c>
      <c r="L9" s="6"/>
      <c r="M9" s="7">
        <f t="shared" si="1"/>
        <v>1</v>
      </c>
    </row>
    <row r="10">
      <c r="A10" s="3" t="s">
        <v>31</v>
      </c>
      <c r="B10" s="4">
        <v>2.0</v>
      </c>
      <c r="C10" s="4">
        <v>5.0</v>
      </c>
      <c r="D10" s="5">
        <v>40.1241065454768</v>
      </c>
      <c r="E10" s="5">
        <v>-84.6078614759401</v>
      </c>
      <c r="F10" s="4" t="s">
        <v>15</v>
      </c>
      <c r="G10" s="4" t="s">
        <v>16</v>
      </c>
      <c r="H10" s="6" t="s">
        <v>32</v>
      </c>
      <c r="I10" s="6">
        <v>659.0</v>
      </c>
      <c r="J10" s="8" t="str">
        <f>IFERROR(__xludf.DUMMYFUNCTION("IF(AND(REGEXMATCH($H10,""50( ?['fF]([oO]{2})?[tT]?)?( ?[eE][rR]{2}[oO][rR])"")=FALSE,$H10&lt;&gt;"""",$I10&lt;&gt;""""),HYPERLINK(""https://www.munzee.com/m/""&amp;$H10&amp;""/""&amp;$I10&amp;""/map/?lat=""&amp;$D10&amp;""&amp;lon=""&amp;$E10&amp;""&amp;type=""&amp;$G10&amp;""&amp;name=""&amp;SUBSTITUTE($A10,""#"",""%23"""&amp;"),$H10&amp;""/""&amp;$I10),IF($H10&lt;&gt;"""",IF(REGEXMATCH($H10,""50( ?['fF]([oO]{2})?[tT]?)?( ?[eE][rR]{2}[oO][rR])""),HYPERLINK(""https://www.munzee.com/map/?sandbox=1&amp;lat=""&amp;$D10&amp;""&amp;lon=""&amp;$E10&amp;""&amp;name=""&amp;SUBSTITUTE($A10,""#"",""%23""),""SANDBOX""),HYPERLINK(""htt"&amp;"ps://www.munzee.com/m/""&amp;$H10&amp;""/deploys/0/type/""&amp;IFNA(VLOOKUP($G10,IMPORTRANGE(""https://docs.google.com/spreadsheets/d/1DliIGyDywdzxhd4svtjaewR0p9Y5UBTMNMQ2PcXsqss"",""type data!E2:F""),2,FALSE),$G10)&amp;""/"",$H10)),""""))"),"WinterCheetah/659")</f>
        <v>WinterCheetah/659</v>
      </c>
      <c r="K10" s="6" t="b">
        <v>1</v>
      </c>
      <c r="L10" s="6"/>
      <c r="M10" s="7">
        <f t="shared" si="1"/>
        <v>1</v>
      </c>
    </row>
    <row r="11">
      <c r="A11" s="3" t="s">
        <v>33</v>
      </c>
      <c r="B11" s="4">
        <v>2.0</v>
      </c>
      <c r="C11" s="4">
        <v>6.0</v>
      </c>
      <c r="D11" s="5">
        <v>40.1242166493231</v>
      </c>
      <c r="E11" s="5">
        <v>-84.607740651694</v>
      </c>
      <c r="F11" s="4" t="s">
        <v>26</v>
      </c>
      <c r="G11" s="4" t="s">
        <v>27</v>
      </c>
      <c r="H11" s="6" t="s">
        <v>34</v>
      </c>
      <c r="I11" s="6">
        <v>284.0</v>
      </c>
      <c r="J11" s="8" t="str">
        <f>IFERROR(__xludf.DUMMYFUNCTION("IF(AND(REGEXMATCH($H11,""50( ?['fF]([oO]{2})?[tT]?)?( ?[eE][rR]{2}[oO][rR])"")=FALSE,$H11&lt;&gt;"""",$I11&lt;&gt;""""),HYPERLINK(""https://www.munzee.com/m/""&amp;$H11&amp;""/""&amp;$I11&amp;""/map/?lat=""&amp;$D11&amp;""&amp;lon=""&amp;$E11&amp;""&amp;type=""&amp;$G11&amp;""&amp;name=""&amp;SUBSTITUTE($A11,""#"",""%23"""&amp;"),$H11&amp;""/""&amp;$I11),IF($H11&lt;&gt;"""",IF(REGEXMATCH($H11,""50( ?['fF]([oO]{2})?[tT]?)?( ?[eE][rR]{2}[oO][rR])""),HYPERLINK(""https://www.munzee.com/map/?sandbox=1&amp;lat=""&amp;$D11&amp;""&amp;lon=""&amp;$E11&amp;""&amp;name=""&amp;SUBSTITUTE($A11,""#"",""%23""),""SANDBOX""),HYPERLINK(""htt"&amp;"ps://www.munzee.com/m/""&amp;$H11&amp;""/deploys/0/type/""&amp;IFNA(VLOOKUP($G11,IMPORTRANGE(""https://docs.google.com/spreadsheets/d/1DliIGyDywdzxhd4svtjaewR0p9Y5UBTMNMQ2PcXsqss"",""type data!E2:F""),2,FALSE),$G11)&amp;""/"",$H11)),""""))"),"Djaehrling/284")</f>
        <v>Djaehrling/284</v>
      </c>
      <c r="K11" s="6" t="b">
        <v>1</v>
      </c>
      <c r="L11" s="7"/>
      <c r="M11" s="7">
        <f t="shared" si="1"/>
        <v>1</v>
      </c>
    </row>
    <row r="12">
      <c r="A12" s="3" t="s">
        <v>35</v>
      </c>
      <c r="B12" s="4">
        <v>2.0</v>
      </c>
      <c r="C12" s="4">
        <v>7.0</v>
      </c>
      <c r="D12" s="5">
        <v>40.1243267531694</v>
      </c>
      <c r="E12" s="5">
        <v>-84.6076198272522</v>
      </c>
      <c r="F12" s="4" t="s">
        <v>26</v>
      </c>
      <c r="G12" s="4" t="s">
        <v>27</v>
      </c>
      <c r="H12" s="6" t="s">
        <v>36</v>
      </c>
      <c r="I12" s="6">
        <v>8305.0</v>
      </c>
      <c r="J12" s="8" t="str">
        <f>IFERROR(__xludf.DUMMYFUNCTION("IF(AND(REGEXMATCH($H12,""50( ?['fF]([oO]{2})?[tT]?)?( ?[eE][rR]{2}[oO][rR])"")=FALSE,$H12&lt;&gt;"""",$I12&lt;&gt;""""),HYPERLINK(""https://www.munzee.com/m/""&amp;$H12&amp;""/""&amp;$I12&amp;""/map/?lat=""&amp;$D12&amp;""&amp;lon=""&amp;$E12&amp;""&amp;type=""&amp;$G12&amp;""&amp;name=""&amp;SUBSTITUTE($A12,""#"",""%23"""&amp;"),$H12&amp;""/""&amp;$I12),IF($H12&lt;&gt;"""",IF(REGEXMATCH($H12,""50( ?['fF]([oO]{2})?[tT]?)?( ?[eE][rR]{2}[oO][rR])""),HYPERLINK(""https://www.munzee.com/map/?sandbox=1&amp;lat=""&amp;$D12&amp;""&amp;lon=""&amp;$E12&amp;""&amp;name=""&amp;SUBSTITUTE($A12,""#"",""%23""),""SANDBOX""),HYPERLINK(""htt"&amp;"ps://www.munzee.com/m/""&amp;$H12&amp;""/deploys/0/type/""&amp;IFNA(VLOOKUP($G12,IMPORTRANGE(""https://docs.google.com/spreadsheets/d/1DliIGyDywdzxhd4svtjaewR0p9Y5UBTMNMQ2PcXsqss"",""type data!E2:F""),2,FALSE),$G12)&amp;""/"",$H12)),""""))"),"SpaceCoastGeoStore/8305")</f>
        <v>SpaceCoastGeoStore/8305</v>
      </c>
      <c r="K12" s="6" t="b">
        <v>1</v>
      </c>
      <c r="L12" s="7"/>
      <c r="M12" s="7">
        <f t="shared" si="1"/>
        <v>1</v>
      </c>
    </row>
    <row r="13">
      <c r="A13" s="3" t="s">
        <v>37</v>
      </c>
      <c r="B13" s="4">
        <v>2.0</v>
      </c>
      <c r="C13" s="4">
        <v>8.0</v>
      </c>
      <c r="D13" s="5">
        <v>40.1244368570156</v>
      </c>
      <c r="E13" s="5">
        <v>-84.6074990026148</v>
      </c>
      <c r="F13" s="4" t="s">
        <v>15</v>
      </c>
      <c r="G13" s="4" t="s">
        <v>16</v>
      </c>
      <c r="H13" s="6" t="s">
        <v>38</v>
      </c>
      <c r="I13" s="6">
        <v>8982.0</v>
      </c>
      <c r="J13" s="8" t="str">
        <f>IFERROR(__xludf.DUMMYFUNCTION("IF(AND(REGEXMATCH($H13,""50( ?['fF]([oO]{2})?[tT]?)?( ?[eE][rR]{2}[oO][rR])"")=FALSE,$H13&lt;&gt;"""",$I13&lt;&gt;""""),HYPERLINK(""https://www.munzee.com/m/""&amp;$H13&amp;""/""&amp;$I13&amp;""/map/?lat=""&amp;$D13&amp;""&amp;lon=""&amp;$E13&amp;""&amp;type=""&amp;$G13&amp;""&amp;name=""&amp;SUBSTITUTE($A13,""#"",""%23"""&amp;"),$H13&amp;""/""&amp;$I13),IF($H13&lt;&gt;"""",IF(REGEXMATCH($H13,""50( ?['fF]([oO]{2})?[tT]?)?( ?[eE][rR]{2}[oO][rR])""),HYPERLINK(""https://www.munzee.com/map/?sandbox=1&amp;lat=""&amp;$D13&amp;""&amp;lon=""&amp;$E13&amp;""&amp;name=""&amp;SUBSTITUTE($A13,""#"",""%23""),""SANDBOX""),HYPERLINK(""htt"&amp;"ps://www.munzee.com/m/""&amp;$H13&amp;""/deploys/0/type/""&amp;IFNA(VLOOKUP($G13,IMPORTRANGE(""https://docs.google.com/spreadsheets/d/1DliIGyDywdzxhd4svtjaewR0p9Y5UBTMNMQ2PcXsqss"",""type data!E2:F""),2,FALSE),$G13)&amp;""/"",$H13)),""""))"),"SLAUGY/8982")</f>
        <v>SLAUGY/8982</v>
      </c>
      <c r="K13" s="6" t="b">
        <v>1</v>
      </c>
      <c r="L13" s="3"/>
      <c r="M13" s="7">
        <f t="shared" si="1"/>
        <v>1</v>
      </c>
    </row>
    <row r="14">
      <c r="A14" s="3" t="s">
        <v>39</v>
      </c>
      <c r="B14" s="4">
        <v>3.0</v>
      </c>
      <c r="C14" s="4">
        <v>1.0</v>
      </c>
      <c r="D14" s="5">
        <v>40.1235737418531</v>
      </c>
      <c r="E14" s="5">
        <v>-84.6082007796</v>
      </c>
      <c r="F14" s="4" t="s">
        <v>15</v>
      </c>
      <c r="G14" s="4" t="s">
        <v>16</v>
      </c>
      <c r="H14" s="6" t="s">
        <v>40</v>
      </c>
      <c r="I14" s="6">
        <v>7273.0</v>
      </c>
      <c r="J14" s="8" t="str">
        <f>IFERROR(__xludf.DUMMYFUNCTION("IF(AND(REGEXMATCH($H14,""50( ?['fF]([oO]{2})?[tT]?)?( ?[eE][rR]{2}[oO][rR])"")=FALSE,$H14&lt;&gt;"""",$I14&lt;&gt;""""),HYPERLINK(""https://www.munzee.com/m/""&amp;$H14&amp;""/""&amp;$I14&amp;""/map/?lat=""&amp;$D14&amp;""&amp;lon=""&amp;$E14&amp;""&amp;type=""&amp;$G14&amp;""&amp;name=""&amp;SUBSTITUTE($A14,""#"",""%23"""&amp;"),$H14&amp;""/""&amp;$I14),IF($H14&lt;&gt;"""",IF(REGEXMATCH($H14,""50( ?['fF]([oO]{2})?[tT]?)?( ?[eE][rR]{2}[oO][rR])""),HYPERLINK(""https://www.munzee.com/map/?sandbox=1&amp;lat=""&amp;$D14&amp;""&amp;lon=""&amp;$E14&amp;""&amp;name=""&amp;SUBSTITUTE($A14,""#"",""%23""),""SANDBOX""),HYPERLINK(""htt"&amp;"ps://www.munzee.com/m/""&amp;$H14&amp;""/deploys/0/type/""&amp;IFNA(VLOOKUP($G14,IMPORTRANGE(""https://docs.google.com/spreadsheets/d/1DliIGyDywdzxhd4svtjaewR0p9Y5UBTMNMQ2PcXsqss"",""type data!E2:F""),2,FALSE),$G14)&amp;""/"",$H14)),""""))"),"bslaugh/7273")</f>
        <v>bslaugh/7273</v>
      </c>
      <c r="K14" s="6" t="b">
        <v>1</v>
      </c>
      <c r="L14" s="6"/>
      <c r="M14" s="7">
        <f t="shared" si="1"/>
        <v>1</v>
      </c>
    </row>
    <row r="15">
      <c r="A15" s="3" t="s">
        <v>41</v>
      </c>
      <c r="B15" s="4">
        <v>3.0</v>
      </c>
      <c r="C15" s="4">
        <v>2.0</v>
      </c>
      <c r="D15" s="5">
        <v>40.1236838456994</v>
      </c>
      <c r="E15" s="5">
        <v>-84.6080799563008</v>
      </c>
      <c r="F15" s="4" t="s">
        <v>26</v>
      </c>
      <c r="G15" s="4" t="s">
        <v>27</v>
      </c>
      <c r="H15" s="6" t="s">
        <v>42</v>
      </c>
      <c r="I15" s="6">
        <v>12553.0</v>
      </c>
      <c r="J15" s="8" t="str">
        <f>IFERROR(__xludf.DUMMYFUNCTION("IF(AND(REGEXMATCH($H15,""50( ?['fF]([oO]{2})?[tT]?)?( ?[eE][rR]{2}[oO][rR])"")=FALSE,$H15&lt;&gt;"""",$I15&lt;&gt;""""),HYPERLINK(""https://www.munzee.com/m/""&amp;$H15&amp;""/""&amp;$I15&amp;""/map/?lat=""&amp;$D15&amp;""&amp;lon=""&amp;$E15&amp;""&amp;type=""&amp;$G15&amp;""&amp;name=""&amp;SUBSTITUTE($A15,""#"",""%23"""&amp;"),$H15&amp;""/""&amp;$I15),IF($H15&lt;&gt;"""",IF(REGEXMATCH($H15,""50( ?['fF]([oO]{2})?[tT]?)?( ?[eE][rR]{2}[oO][rR])""),HYPERLINK(""https://www.munzee.com/map/?sandbox=1&amp;lat=""&amp;$D15&amp;""&amp;lon=""&amp;$E15&amp;""&amp;name=""&amp;SUBSTITUTE($A15,""#"",""%23""),""SANDBOX""),HYPERLINK(""htt"&amp;"ps://www.munzee.com/m/""&amp;$H15&amp;""/deploys/0/type/""&amp;IFNA(VLOOKUP($G15,IMPORTRANGE(""https://docs.google.com/spreadsheets/d/1DliIGyDywdzxhd4svtjaewR0p9Y5UBTMNMQ2PcXsqss"",""type data!E2:F""),2,FALSE),$G15)&amp;""/"",$H15)),""""))"),"denali0407/12553")</f>
        <v>denali0407/12553</v>
      </c>
      <c r="K15" s="6" t="b">
        <v>1</v>
      </c>
      <c r="L15" s="6"/>
      <c r="M15" s="7">
        <f t="shared" si="1"/>
        <v>1</v>
      </c>
    </row>
    <row r="16">
      <c r="A16" s="3" t="s">
        <v>43</v>
      </c>
      <c r="B16" s="4">
        <v>3.0</v>
      </c>
      <c r="C16" s="4">
        <v>3.0</v>
      </c>
      <c r="D16" s="5">
        <v>40.1237939495457</v>
      </c>
      <c r="E16" s="5">
        <v>-84.607959132806</v>
      </c>
      <c r="F16" s="4" t="s">
        <v>26</v>
      </c>
      <c r="G16" s="4" t="s">
        <v>27</v>
      </c>
      <c r="H16" s="6" t="s">
        <v>44</v>
      </c>
      <c r="I16" s="10">
        <v>9758.0</v>
      </c>
      <c r="J16" s="8" t="str">
        <f>IFERROR(__xludf.DUMMYFUNCTION("IF(AND(REGEXMATCH($H16,""50( ?['fF]([oO]{2})?[tT]?)?( ?[eE][rR]{2}[oO][rR])"")=FALSE,$H16&lt;&gt;"""",$I16&lt;&gt;""""),HYPERLINK(""https://www.munzee.com/m/""&amp;$H16&amp;""/""&amp;$I16&amp;""/map/?lat=""&amp;$D16&amp;""&amp;lon=""&amp;$E16&amp;""&amp;type=""&amp;$G16&amp;""&amp;name=""&amp;SUBSTITUTE($A16,""#"",""%23"""&amp;"),$H16&amp;""/""&amp;$I16),IF($H16&lt;&gt;"""",IF(REGEXMATCH($H16,""50( ?['fF]([oO]{2})?[tT]?)?( ?[eE][rR]{2}[oO][rR])""),HYPERLINK(""https://www.munzee.com/map/?sandbox=1&amp;lat=""&amp;$D16&amp;""&amp;lon=""&amp;$E16&amp;""&amp;name=""&amp;SUBSTITUTE($A16,""#"",""%23""),""SANDBOX""),HYPERLINK(""htt"&amp;"ps://www.munzee.com/m/""&amp;$H16&amp;""/deploys/0/type/""&amp;IFNA(VLOOKUP($G16,IMPORTRANGE(""https://docs.google.com/spreadsheets/d/1DliIGyDywdzxhd4svtjaewR0p9Y5UBTMNMQ2PcXsqss"",""type data!E2:F""),2,FALSE),$G16)&amp;""/"",$H16)),""""))"),"annabanana/9758")</f>
        <v>annabanana/9758</v>
      </c>
      <c r="K16" s="6" t="b">
        <v>1</v>
      </c>
      <c r="L16" s="7"/>
      <c r="M16" s="7">
        <f t="shared" si="1"/>
        <v>1</v>
      </c>
    </row>
    <row r="17">
      <c r="A17" s="3" t="s">
        <v>45</v>
      </c>
      <c r="B17" s="4">
        <v>3.0</v>
      </c>
      <c r="C17" s="4">
        <v>4.0</v>
      </c>
      <c r="D17" s="5">
        <v>40.1239040533919</v>
      </c>
      <c r="E17" s="5">
        <v>-84.6078383091155</v>
      </c>
      <c r="F17" s="4" t="s">
        <v>26</v>
      </c>
      <c r="G17" s="4" t="s">
        <v>27</v>
      </c>
      <c r="H17" s="6" t="s">
        <v>46</v>
      </c>
      <c r="I17" s="6">
        <v>6076.0</v>
      </c>
      <c r="J17" s="8" t="str">
        <f>IFERROR(__xludf.DUMMYFUNCTION("IF(AND(REGEXMATCH($H17,""50( ?['fF]([oO]{2})?[tT]?)?( ?[eE][rR]{2}[oO][rR])"")=FALSE,$H17&lt;&gt;"""",$I17&lt;&gt;""""),HYPERLINK(""https://www.munzee.com/m/""&amp;$H17&amp;""/""&amp;$I17&amp;""/map/?lat=""&amp;$D17&amp;""&amp;lon=""&amp;$E17&amp;""&amp;type=""&amp;$G17&amp;""&amp;name=""&amp;SUBSTITUTE($A17,""#"",""%23"""&amp;"),$H17&amp;""/""&amp;$I17),IF($H17&lt;&gt;"""",IF(REGEXMATCH($H17,""50( ?['fF]([oO]{2})?[tT]?)?( ?[eE][rR]{2}[oO][rR])""),HYPERLINK(""https://www.munzee.com/map/?sandbox=1&amp;lat=""&amp;$D17&amp;""&amp;lon=""&amp;$E17&amp;""&amp;name=""&amp;SUBSTITUTE($A17,""#"",""%23""),""SANDBOX""),HYPERLINK(""htt"&amp;"ps://www.munzee.com/m/""&amp;$H17&amp;""/deploys/0/type/""&amp;IFNA(VLOOKUP($G17,IMPORTRANGE(""https://docs.google.com/spreadsheets/d/1DliIGyDywdzxhd4svtjaewR0p9Y5UBTMNMQ2PcXsqss"",""type data!E2:F""),2,FALSE),$G17)&amp;""/"",$H17)),""""))"),"JRdaBoss/6076")</f>
        <v>JRdaBoss/6076</v>
      </c>
      <c r="K17" s="6" t="b">
        <v>1</v>
      </c>
      <c r="L17" s="7"/>
      <c r="M17" s="7">
        <f t="shared" si="1"/>
        <v>1</v>
      </c>
    </row>
    <row r="18">
      <c r="A18" s="3" t="s">
        <v>47</v>
      </c>
      <c r="B18" s="4">
        <v>3.0</v>
      </c>
      <c r="C18" s="4">
        <v>5.0</v>
      </c>
      <c r="D18" s="5">
        <v>40.1240141572382</v>
      </c>
      <c r="E18" s="5">
        <v>-84.6077174852292</v>
      </c>
      <c r="F18" s="4" t="s">
        <v>26</v>
      </c>
      <c r="G18" s="4" t="s">
        <v>27</v>
      </c>
      <c r="H18" s="6" t="s">
        <v>48</v>
      </c>
      <c r="I18" s="6">
        <v>2874.0</v>
      </c>
      <c r="J18" s="8" t="str">
        <f>IFERROR(__xludf.DUMMYFUNCTION("IF(AND(REGEXMATCH($H18,""50( ?['fF]([oO]{2})?[tT]?)?( ?[eE][rR]{2}[oO][rR])"")=FALSE,$H18&lt;&gt;"""",$I18&lt;&gt;""""),HYPERLINK(""https://www.munzee.com/m/""&amp;$H18&amp;""/""&amp;$I18&amp;""/map/?lat=""&amp;$D18&amp;""&amp;lon=""&amp;$E18&amp;""&amp;type=""&amp;$G18&amp;""&amp;name=""&amp;SUBSTITUTE($A18,""#"",""%23"""&amp;"),$H18&amp;""/""&amp;$I18),IF($H18&lt;&gt;"""",IF(REGEXMATCH($H18,""50( ?['fF]([oO]{2})?[tT]?)?( ?[eE][rR]{2}[oO][rR])""),HYPERLINK(""https://www.munzee.com/map/?sandbox=1&amp;lat=""&amp;$D18&amp;""&amp;lon=""&amp;$E18&amp;""&amp;name=""&amp;SUBSTITUTE($A18,""#"",""%23""),""SANDBOX""),HYPERLINK(""htt"&amp;"ps://www.munzee.com/m/""&amp;$H18&amp;""/deploys/0/type/""&amp;IFNA(VLOOKUP($G18,IMPORTRANGE(""https://docs.google.com/spreadsheets/d/1DliIGyDywdzxhd4svtjaewR0p9Y5UBTMNMQ2PcXsqss"",""type data!E2:F""),2,FALSE),$G18)&amp;""/"",$H18)),""""))"),"sohcah/2874")</f>
        <v>sohcah/2874</v>
      </c>
      <c r="K18" s="6" t="b">
        <v>1</v>
      </c>
      <c r="L18" s="7"/>
      <c r="M18" s="7">
        <f t="shared" si="1"/>
        <v>2</v>
      </c>
    </row>
    <row r="19">
      <c r="A19" s="3" t="s">
        <v>49</v>
      </c>
      <c r="B19" s="4">
        <v>3.0</v>
      </c>
      <c r="C19" s="4">
        <v>6.0</v>
      </c>
      <c r="D19" s="5">
        <v>40.1241242610845</v>
      </c>
      <c r="E19" s="5">
        <v>-84.6075966611474</v>
      </c>
      <c r="F19" s="4" t="s">
        <v>26</v>
      </c>
      <c r="G19" s="4" t="s">
        <v>27</v>
      </c>
      <c r="H19" s="6" t="s">
        <v>50</v>
      </c>
      <c r="I19" s="6">
        <v>874.0</v>
      </c>
      <c r="J19" s="8" t="str">
        <f>IFERROR(__xludf.DUMMYFUNCTION("IF(AND(REGEXMATCH($H19,""50( ?['fF]([oO]{2})?[tT]?)?( ?[eE][rR]{2}[oO][rR])"")=FALSE,$H19&lt;&gt;"""",$I19&lt;&gt;""""),HYPERLINK(""https://www.munzee.com/m/""&amp;$H19&amp;""/""&amp;$I19&amp;""/map/?lat=""&amp;$D19&amp;""&amp;lon=""&amp;$E19&amp;""&amp;type=""&amp;$G19&amp;""&amp;name=""&amp;SUBSTITUTE($A19,""#"",""%23"""&amp;"),$H19&amp;""/""&amp;$I19),IF($H19&lt;&gt;"""",IF(REGEXMATCH($H19,""50( ?['fF]([oO]{2})?[tT]?)?( ?[eE][rR]{2}[oO][rR])""),HYPERLINK(""https://www.munzee.com/map/?sandbox=1&amp;lat=""&amp;$D19&amp;""&amp;lon=""&amp;$E19&amp;""&amp;name=""&amp;SUBSTITUTE($A19,""#"",""%23""),""SANDBOX""),HYPERLINK(""htt"&amp;"ps://www.munzee.com/m/""&amp;$H19&amp;""/deploys/0/type/""&amp;IFNA(VLOOKUP($G19,IMPORTRANGE(""https://docs.google.com/spreadsheets/d/1DliIGyDywdzxhd4svtjaewR0p9Y5UBTMNMQ2PcXsqss"",""type data!E2:F""),2,FALSE),$G19)&amp;""/"",$H19)),""""))"),"PelicanRouge/874")</f>
        <v>PelicanRouge/874</v>
      </c>
      <c r="K19" s="6" t="b">
        <v>1</v>
      </c>
      <c r="M19" s="7">
        <f t="shared" si="1"/>
        <v>1</v>
      </c>
    </row>
    <row r="20">
      <c r="A20" s="3" t="s">
        <v>51</v>
      </c>
      <c r="B20" s="4">
        <v>3.0</v>
      </c>
      <c r="C20" s="4">
        <v>7.0</v>
      </c>
      <c r="D20" s="5">
        <v>40.1242343649308</v>
      </c>
      <c r="E20" s="5">
        <v>-84.6074758368698</v>
      </c>
      <c r="F20" s="4" t="s">
        <v>26</v>
      </c>
      <c r="G20" s="4" t="s">
        <v>27</v>
      </c>
      <c r="H20" s="6" t="s">
        <v>52</v>
      </c>
      <c r="I20" s="3">
        <v>4601.0</v>
      </c>
      <c r="J20" s="8" t="str">
        <f>IFERROR(__xludf.DUMMYFUNCTION("IF(AND(REGEXMATCH($H20,""50( ?['fF]([oO]{2})?[tT]?)?( ?[eE][rR]{2}[oO][rR])"")=FALSE,$H20&lt;&gt;"""",$I20&lt;&gt;""""),HYPERLINK(""https://www.munzee.com/m/""&amp;$H20&amp;""/""&amp;$I20&amp;""/map/?lat=""&amp;$D20&amp;""&amp;lon=""&amp;$E20&amp;""&amp;type=""&amp;$G20&amp;""&amp;name=""&amp;SUBSTITUTE($A20,""#"",""%23"""&amp;"),$H20&amp;""/""&amp;$I20),IF($H20&lt;&gt;"""",IF(REGEXMATCH($H20,""50( ?['fF]([oO]{2})?[tT]?)?( ?[eE][rR]{2}[oO][rR])""),HYPERLINK(""https://www.munzee.com/map/?sandbox=1&amp;lat=""&amp;$D20&amp;""&amp;lon=""&amp;$E20&amp;""&amp;name=""&amp;SUBSTITUTE($A20,""#"",""%23""),""SANDBOX""),HYPERLINK(""htt"&amp;"ps://www.munzee.com/m/""&amp;$H20&amp;""/deploys/0/type/""&amp;IFNA(VLOOKUP($G20,IMPORTRANGE(""https://docs.google.com/spreadsheets/d/1DliIGyDywdzxhd4svtjaewR0p9Y5UBTMNMQ2PcXsqss"",""type data!E2:F""),2,FALSE),$G20)&amp;""/"",$H20)),""""))"),"BonnieB1/4601")</f>
        <v>BonnieB1/4601</v>
      </c>
      <c r="K20" s="6" t="b">
        <v>1</v>
      </c>
      <c r="L20" s="7"/>
      <c r="M20" s="7">
        <f t="shared" si="1"/>
        <v>1</v>
      </c>
    </row>
    <row r="21">
      <c r="A21" s="3" t="s">
        <v>53</v>
      </c>
      <c r="B21" s="4">
        <v>3.0</v>
      </c>
      <c r="C21" s="4">
        <v>8.0</v>
      </c>
      <c r="D21" s="5">
        <v>40.124344468777</v>
      </c>
      <c r="E21" s="5">
        <v>-84.6073550123965</v>
      </c>
      <c r="F21" s="4" t="s">
        <v>26</v>
      </c>
      <c r="G21" s="4" t="s">
        <v>27</v>
      </c>
      <c r="H21" s="6" t="s">
        <v>54</v>
      </c>
      <c r="I21" s="6">
        <v>1449.0</v>
      </c>
      <c r="J21" s="8" t="str">
        <f>IFERROR(__xludf.DUMMYFUNCTION("IF(AND(REGEXMATCH($H21,""50( ?['fF]([oO]{2})?[tT]?)?( ?[eE][rR]{2}[oO][rR])"")=FALSE,$H21&lt;&gt;"""",$I21&lt;&gt;""""),HYPERLINK(""https://www.munzee.com/m/""&amp;$H21&amp;""/""&amp;$I21&amp;""/map/?lat=""&amp;$D21&amp;""&amp;lon=""&amp;$E21&amp;""&amp;type=""&amp;$G21&amp;""&amp;name=""&amp;SUBSTITUTE($A21,""#"",""%23"""&amp;"),$H21&amp;""/""&amp;$I21),IF($H21&lt;&gt;"""",IF(REGEXMATCH($H21,""50( ?['fF]([oO]{2})?[tT]?)?( ?[eE][rR]{2}[oO][rR])""),HYPERLINK(""https://www.munzee.com/map/?sandbox=1&amp;lat=""&amp;$D21&amp;""&amp;lon=""&amp;$E21&amp;""&amp;name=""&amp;SUBSTITUTE($A21,""#"",""%23""),""SANDBOX""),HYPERLINK(""htt"&amp;"ps://www.munzee.com/m/""&amp;$H21&amp;""/deploys/0/type/""&amp;IFNA(VLOOKUP($G21,IMPORTRANGE(""https://docs.google.com/spreadsheets/d/1DliIGyDywdzxhd4svtjaewR0p9Y5UBTMNMQ2PcXsqss"",""type data!E2:F""),2,FALSE),$G21)&amp;""/"",$H21)),""""))"),"IggiePiggie/1449")</f>
        <v>IggiePiggie/1449</v>
      </c>
      <c r="K21" s="6" t="b">
        <v>1</v>
      </c>
      <c r="L21" s="7"/>
      <c r="M21" s="7">
        <f t="shared" si="1"/>
        <v>1</v>
      </c>
    </row>
    <row r="22">
      <c r="A22" s="3" t="s">
        <v>55</v>
      </c>
      <c r="B22" s="4">
        <v>3.0</v>
      </c>
      <c r="C22" s="4">
        <v>9.0</v>
      </c>
      <c r="D22" s="5">
        <v>40.1244545726233</v>
      </c>
      <c r="E22" s="5">
        <v>-84.6072341877276</v>
      </c>
      <c r="F22" s="4" t="s">
        <v>15</v>
      </c>
      <c r="G22" s="4" t="s">
        <v>16</v>
      </c>
      <c r="H22" s="6" t="s">
        <v>56</v>
      </c>
      <c r="I22" s="6">
        <v>3904.0</v>
      </c>
      <c r="J22" s="8" t="str">
        <f>IFERROR(__xludf.DUMMYFUNCTION("IF(AND(REGEXMATCH($H22,""50( ?['fF]([oO]{2})?[tT]?)?( ?[eE][rR]{2}[oO][rR])"")=FALSE,$H22&lt;&gt;"""",$I22&lt;&gt;""""),HYPERLINK(""https://www.munzee.com/m/""&amp;$H22&amp;""/""&amp;$I22&amp;""/map/?lat=""&amp;$D22&amp;""&amp;lon=""&amp;$E22&amp;""&amp;type=""&amp;$G22&amp;""&amp;name=""&amp;SUBSTITUTE($A22,""#"",""%23"""&amp;"),$H22&amp;""/""&amp;$I22),IF($H22&lt;&gt;"""",IF(REGEXMATCH($H22,""50( ?['fF]([oO]{2})?[tT]?)?( ?[eE][rR]{2}[oO][rR])""),HYPERLINK(""https://www.munzee.com/map/?sandbox=1&amp;lat=""&amp;$D22&amp;""&amp;lon=""&amp;$E22&amp;""&amp;name=""&amp;SUBSTITUTE($A22,""#"",""%23""),""SANDBOX""),HYPERLINK(""htt"&amp;"ps://www.munzee.com/m/""&amp;$H22&amp;""/deploys/0/type/""&amp;IFNA(VLOOKUP($G22,IMPORTRANGE(""https://docs.google.com/spreadsheets/d/1DliIGyDywdzxhd4svtjaewR0p9Y5UBTMNMQ2PcXsqss"",""type data!E2:F""),2,FALSE),$G22)&amp;""/"",$H22)),""""))"),"lanyasummer/3904")</f>
        <v>lanyasummer/3904</v>
      </c>
      <c r="K22" s="6" t="b">
        <v>1</v>
      </c>
      <c r="L22" s="6"/>
      <c r="M22" s="7">
        <f t="shared" si="1"/>
        <v>1</v>
      </c>
    </row>
    <row r="23">
      <c r="A23" s="3" t="s">
        <v>57</v>
      </c>
      <c r="B23" s="4">
        <v>4.0</v>
      </c>
      <c r="C23" s="4">
        <v>1.0</v>
      </c>
      <c r="D23" s="5">
        <v>40.1234813536145</v>
      </c>
      <c r="E23" s="5">
        <v>-84.608056788428</v>
      </c>
      <c r="F23" s="4" t="s">
        <v>15</v>
      </c>
      <c r="G23" s="4" t="s">
        <v>16</v>
      </c>
      <c r="H23" s="6" t="s">
        <v>17</v>
      </c>
      <c r="I23" s="6">
        <v>8598.0</v>
      </c>
      <c r="J23" s="8" t="str">
        <f>IFERROR(__xludf.DUMMYFUNCTION("IF(AND(REGEXMATCH($H23,""50( ?['fF]([oO]{2})?[tT]?)?( ?[eE][rR]{2}[oO][rR])"")=FALSE,$H23&lt;&gt;"""",$I23&lt;&gt;""""),HYPERLINK(""https://www.munzee.com/m/""&amp;$H23&amp;""/""&amp;$I23&amp;""/map/?lat=""&amp;$D23&amp;""&amp;lon=""&amp;$E23&amp;""&amp;type=""&amp;$G23&amp;""&amp;name=""&amp;SUBSTITUTE($A23,""#"",""%23"""&amp;"),$H23&amp;""/""&amp;$I23),IF($H23&lt;&gt;"""",IF(REGEXMATCH($H23,""50( ?['fF]([oO]{2})?[tT]?)?( ?[eE][rR]{2}[oO][rR])""),HYPERLINK(""https://www.munzee.com/map/?sandbox=1&amp;lat=""&amp;$D23&amp;""&amp;lon=""&amp;$E23&amp;""&amp;name=""&amp;SUBSTITUTE($A23,""#"",""%23""),""SANDBOX""),HYPERLINK(""htt"&amp;"ps://www.munzee.com/m/""&amp;$H23&amp;""/deploys/0/type/""&amp;IFNA(VLOOKUP($G23,IMPORTRANGE(""https://docs.google.com/spreadsheets/d/1DliIGyDywdzxhd4svtjaewR0p9Y5UBTMNMQ2PcXsqss"",""type data!E2:F""),2,FALSE),$G23)&amp;""/"",$H23)),""""))"),"jameshau84/8598")</f>
        <v>jameshau84/8598</v>
      </c>
      <c r="K23" s="6" t="b">
        <v>1</v>
      </c>
      <c r="L23" s="3"/>
      <c r="M23" s="7">
        <f t="shared" si="1"/>
        <v>4</v>
      </c>
    </row>
    <row r="24">
      <c r="A24" s="3" t="s">
        <v>58</v>
      </c>
      <c r="B24" s="4">
        <v>4.0</v>
      </c>
      <c r="C24" s="4">
        <v>2.0</v>
      </c>
      <c r="D24" s="5">
        <v>40.1235914574607</v>
      </c>
      <c r="E24" s="5">
        <v>-84.607935965293</v>
      </c>
      <c r="F24" s="4" t="s">
        <v>26</v>
      </c>
      <c r="G24" s="4" t="s">
        <v>27</v>
      </c>
      <c r="H24" s="6" t="s">
        <v>59</v>
      </c>
      <c r="I24" s="6">
        <v>6159.0</v>
      </c>
      <c r="J24" s="8" t="str">
        <f>IFERROR(__xludf.DUMMYFUNCTION("IF(AND(REGEXMATCH($H24,""50( ?['fF]([oO]{2})?[tT]?)?( ?[eE][rR]{2}[oO][rR])"")=FALSE,$H24&lt;&gt;"""",$I24&lt;&gt;""""),HYPERLINK(""https://www.munzee.com/m/""&amp;$H24&amp;""/""&amp;$I24&amp;""/map/?lat=""&amp;$D24&amp;""&amp;lon=""&amp;$E24&amp;""&amp;type=""&amp;$G24&amp;""&amp;name=""&amp;SUBSTITUTE($A24,""#"",""%23"""&amp;"),$H24&amp;""/""&amp;$I24),IF($H24&lt;&gt;"""",IF(REGEXMATCH($H24,""50( ?['fF]([oO]{2})?[tT]?)?( ?[eE][rR]{2}[oO][rR])""),HYPERLINK(""https://www.munzee.com/map/?sandbox=1&amp;lat=""&amp;$D24&amp;""&amp;lon=""&amp;$E24&amp;""&amp;name=""&amp;SUBSTITUTE($A24,""#"",""%23""),""SANDBOX""),HYPERLINK(""htt"&amp;"ps://www.munzee.com/m/""&amp;$H24&amp;""/deploys/0/type/""&amp;IFNA(VLOOKUP($G24,IMPORTRANGE(""https://docs.google.com/spreadsheets/d/1DliIGyDywdzxhd4svtjaewR0p9Y5UBTMNMQ2PcXsqss"",""type data!E2:F""),2,FALSE),$G24)&amp;""/"",$H24)),""""))"),"RePe/6159")</f>
        <v>RePe/6159</v>
      </c>
      <c r="K24" s="6" t="b">
        <v>1</v>
      </c>
      <c r="L24" s="6"/>
      <c r="M24" s="7">
        <f t="shared" si="1"/>
        <v>2</v>
      </c>
    </row>
    <row r="25">
      <c r="A25" s="3" t="s">
        <v>60</v>
      </c>
      <c r="B25" s="4">
        <v>4.0</v>
      </c>
      <c r="C25" s="4">
        <v>3.0</v>
      </c>
      <c r="D25" s="5">
        <v>40.123701561307</v>
      </c>
      <c r="E25" s="5">
        <v>-84.6078151419624</v>
      </c>
      <c r="F25" s="4" t="s">
        <v>26</v>
      </c>
      <c r="G25" s="4" t="s">
        <v>27</v>
      </c>
      <c r="H25" s="6" t="s">
        <v>61</v>
      </c>
      <c r="I25" s="6">
        <v>2659.0</v>
      </c>
      <c r="J25" s="8" t="str">
        <f>IFERROR(__xludf.DUMMYFUNCTION("IF(AND(REGEXMATCH($H25,""50( ?['fF]([oO]{2})?[tT]?)?( ?[eE][rR]{2}[oO][rR])"")=FALSE,$H25&lt;&gt;"""",$I25&lt;&gt;""""),HYPERLINK(""https://www.munzee.com/m/""&amp;$H25&amp;""/""&amp;$I25&amp;""/map/?lat=""&amp;$D25&amp;""&amp;lon=""&amp;$E25&amp;""&amp;type=""&amp;$G25&amp;""&amp;name=""&amp;SUBSTITUTE($A25,""#"",""%23"""&amp;"),$H25&amp;""/""&amp;$I25),IF($H25&lt;&gt;"""",IF(REGEXMATCH($H25,""50( ?['fF]([oO]{2})?[tT]?)?( ?[eE][rR]{2}[oO][rR])""),HYPERLINK(""https://www.munzee.com/map/?sandbox=1&amp;lat=""&amp;$D25&amp;""&amp;lon=""&amp;$E25&amp;""&amp;name=""&amp;SUBSTITUTE($A25,""#"",""%23""),""SANDBOX""),HYPERLINK(""htt"&amp;"ps://www.munzee.com/m/""&amp;$H25&amp;""/deploys/0/type/""&amp;IFNA(VLOOKUP($G25,IMPORTRANGE(""https://docs.google.com/spreadsheets/d/1DliIGyDywdzxhd4svtjaewR0p9Y5UBTMNMQ2PcXsqss"",""type data!E2:F""),2,FALSE),$G25)&amp;""/"",$H25)),""""))"),"grubsneerg/2659")</f>
        <v>grubsneerg/2659</v>
      </c>
      <c r="K25" s="6" t="b">
        <v>1</v>
      </c>
      <c r="L25" s="6"/>
      <c r="M25" s="7">
        <f t="shared" si="1"/>
        <v>2</v>
      </c>
    </row>
    <row r="26">
      <c r="A26" s="3" t="s">
        <v>62</v>
      </c>
      <c r="B26" s="4">
        <v>4.0</v>
      </c>
      <c r="C26" s="4">
        <v>4.0</v>
      </c>
      <c r="D26" s="5">
        <v>40.1238116651533</v>
      </c>
      <c r="E26" s="5">
        <v>-84.607694318436</v>
      </c>
      <c r="F26" s="4" t="s">
        <v>26</v>
      </c>
      <c r="G26" s="4" t="s">
        <v>27</v>
      </c>
      <c r="H26" s="6" t="s">
        <v>63</v>
      </c>
      <c r="I26" s="6">
        <v>1093.0</v>
      </c>
      <c r="J26" s="8" t="str">
        <f>IFERROR(__xludf.DUMMYFUNCTION("IF(AND(REGEXMATCH($H26,""50( ?['fF]([oO]{2})?[tT]?)?( ?[eE][rR]{2}[oO][rR])"")=FALSE,$H26&lt;&gt;"""",$I26&lt;&gt;""""),HYPERLINK(""https://www.munzee.com/m/""&amp;$H26&amp;""/""&amp;$I26&amp;""/map/?lat=""&amp;$D26&amp;""&amp;lon=""&amp;$E26&amp;""&amp;type=""&amp;$G26&amp;""&amp;name=""&amp;SUBSTITUTE($A26,""#"",""%23"""&amp;"),$H26&amp;""/""&amp;$I26),IF($H26&lt;&gt;"""",IF(REGEXMATCH($H26,""50( ?['fF]([oO]{2})?[tT]?)?( ?[eE][rR]{2}[oO][rR])""),HYPERLINK(""https://www.munzee.com/map/?sandbox=1&amp;lat=""&amp;$D26&amp;""&amp;lon=""&amp;$E26&amp;""&amp;name=""&amp;SUBSTITUTE($A26,""#"",""%23""),""SANDBOX""),HYPERLINK(""htt"&amp;"ps://www.munzee.com/m/""&amp;$H26&amp;""/deploys/0/type/""&amp;IFNA(VLOOKUP($G26,IMPORTRANGE(""https://docs.google.com/spreadsheets/d/1DliIGyDywdzxhd4svtjaewR0p9Y5UBTMNMQ2PcXsqss"",""type data!E2:F""),2,FALSE),$G26)&amp;""/"",$H26)),""""))"),"TheJump/1093")</f>
        <v>TheJump/1093</v>
      </c>
      <c r="K26" s="6" t="b">
        <v>1</v>
      </c>
      <c r="L26" s="6"/>
      <c r="M26" s="7">
        <f t="shared" si="1"/>
        <v>1</v>
      </c>
    </row>
    <row r="27">
      <c r="A27" s="3" t="s">
        <v>64</v>
      </c>
      <c r="B27" s="4">
        <v>4.0</v>
      </c>
      <c r="C27" s="4">
        <v>5.0</v>
      </c>
      <c r="D27" s="5">
        <v>40.1239217689996</v>
      </c>
      <c r="E27" s="5">
        <v>-84.607573494714</v>
      </c>
      <c r="F27" s="4" t="s">
        <v>26</v>
      </c>
      <c r="G27" s="4" t="s">
        <v>27</v>
      </c>
      <c r="H27" s="6" t="s">
        <v>59</v>
      </c>
      <c r="I27" s="6">
        <v>6166.0</v>
      </c>
      <c r="J27" s="8" t="str">
        <f>IFERROR(__xludf.DUMMYFUNCTION("IF(AND(REGEXMATCH($H27,""50( ?['fF]([oO]{2})?[tT]?)?( ?[eE][rR]{2}[oO][rR])"")=FALSE,$H27&lt;&gt;"""",$I27&lt;&gt;""""),HYPERLINK(""https://www.munzee.com/m/""&amp;$H27&amp;""/""&amp;$I27&amp;""/map/?lat=""&amp;$D27&amp;""&amp;lon=""&amp;$E27&amp;""&amp;type=""&amp;$G27&amp;""&amp;name=""&amp;SUBSTITUTE($A27,""#"",""%23"""&amp;"),$H27&amp;""/""&amp;$I27),IF($H27&lt;&gt;"""",IF(REGEXMATCH($H27,""50( ?['fF]([oO]{2})?[tT]?)?( ?[eE][rR]{2}[oO][rR])""),HYPERLINK(""https://www.munzee.com/map/?sandbox=1&amp;lat=""&amp;$D27&amp;""&amp;lon=""&amp;$E27&amp;""&amp;name=""&amp;SUBSTITUTE($A27,""#"",""%23""),""SANDBOX""),HYPERLINK(""htt"&amp;"ps://www.munzee.com/m/""&amp;$H27&amp;""/deploys/0/type/""&amp;IFNA(VLOOKUP($G27,IMPORTRANGE(""https://docs.google.com/spreadsheets/d/1DliIGyDywdzxhd4svtjaewR0p9Y5UBTMNMQ2PcXsqss"",""type data!E2:F""),2,FALSE),$G27)&amp;""/"",$H27)),""""))"),"RePe/6166")</f>
        <v>RePe/6166</v>
      </c>
      <c r="K27" s="6" t="b">
        <v>1</v>
      </c>
      <c r="L27" s="7"/>
      <c r="M27" s="7">
        <f t="shared" si="1"/>
        <v>2</v>
      </c>
    </row>
    <row r="28">
      <c r="A28" s="3" t="s">
        <v>65</v>
      </c>
      <c r="B28" s="4">
        <v>4.0</v>
      </c>
      <c r="C28" s="4">
        <v>6.0</v>
      </c>
      <c r="D28" s="5">
        <v>40.1240318728458</v>
      </c>
      <c r="E28" s="5">
        <v>-84.6074526707963</v>
      </c>
      <c r="F28" s="4" t="s">
        <v>26</v>
      </c>
      <c r="G28" s="4" t="s">
        <v>27</v>
      </c>
      <c r="H28" s="6" t="s">
        <v>61</v>
      </c>
      <c r="I28" s="6">
        <v>2661.0</v>
      </c>
      <c r="J28" s="8" t="str">
        <f>IFERROR(__xludf.DUMMYFUNCTION("IF(AND(REGEXMATCH($H28,""50( ?['fF]([oO]{2})?[tT]?)?( ?[eE][rR]{2}[oO][rR])"")=FALSE,$H28&lt;&gt;"""",$I28&lt;&gt;""""),HYPERLINK(""https://www.munzee.com/m/""&amp;$H28&amp;""/""&amp;$I28&amp;""/map/?lat=""&amp;$D28&amp;""&amp;lon=""&amp;$E28&amp;""&amp;type=""&amp;$G28&amp;""&amp;name=""&amp;SUBSTITUTE($A28,""#"",""%23"""&amp;"),$H28&amp;""/""&amp;$I28),IF($H28&lt;&gt;"""",IF(REGEXMATCH($H28,""50( ?['fF]([oO]{2})?[tT]?)?( ?[eE][rR]{2}[oO][rR])""),HYPERLINK(""https://www.munzee.com/map/?sandbox=1&amp;lat=""&amp;$D28&amp;""&amp;lon=""&amp;$E28&amp;""&amp;name=""&amp;SUBSTITUTE($A28,""#"",""%23""),""SANDBOX""),HYPERLINK(""htt"&amp;"ps://www.munzee.com/m/""&amp;$H28&amp;""/deploys/0/type/""&amp;IFNA(VLOOKUP($G28,IMPORTRANGE(""https://docs.google.com/spreadsheets/d/1DliIGyDywdzxhd4svtjaewR0p9Y5UBTMNMQ2PcXsqss"",""type data!E2:F""),2,FALSE),$G28)&amp;""/"",$H28)),""""))"),"grubsneerg/2661")</f>
        <v>grubsneerg/2661</v>
      </c>
      <c r="K28" s="6" t="b">
        <v>1</v>
      </c>
      <c r="L28" s="6"/>
      <c r="M28" s="7">
        <f t="shared" si="1"/>
        <v>2</v>
      </c>
    </row>
    <row r="29">
      <c r="A29" s="3" t="s">
        <v>66</v>
      </c>
      <c r="B29" s="4">
        <v>4.0</v>
      </c>
      <c r="C29" s="4">
        <v>7.0</v>
      </c>
      <c r="D29" s="5">
        <v>40.1241419766921</v>
      </c>
      <c r="E29" s="5">
        <v>-84.607331846683</v>
      </c>
      <c r="F29" s="4" t="s">
        <v>26</v>
      </c>
      <c r="G29" s="4" t="s">
        <v>27</v>
      </c>
      <c r="H29" s="6" t="s">
        <v>67</v>
      </c>
      <c r="I29" s="10">
        <v>8751.0</v>
      </c>
      <c r="J29" s="8" t="str">
        <f>IFERROR(__xludf.DUMMYFUNCTION("IF(AND(REGEXMATCH($H29,""50( ?['fF]([oO]{2})?[tT]?)?( ?[eE][rR]{2}[oO][rR])"")=FALSE,$H29&lt;&gt;"""",$I29&lt;&gt;""""),HYPERLINK(""https://www.munzee.com/m/""&amp;$H29&amp;""/""&amp;$I29&amp;""/map/?lat=""&amp;$D29&amp;""&amp;lon=""&amp;$E29&amp;""&amp;type=""&amp;$G29&amp;""&amp;name=""&amp;SUBSTITUTE($A29,""#"",""%23"""&amp;"),$H29&amp;""/""&amp;$I29),IF($H29&lt;&gt;"""",IF(REGEXMATCH($H29,""50( ?['fF]([oO]{2})?[tT]?)?( ?[eE][rR]{2}[oO][rR])""),HYPERLINK(""https://www.munzee.com/map/?sandbox=1&amp;lat=""&amp;$D29&amp;""&amp;lon=""&amp;$E29&amp;""&amp;name=""&amp;SUBSTITUTE($A29,""#"",""%23""),""SANDBOX""),HYPERLINK(""htt"&amp;"ps://www.munzee.com/m/""&amp;$H29&amp;""/deploys/0/type/""&amp;IFNA(VLOOKUP($G29,IMPORTRANGE(""https://docs.google.com/spreadsheets/d/1DliIGyDywdzxhd4svtjaewR0p9Y5UBTMNMQ2PcXsqss"",""type data!E2:F""),2,FALSE),$G29)&amp;""/"",$H29)),""""))"),"daysleeperdot /8751")</f>
        <v>daysleeperdot /8751</v>
      </c>
      <c r="K29" s="6" t="b">
        <v>1</v>
      </c>
      <c r="L29" s="7"/>
      <c r="M29" s="7">
        <f t="shared" si="1"/>
        <v>1</v>
      </c>
    </row>
    <row r="30">
      <c r="A30" s="3" t="s">
        <v>68</v>
      </c>
      <c r="B30" s="4">
        <v>4.0</v>
      </c>
      <c r="C30" s="4">
        <v>8.0</v>
      </c>
      <c r="D30" s="5">
        <v>40.1242520805384</v>
      </c>
      <c r="E30" s="5">
        <v>-84.6072110223739</v>
      </c>
      <c r="F30" s="4" t="s">
        <v>26</v>
      </c>
      <c r="G30" s="4" t="s">
        <v>27</v>
      </c>
      <c r="H30" s="6" t="s">
        <v>69</v>
      </c>
      <c r="I30" s="6">
        <v>646.0</v>
      </c>
      <c r="J30" s="8" t="str">
        <f>IFERROR(__xludf.DUMMYFUNCTION("IF(AND(REGEXMATCH($H30,""50( ?['fF]([oO]{2})?[tT]?)?( ?[eE][rR]{2}[oO][rR])"")=FALSE,$H30&lt;&gt;"""",$I30&lt;&gt;""""),HYPERLINK(""https://www.munzee.com/m/""&amp;$H30&amp;""/""&amp;$I30&amp;""/map/?lat=""&amp;$D30&amp;""&amp;lon=""&amp;$E30&amp;""&amp;type=""&amp;$G30&amp;""&amp;name=""&amp;SUBSTITUTE($A30,""#"",""%23"""&amp;"),$H30&amp;""/""&amp;$I30),IF($H30&lt;&gt;"""",IF(REGEXMATCH($H30,""50( ?['fF]([oO]{2})?[tT]?)?( ?[eE][rR]{2}[oO][rR])""),HYPERLINK(""https://www.munzee.com/map/?sandbox=1&amp;lat=""&amp;$D30&amp;""&amp;lon=""&amp;$E30&amp;""&amp;name=""&amp;SUBSTITUTE($A30,""#"",""%23""),""SANDBOX""),HYPERLINK(""htt"&amp;"ps://www.munzee.com/m/""&amp;$H30&amp;""/deploys/0/type/""&amp;IFNA(VLOOKUP($G30,IMPORTRANGE(""https://docs.google.com/spreadsheets/d/1DliIGyDywdzxhd4svtjaewR0p9Y5UBTMNMQ2PcXsqss"",""type data!E2:F""),2,FALSE),$G30)&amp;""/"",$H30)),""""))"),"Soitenlysue/646")</f>
        <v>Soitenlysue/646</v>
      </c>
      <c r="K30" s="6" t="b">
        <v>1</v>
      </c>
      <c r="L30" s="7"/>
      <c r="M30" s="7">
        <f t="shared" si="1"/>
        <v>3</v>
      </c>
    </row>
    <row r="31">
      <c r="A31" s="3" t="s">
        <v>70</v>
      </c>
      <c r="B31" s="4">
        <v>4.0</v>
      </c>
      <c r="C31" s="4">
        <v>9.0</v>
      </c>
      <c r="D31" s="5">
        <v>40.1243621843846</v>
      </c>
      <c r="E31" s="5">
        <v>-84.6070901978691</v>
      </c>
      <c r="F31" s="4" t="s">
        <v>15</v>
      </c>
      <c r="G31" s="4" t="s">
        <v>16</v>
      </c>
      <c r="H31" s="6" t="s">
        <v>17</v>
      </c>
      <c r="I31" s="6">
        <v>8599.0</v>
      </c>
      <c r="J31" s="8" t="str">
        <f>IFERROR(__xludf.DUMMYFUNCTION("IF(AND(REGEXMATCH($H31,""50( ?['fF]([oO]{2})?[tT]?)?( ?[eE][rR]{2}[oO][rR])"")=FALSE,$H31&lt;&gt;"""",$I31&lt;&gt;""""),HYPERLINK(""https://www.munzee.com/m/""&amp;$H31&amp;""/""&amp;$I31&amp;""/map/?lat=""&amp;$D31&amp;""&amp;lon=""&amp;$E31&amp;""&amp;type=""&amp;$G31&amp;""&amp;name=""&amp;SUBSTITUTE($A31,""#"",""%23"""&amp;"),$H31&amp;""/""&amp;$I31),IF($H31&lt;&gt;"""",IF(REGEXMATCH($H31,""50( ?['fF]([oO]{2})?[tT]?)?( ?[eE][rR]{2}[oO][rR])""),HYPERLINK(""https://www.munzee.com/map/?sandbox=1&amp;lat=""&amp;$D31&amp;""&amp;lon=""&amp;$E31&amp;""&amp;name=""&amp;SUBSTITUTE($A31,""#"",""%23""),""SANDBOX""),HYPERLINK(""htt"&amp;"ps://www.munzee.com/m/""&amp;$H31&amp;""/deploys/0/type/""&amp;IFNA(VLOOKUP($G31,IMPORTRANGE(""https://docs.google.com/spreadsheets/d/1DliIGyDywdzxhd4svtjaewR0p9Y5UBTMNMQ2PcXsqss"",""type data!E2:F""),2,FALSE),$G31)&amp;""/"",$H31)),""""))"),"jameshau84/8599")</f>
        <v>jameshau84/8599</v>
      </c>
      <c r="K31" s="6" t="b">
        <v>1</v>
      </c>
      <c r="L31" s="3"/>
      <c r="M31" s="7">
        <f t="shared" si="1"/>
        <v>4</v>
      </c>
    </row>
    <row r="32">
      <c r="A32" s="3" t="s">
        <v>71</v>
      </c>
      <c r="B32" s="4">
        <v>5.0</v>
      </c>
      <c r="C32" s="4">
        <v>1.0</v>
      </c>
      <c r="D32" s="5">
        <v>40.1233889653758</v>
      </c>
      <c r="E32" s="5">
        <v>-84.6079127974517</v>
      </c>
      <c r="F32" s="4" t="s">
        <v>15</v>
      </c>
      <c r="G32" s="4" t="s">
        <v>16</v>
      </c>
      <c r="H32" s="6" t="s">
        <v>72</v>
      </c>
      <c r="I32" s="6">
        <v>4176.0</v>
      </c>
      <c r="J32" s="8" t="str">
        <f>IFERROR(__xludf.DUMMYFUNCTION("IF(AND(REGEXMATCH($H32,""50( ?['fF]([oO]{2})?[tT]?)?( ?[eE][rR]{2}[oO][rR])"")=FALSE,$H32&lt;&gt;"""",$I32&lt;&gt;""""),HYPERLINK(""https://www.munzee.com/m/""&amp;$H32&amp;""/""&amp;$I32&amp;""/map/?lat=""&amp;$D32&amp;""&amp;lon=""&amp;$E32&amp;""&amp;type=""&amp;$G32&amp;""&amp;name=""&amp;SUBSTITUTE($A32,""#"",""%23"""&amp;"),$H32&amp;""/""&amp;$I32),IF($H32&lt;&gt;"""",IF(REGEXMATCH($H32,""50( ?['fF]([oO]{2})?[tT]?)?( ?[eE][rR]{2}[oO][rR])""),HYPERLINK(""https://www.munzee.com/map/?sandbox=1&amp;lat=""&amp;$D32&amp;""&amp;lon=""&amp;$E32&amp;""&amp;name=""&amp;SUBSTITUTE($A32,""#"",""%23""),""SANDBOX""),HYPERLINK(""htt"&amp;"ps://www.munzee.com/m/""&amp;$H32&amp;""/deploys/0/type/""&amp;IFNA(VLOOKUP($G32,IMPORTRANGE(""https://docs.google.com/spreadsheets/d/1DliIGyDywdzxhd4svtjaewR0p9Y5UBTMNMQ2PcXsqss"",""type data!E2:F""),2,FALSE),$G32)&amp;""/"",$H32)),""""))"),"Neta/4176")</f>
        <v>Neta/4176</v>
      </c>
      <c r="K32" s="6" t="b">
        <v>1</v>
      </c>
      <c r="L32" s="7"/>
      <c r="M32" s="7">
        <f t="shared" si="1"/>
        <v>1</v>
      </c>
    </row>
    <row r="33">
      <c r="A33" s="3" t="s">
        <v>73</v>
      </c>
      <c r="B33" s="4">
        <v>5.0</v>
      </c>
      <c r="C33" s="4">
        <v>2.0</v>
      </c>
      <c r="D33" s="5">
        <v>40.1234990692221</v>
      </c>
      <c r="E33" s="5">
        <v>-84.6077919744809</v>
      </c>
      <c r="F33" s="4" t="s">
        <v>26</v>
      </c>
      <c r="G33" s="4" t="s">
        <v>27</v>
      </c>
      <c r="H33" s="6" t="s">
        <v>69</v>
      </c>
      <c r="I33" s="6">
        <v>642.0</v>
      </c>
      <c r="J33" s="8" t="str">
        <f>IFERROR(__xludf.DUMMYFUNCTION("IF(AND(REGEXMATCH($H33,""50( ?['fF]([oO]{2})?[tT]?)?( ?[eE][rR]{2}[oO][rR])"")=FALSE,$H33&lt;&gt;"""",$I33&lt;&gt;""""),HYPERLINK(""https://www.munzee.com/m/""&amp;$H33&amp;""/""&amp;$I33&amp;""/map/?lat=""&amp;$D33&amp;""&amp;lon=""&amp;$E33&amp;""&amp;type=""&amp;$G33&amp;""&amp;name=""&amp;SUBSTITUTE($A33,""#"",""%23"""&amp;"),$H33&amp;""/""&amp;$I33),IF($H33&lt;&gt;"""",IF(REGEXMATCH($H33,""50( ?['fF]([oO]{2})?[tT]?)?( ?[eE][rR]{2}[oO][rR])""),HYPERLINK(""https://www.munzee.com/map/?sandbox=1&amp;lat=""&amp;$D33&amp;""&amp;lon=""&amp;$E33&amp;""&amp;name=""&amp;SUBSTITUTE($A33,""#"",""%23""),""SANDBOX""),HYPERLINK(""htt"&amp;"ps://www.munzee.com/m/""&amp;$H33&amp;""/deploys/0/type/""&amp;IFNA(VLOOKUP($G33,IMPORTRANGE(""https://docs.google.com/spreadsheets/d/1DliIGyDywdzxhd4svtjaewR0p9Y5UBTMNMQ2PcXsqss"",""type data!E2:F""),2,FALSE),$G33)&amp;""/"",$H33)),""""))"),"Soitenlysue/642")</f>
        <v>Soitenlysue/642</v>
      </c>
      <c r="K33" s="6" t="b">
        <v>1</v>
      </c>
      <c r="L33" s="7"/>
      <c r="M33" s="7">
        <f t="shared" si="1"/>
        <v>3</v>
      </c>
    </row>
    <row r="34">
      <c r="A34" s="3" t="s">
        <v>74</v>
      </c>
      <c r="B34" s="4">
        <v>5.0</v>
      </c>
      <c r="C34" s="4">
        <v>3.0</v>
      </c>
      <c r="D34" s="5">
        <v>40.1236091730684</v>
      </c>
      <c r="E34" s="5">
        <v>-84.6076711513144</v>
      </c>
      <c r="F34" s="4" t="s">
        <v>26</v>
      </c>
      <c r="G34" s="4" t="s">
        <v>27</v>
      </c>
      <c r="H34" s="6" t="s">
        <v>75</v>
      </c>
      <c r="I34" s="6">
        <v>8676.0</v>
      </c>
      <c r="J34" s="8" t="str">
        <f>IFERROR(__xludf.DUMMYFUNCTION("IF(AND(REGEXMATCH($H34,""50( ?['fF]([oO]{2})?[tT]?)?( ?[eE][rR]{2}[oO][rR])"")=FALSE,$H34&lt;&gt;"""",$I34&lt;&gt;""""),HYPERLINK(""https://www.munzee.com/m/""&amp;$H34&amp;""/""&amp;$I34&amp;""/map/?lat=""&amp;$D34&amp;""&amp;lon=""&amp;$E34&amp;""&amp;type=""&amp;$G34&amp;""&amp;name=""&amp;SUBSTITUTE($A34,""#"",""%23"""&amp;"),$H34&amp;""/""&amp;$I34),IF($H34&lt;&gt;"""",IF(REGEXMATCH($H34,""50( ?['fF]([oO]{2})?[tT]?)?( ?[eE][rR]{2}[oO][rR])""),HYPERLINK(""https://www.munzee.com/map/?sandbox=1&amp;lat=""&amp;$D34&amp;""&amp;lon=""&amp;$E34&amp;""&amp;name=""&amp;SUBSTITUTE($A34,""#"",""%23""),""SANDBOX""),HYPERLINK(""htt"&amp;"ps://www.munzee.com/m/""&amp;$H34&amp;""/deploys/0/type/""&amp;IFNA(VLOOKUP($G34,IMPORTRANGE(""https://docs.google.com/spreadsheets/d/1DliIGyDywdzxhd4svtjaewR0p9Y5UBTMNMQ2PcXsqss"",""type data!E2:F""),2,FALSE),$G34)&amp;""/"",$H34)),""""))"),"Munzeeprof /8676")</f>
        <v>Munzeeprof /8676</v>
      </c>
      <c r="K34" s="6" t="b">
        <v>1</v>
      </c>
      <c r="L34" s="7"/>
      <c r="M34" s="7">
        <f t="shared" si="1"/>
        <v>3</v>
      </c>
    </row>
    <row r="35">
      <c r="A35" s="3" t="s">
        <v>76</v>
      </c>
      <c r="B35" s="4">
        <v>5.0</v>
      </c>
      <c r="C35" s="4">
        <v>4.0</v>
      </c>
      <c r="D35" s="5">
        <v>40.1237192769146</v>
      </c>
      <c r="E35" s="5">
        <v>-84.6075503279523</v>
      </c>
      <c r="F35" s="4" t="s">
        <v>26</v>
      </c>
      <c r="G35" s="4" t="s">
        <v>27</v>
      </c>
      <c r="H35" s="6" t="s">
        <v>77</v>
      </c>
      <c r="I35" s="6">
        <v>1290.0</v>
      </c>
      <c r="J35" s="8" t="str">
        <f>IFERROR(__xludf.DUMMYFUNCTION("IF(AND(REGEXMATCH($H35,""50( ?['fF]([oO]{2})?[tT]?)?( ?[eE][rR]{2}[oO][rR])"")=FALSE,$H35&lt;&gt;"""",$I35&lt;&gt;""""),HYPERLINK(""https://www.munzee.com/m/""&amp;$H35&amp;""/""&amp;$I35&amp;""/map/?lat=""&amp;$D35&amp;""&amp;lon=""&amp;$E35&amp;""&amp;type=""&amp;$G35&amp;""&amp;name=""&amp;SUBSTITUTE($A35,""#"",""%23"""&amp;"),$H35&amp;""/""&amp;$I35),IF($H35&lt;&gt;"""",IF(REGEXMATCH($H35,""50( ?['fF]([oO]{2})?[tT]?)?( ?[eE][rR]{2}[oO][rR])""),HYPERLINK(""https://www.munzee.com/map/?sandbox=1&amp;lat=""&amp;$D35&amp;""&amp;lon=""&amp;$E35&amp;""&amp;name=""&amp;SUBSTITUTE($A35,""#"",""%23""),""SANDBOX""),HYPERLINK(""htt"&amp;"ps://www.munzee.com/m/""&amp;$H35&amp;""/deploys/0/type/""&amp;IFNA(VLOOKUP($G35,IMPORTRANGE(""https://docs.google.com/spreadsheets/d/1DliIGyDywdzxhd4svtjaewR0p9Y5UBTMNMQ2PcXsqss"",""type data!E2:F""),2,FALSE),$G35)&amp;""/"",$H35)),""""))"),"EmeraldAngel/1290")</f>
        <v>EmeraldAngel/1290</v>
      </c>
      <c r="K35" s="6" t="b">
        <v>1</v>
      </c>
      <c r="L35" s="6"/>
      <c r="M35" s="7">
        <f t="shared" si="1"/>
        <v>3</v>
      </c>
    </row>
    <row r="36">
      <c r="A36" s="3" t="s">
        <v>78</v>
      </c>
      <c r="B36" s="4">
        <v>5.0</v>
      </c>
      <c r="C36" s="4">
        <v>5.0</v>
      </c>
      <c r="D36" s="5">
        <v>40.1238293807609</v>
      </c>
      <c r="E36" s="5">
        <v>-84.6074295043945</v>
      </c>
      <c r="F36" s="4" t="s">
        <v>26</v>
      </c>
      <c r="G36" s="4" t="s">
        <v>27</v>
      </c>
      <c r="H36" s="6" t="s">
        <v>79</v>
      </c>
      <c r="I36" s="6">
        <v>3968.0</v>
      </c>
      <c r="J36" s="8" t="str">
        <f>IFERROR(__xludf.DUMMYFUNCTION("IF(AND(REGEXMATCH($H36,""50( ?['fF]([oO]{2})?[tT]?)?( ?[eE][rR]{2}[oO][rR])"")=FALSE,$H36&lt;&gt;"""",$I36&lt;&gt;""""),HYPERLINK(""https://www.munzee.com/m/""&amp;$H36&amp;""/""&amp;$I36&amp;""/map/?lat=""&amp;$D36&amp;""&amp;lon=""&amp;$E36&amp;""&amp;type=""&amp;$G36&amp;""&amp;name=""&amp;SUBSTITUTE($A36,""#"",""%23"""&amp;"),$H36&amp;""/""&amp;$I36),IF($H36&lt;&gt;"""",IF(REGEXMATCH($H36,""50( ?['fF]([oO]{2})?[tT]?)?( ?[eE][rR]{2}[oO][rR])""),HYPERLINK(""https://www.munzee.com/map/?sandbox=1&amp;lat=""&amp;$D36&amp;""&amp;lon=""&amp;$E36&amp;""&amp;name=""&amp;SUBSTITUTE($A36,""#"",""%23""),""SANDBOX""),HYPERLINK(""htt"&amp;"ps://www.munzee.com/m/""&amp;$H36&amp;""/deploys/0/type/""&amp;IFNA(VLOOKUP($G36,IMPORTRANGE(""https://docs.google.com/spreadsheets/d/1DliIGyDywdzxhd4svtjaewR0p9Y5UBTMNMQ2PcXsqss"",""type data!E2:F""),2,FALSE),$G36)&amp;""/"",$H36)),""""))"),"mortonfox/3968")</f>
        <v>mortonfox/3968</v>
      </c>
      <c r="K36" s="6" t="b">
        <v>1</v>
      </c>
      <c r="L36" s="7"/>
      <c r="M36" s="7">
        <f t="shared" si="1"/>
        <v>1</v>
      </c>
    </row>
    <row r="37">
      <c r="A37" s="3" t="s">
        <v>80</v>
      </c>
      <c r="B37" s="4">
        <v>5.0</v>
      </c>
      <c r="C37" s="4">
        <v>6.0</v>
      </c>
      <c r="D37" s="5">
        <v>40.1239394846072</v>
      </c>
      <c r="E37" s="5">
        <v>-84.6073086806411</v>
      </c>
      <c r="F37" s="4" t="s">
        <v>26</v>
      </c>
      <c r="G37" s="4" t="s">
        <v>27</v>
      </c>
      <c r="H37" s="6" t="s">
        <v>81</v>
      </c>
      <c r="I37" s="6">
        <v>7083.0</v>
      </c>
      <c r="J37" s="8" t="str">
        <f>IFERROR(__xludf.DUMMYFUNCTION("IF(AND(REGEXMATCH($H37,""50( ?['fF]([oO]{2})?[tT]?)?( ?[eE][rR]{2}[oO][rR])"")=FALSE,$H37&lt;&gt;"""",$I37&lt;&gt;""""),HYPERLINK(""https://www.munzee.com/m/""&amp;$H37&amp;""/""&amp;$I37&amp;""/map/?lat=""&amp;$D37&amp;""&amp;lon=""&amp;$E37&amp;""&amp;type=""&amp;$G37&amp;""&amp;name=""&amp;SUBSTITUTE($A37,""#"",""%23"""&amp;"),$H37&amp;""/""&amp;$I37),IF($H37&lt;&gt;"""",IF(REGEXMATCH($H37,""50( ?['fF]([oO]{2})?[tT]?)?( ?[eE][rR]{2}[oO][rR])""),HYPERLINK(""https://www.munzee.com/map/?sandbox=1&amp;lat=""&amp;$D37&amp;""&amp;lon=""&amp;$E37&amp;""&amp;name=""&amp;SUBSTITUTE($A37,""#"",""%23""),""SANDBOX""),HYPERLINK(""htt"&amp;"ps://www.munzee.com/m/""&amp;$H37&amp;""/deploys/0/type/""&amp;IFNA(VLOOKUP($G37,IMPORTRANGE(""https://docs.google.com/spreadsheets/d/1DliIGyDywdzxhd4svtjaewR0p9Y5UBTMNMQ2PcXsqss"",""type data!E2:F""),2,FALSE),$G37)&amp;""/"",$H37)),""""))"),"MarkCase/7083")</f>
        <v>MarkCase/7083</v>
      </c>
      <c r="K37" s="6" t="b">
        <v>1</v>
      </c>
      <c r="L37" s="6"/>
      <c r="M37" s="7">
        <f t="shared" si="1"/>
        <v>1</v>
      </c>
    </row>
    <row r="38">
      <c r="A38" s="3" t="s">
        <v>82</v>
      </c>
      <c r="B38" s="4">
        <v>5.0</v>
      </c>
      <c r="C38" s="4">
        <v>7.0</v>
      </c>
      <c r="D38" s="5">
        <v>40.1240495884535</v>
      </c>
      <c r="E38" s="5">
        <v>-84.6071878566919</v>
      </c>
      <c r="F38" s="4" t="s">
        <v>26</v>
      </c>
      <c r="G38" s="4" t="s">
        <v>27</v>
      </c>
      <c r="H38" s="6" t="s">
        <v>75</v>
      </c>
      <c r="I38" s="6">
        <v>8675.0</v>
      </c>
      <c r="J38" s="8" t="str">
        <f>IFERROR(__xludf.DUMMYFUNCTION("IF(AND(REGEXMATCH($H38,""50( ?['fF]([oO]{2})?[tT]?)?( ?[eE][rR]{2}[oO][rR])"")=FALSE,$H38&lt;&gt;"""",$I38&lt;&gt;""""),HYPERLINK(""https://www.munzee.com/m/""&amp;$H38&amp;""/""&amp;$I38&amp;""/map/?lat=""&amp;$D38&amp;""&amp;lon=""&amp;$E38&amp;""&amp;type=""&amp;$G38&amp;""&amp;name=""&amp;SUBSTITUTE($A38,""#"",""%23"""&amp;"),$H38&amp;""/""&amp;$I38),IF($H38&lt;&gt;"""",IF(REGEXMATCH($H38,""50( ?['fF]([oO]{2})?[tT]?)?( ?[eE][rR]{2}[oO][rR])""),HYPERLINK(""https://www.munzee.com/map/?sandbox=1&amp;lat=""&amp;$D38&amp;""&amp;lon=""&amp;$E38&amp;""&amp;name=""&amp;SUBSTITUTE($A38,""#"",""%23""),""SANDBOX""),HYPERLINK(""htt"&amp;"ps://www.munzee.com/m/""&amp;$H38&amp;""/deploys/0/type/""&amp;IFNA(VLOOKUP($G38,IMPORTRANGE(""https://docs.google.com/spreadsheets/d/1DliIGyDywdzxhd4svtjaewR0p9Y5UBTMNMQ2PcXsqss"",""type data!E2:F""),2,FALSE),$G38)&amp;""/"",$H38)),""""))"),"Munzeeprof /8675")</f>
        <v>Munzeeprof /8675</v>
      </c>
      <c r="K38" s="6" t="b">
        <v>1</v>
      </c>
      <c r="L38" s="7"/>
      <c r="M38" s="7">
        <f t="shared" si="1"/>
        <v>3</v>
      </c>
    </row>
    <row r="39">
      <c r="A39" s="3" t="s">
        <v>83</v>
      </c>
      <c r="B39" s="4">
        <v>5.0</v>
      </c>
      <c r="C39" s="4">
        <v>8.0</v>
      </c>
      <c r="D39" s="5">
        <v>40.1241596922997</v>
      </c>
      <c r="E39" s="5">
        <v>-84.607067032547</v>
      </c>
      <c r="F39" s="4" t="s">
        <v>26</v>
      </c>
      <c r="G39" s="4" t="s">
        <v>27</v>
      </c>
      <c r="H39" s="6" t="s">
        <v>77</v>
      </c>
      <c r="I39" s="10">
        <v>1289.0</v>
      </c>
      <c r="J39" s="8" t="str">
        <f>IFERROR(__xludf.DUMMYFUNCTION("IF(AND(REGEXMATCH($H39,""50( ?['fF]([oO]{2})?[tT]?)?( ?[eE][rR]{2}[oO][rR])"")=FALSE,$H39&lt;&gt;"""",$I39&lt;&gt;""""),HYPERLINK(""https://www.munzee.com/m/""&amp;$H39&amp;""/""&amp;$I39&amp;""/map/?lat=""&amp;$D39&amp;""&amp;lon=""&amp;$E39&amp;""&amp;type=""&amp;$G39&amp;""&amp;name=""&amp;SUBSTITUTE($A39,""#"",""%23"""&amp;"),$H39&amp;""/""&amp;$I39),IF($H39&lt;&gt;"""",IF(REGEXMATCH($H39,""50( ?['fF]([oO]{2})?[tT]?)?( ?[eE][rR]{2}[oO][rR])""),HYPERLINK(""https://www.munzee.com/map/?sandbox=1&amp;lat=""&amp;$D39&amp;""&amp;lon=""&amp;$E39&amp;""&amp;name=""&amp;SUBSTITUTE($A39,""#"",""%23""),""SANDBOX""),HYPERLINK(""htt"&amp;"ps://www.munzee.com/m/""&amp;$H39&amp;""/deploys/0/type/""&amp;IFNA(VLOOKUP($G39,IMPORTRANGE(""https://docs.google.com/spreadsheets/d/1DliIGyDywdzxhd4svtjaewR0p9Y5UBTMNMQ2PcXsqss"",""type data!E2:F""),2,FALSE),$G39)&amp;""/"",$H39)),""""))"),"EmeraldAngel/1289")</f>
        <v>EmeraldAngel/1289</v>
      </c>
      <c r="K39" s="6" t="b">
        <v>1</v>
      </c>
      <c r="L39" s="6"/>
      <c r="M39" s="7">
        <f t="shared" si="1"/>
        <v>3</v>
      </c>
    </row>
    <row r="40">
      <c r="A40" s="3" t="s">
        <v>84</v>
      </c>
      <c r="B40" s="4">
        <v>5.0</v>
      </c>
      <c r="C40" s="4">
        <v>9.0</v>
      </c>
      <c r="D40" s="5">
        <v>40.124269796146</v>
      </c>
      <c r="E40" s="5">
        <v>-84.6069462082065</v>
      </c>
      <c r="F40" s="4" t="s">
        <v>15</v>
      </c>
      <c r="G40" s="4" t="s">
        <v>16</v>
      </c>
      <c r="H40" s="6" t="s">
        <v>85</v>
      </c>
      <c r="I40" s="6">
        <v>1624.0</v>
      </c>
      <c r="J40" s="8" t="str">
        <f>IFERROR(__xludf.DUMMYFUNCTION("IF(AND(REGEXMATCH($H40,""50( ?['fF]([oO]{2})?[tT]?)?( ?[eE][rR]{2}[oO][rR])"")=FALSE,$H40&lt;&gt;"""",$I40&lt;&gt;""""),HYPERLINK(""https://www.munzee.com/m/""&amp;$H40&amp;""/""&amp;$I40&amp;""/map/?lat=""&amp;$D40&amp;""&amp;lon=""&amp;$E40&amp;""&amp;type=""&amp;$G40&amp;""&amp;name=""&amp;SUBSTITUTE($A40,""#"",""%23"""&amp;"),$H40&amp;""/""&amp;$I40),IF($H40&lt;&gt;"""",IF(REGEXMATCH($H40,""50( ?['fF]([oO]{2})?[tT]?)?( ?[eE][rR]{2}[oO][rR])""),HYPERLINK(""https://www.munzee.com/map/?sandbox=1&amp;lat=""&amp;$D40&amp;""&amp;lon=""&amp;$E40&amp;""&amp;name=""&amp;SUBSTITUTE($A40,""#"",""%23""),""SANDBOX""),HYPERLINK(""htt"&amp;"ps://www.munzee.com/m/""&amp;$H40&amp;""/deploys/0/type/""&amp;IFNA(VLOOKUP($G40,IMPORTRANGE(""https://docs.google.com/spreadsheets/d/1DliIGyDywdzxhd4svtjaewR0p9Y5UBTMNMQ2PcXsqss"",""type data!E2:F""),2,FALSE),$G40)&amp;""/"",$H40)),""""))"),"teamsturms/1624")</f>
        <v>teamsturms/1624</v>
      </c>
      <c r="K40" s="6" t="b">
        <v>1</v>
      </c>
      <c r="L40" s="6"/>
      <c r="M40" s="7">
        <f t="shared" si="1"/>
        <v>1</v>
      </c>
    </row>
    <row r="41">
      <c r="A41" s="3" t="s">
        <v>86</v>
      </c>
      <c r="B41" s="4">
        <v>6.0</v>
      </c>
      <c r="C41" s="4">
        <v>2.0</v>
      </c>
      <c r="D41" s="5">
        <v>40.1234066809835</v>
      </c>
      <c r="E41" s="5">
        <v>-84.6076479838645</v>
      </c>
      <c r="F41" s="4" t="s">
        <v>15</v>
      </c>
      <c r="G41" s="4" t="s">
        <v>16</v>
      </c>
      <c r="H41" s="6" t="s">
        <v>87</v>
      </c>
      <c r="I41" s="6">
        <v>7642.0</v>
      </c>
      <c r="J41" s="8" t="str">
        <f>IFERROR(__xludf.DUMMYFUNCTION("IF(AND(REGEXMATCH($H41,""50( ?['fF]([oO]{2})?[tT]?)?( ?[eE][rR]{2}[oO][rR])"")=FALSE,$H41&lt;&gt;"""",$I41&lt;&gt;""""),HYPERLINK(""https://www.munzee.com/m/""&amp;$H41&amp;""/""&amp;$I41&amp;""/map/?lat=""&amp;$D41&amp;""&amp;lon=""&amp;$E41&amp;""&amp;type=""&amp;$G41&amp;""&amp;name=""&amp;SUBSTITUTE($A41,""#"",""%23"""&amp;"),$H41&amp;""/""&amp;$I41),IF($H41&lt;&gt;"""",IF(REGEXMATCH($H41,""50( ?['fF]([oO]{2})?[tT]?)?( ?[eE][rR]{2}[oO][rR])""),HYPERLINK(""https://www.munzee.com/map/?sandbox=1&amp;lat=""&amp;$D41&amp;""&amp;lon=""&amp;$E41&amp;""&amp;name=""&amp;SUBSTITUTE($A41,""#"",""%23""),""SANDBOX""),HYPERLINK(""htt"&amp;"ps://www.munzee.com/m/""&amp;$H41&amp;""/deploys/0/type/""&amp;IFNA(VLOOKUP($G41,IMPORTRANGE(""https://docs.google.com/spreadsheets/d/1DliIGyDywdzxhd4svtjaewR0p9Y5UBTMNMQ2PcXsqss"",""type data!E2:F""),2,FALSE),$G41)&amp;""/"",$H41)),""""))"),"rgforsythe/7642")</f>
        <v>rgforsythe/7642</v>
      </c>
      <c r="K41" s="6" t="b">
        <v>1</v>
      </c>
      <c r="M41" s="7">
        <f t="shared" si="1"/>
        <v>1</v>
      </c>
    </row>
    <row r="42">
      <c r="A42" s="3" t="s">
        <v>88</v>
      </c>
      <c r="B42" s="4">
        <v>6.0</v>
      </c>
      <c r="C42" s="4">
        <v>3.0</v>
      </c>
      <c r="D42" s="5">
        <v>40.1235167848297</v>
      </c>
      <c r="E42" s="5">
        <v>-84.6075271608623</v>
      </c>
      <c r="F42" s="4" t="s">
        <v>26</v>
      </c>
      <c r="G42" s="4" t="s">
        <v>27</v>
      </c>
      <c r="H42" s="6" t="s">
        <v>89</v>
      </c>
      <c r="I42" s="6">
        <v>713.0</v>
      </c>
      <c r="J42" s="8" t="str">
        <f>IFERROR(__xludf.DUMMYFUNCTION("IF(AND(REGEXMATCH($H42,""50( ?['fF]([oO]{2})?[tT]?)?( ?[eE][rR]{2}[oO][rR])"")=FALSE,$H42&lt;&gt;"""",$I42&lt;&gt;""""),HYPERLINK(""https://www.munzee.com/m/""&amp;$H42&amp;""/""&amp;$I42&amp;""/map/?lat=""&amp;$D42&amp;""&amp;lon=""&amp;$E42&amp;""&amp;type=""&amp;$G42&amp;""&amp;name=""&amp;SUBSTITUTE($A42,""#"",""%23"""&amp;"),$H42&amp;""/""&amp;$I42),IF($H42&lt;&gt;"""",IF(REGEXMATCH($H42,""50( ?['fF]([oO]{2})?[tT]?)?( ?[eE][rR]{2}[oO][rR])""),HYPERLINK(""https://www.munzee.com/map/?sandbox=1&amp;lat=""&amp;$D42&amp;""&amp;lon=""&amp;$E42&amp;""&amp;name=""&amp;SUBSTITUTE($A42,""#"",""%23""),""SANDBOX""),HYPERLINK(""htt"&amp;"ps://www.munzee.com/m/""&amp;$H42&amp;""/deploys/0/type/""&amp;IFNA(VLOOKUP($G42,IMPORTRANGE(""https://docs.google.com/spreadsheets/d/1DliIGyDywdzxhd4svtjaewR0p9Y5UBTMNMQ2PcXsqss"",""type data!E2:F""),2,FALSE),$G42)&amp;""/"",$H42)),""""))"),"PlacenteFan/713")</f>
        <v>PlacenteFan/713</v>
      </c>
      <c r="K42" s="6" t="b">
        <v>1</v>
      </c>
      <c r="L42" s="6"/>
      <c r="M42" s="7">
        <f t="shared" si="1"/>
        <v>1</v>
      </c>
    </row>
    <row r="43">
      <c r="A43" s="3" t="s">
        <v>90</v>
      </c>
      <c r="B43" s="4">
        <v>6.0</v>
      </c>
      <c r="C43" s="4">
        <v>4.0</v>
      </c>
      <c r="D43" s="5">
        <v>40.123626888676</v>
      </c>
      <c r="E43" s="5">
        <v>-84.6074063376644</v>
      </c>
      <c r="F43" s="4" t="s">
        <v>26</v>
      </c>
      <c r="G43" s="4" t="s">
        <v>27</v>
      </c>
      <c r="H43" s="6" t="s">
        <v>91</v>
      </c>
      <c r="I43" s="6">
        <v>2188.0</v>
      </c>
      <c r="J43" s="8" t="str">
        <f>IFERROR(__xludf.DUMMYFUNCTION("IF(AND(REGEXMATCH($H43,""50( ?['fF]([oO]{2})?[tT]?)?( ?[eE][rR]{2}[oO][rR])"")=FALSE,$H43&lt;&gt;"""",$I43&lt;&gt;""""),HYPERLINK(""https://www.munzee.com/m/""&amp;$H43&amp;""/""&amp;$I43&amp;""/map/?lat=""&amp;$D43&amp;""&amp;lon=""&amp;$E43&amp;""&amp;type=""&amp;$G43&amp;""&amp;name=""&amp;SUBSTITUTE($A43,""#"",""%23"""&amp;"),$H43&amp;""/""&amp;$I43),IF($H43&lt;&gt;"""",IF(REGEXMATCH($H43,""50( ?['fF]([oO]{2})?[tT]?)?( ?[eE][rR]{2}[oO][rR])""),HYPERLINK(""https://www.munzee.com/map/?sandbox=1&amp;lat=""&amp;$D43&amp;""&amp;lon=""&amp;$E43&amp;""&amp;name=""&amp;SUBSTITUTE($A43,""#"",""%23""),""SANDBOX""),HYPERLINK(""htt"&amp;"ps://www.munzee.com/m/""&amp;$H43&amp;""/deploys/0/type/""&amp;IFNA(VLOOKUP($G43,IMPORTRANGE(""https://docs.google.com/spreadsheets/d/1DliIGyDywdzxhd4svtjaewR0p9Y5UBTMNMQ2PcXsqss"",""type data!E2:F""),2,FALSE),$G43)&amp;""/"",$H43)),""""))"),"ladymunzee/2188")</f>
        <v>ladymunzee/2188</v>
      </c>
      <c r="K43" s="6" t="b">
        <v>1</v>
      </c>
      <c r="L43" s="6"/>
      <c r="M43" s="7">
        <f t="shared" si="1"/>
        <v>1</v>
      </c>
    </row>
    <row r="44">
      <c r="A44" s="3" t="s">
        <v>92</v>
      </c>
      <c r="B44" s="4">
        <v>6.0</v>
      </c>
      <c r="C44" s="4">
        <v>5.0</v>
      </c>
      <c r="D44" s="5">
        <v>40.1237369925223</v>
      </c>
      <c r="E44" s="5">
        <v>-84.6072855142708</v>
      </c>
      <c r="F44" s="4" t="s">
        <v>26</v>
      </c>
      <c r="G44" s="4" t="s">
        <v>27</v>
      </c>
      <c r="H44" s="6" t="s">
        <v>93</v>
      </c>
      <c r="I44" s="6">
        <v>7683.0</v>
      </c>
      <c r="J44" s="8" t="str">
        <f>IFERROR(__xludf.DUMMYFUNCTION("IF(AND(REGEXMATCH($H44,""50( ?['fF]([oO]{2})?[tT]?)?( ?[eE][rR]{2}[oO][rR])"")=FALSE,$H44&lt;&gt;"""",$I44&lt;&gt;""""),HYPERLINK(""https://www.munzee.com/m/""&amp;$H44&amp;""/""&amp;$I44&amp;""/map/?lat=""&amp;$D44&amp;""&amp;lon=""&amp;$E44&amp;""&amp;type=""&amp;$G44&amp;""&amp;name=""&amp;SUBSTITUTE($A44,""#"",""%23"""&amp;"),$H44&amp;""/""&amp;$I44),IF($H44&lt;&gt;"""",IF(REGEXMATCH($H44,""50( ?['fF]([oO]{2})?[tT]?)?( ?[eE][rR]{2}[oO][rR])""),HYPERLINK(""https://www.munzee.com/map/?sandbox=1&amp;lat=""&amp;$D44&amp;""&amp;lon=""&amp;$E44&amp;""&amp;name=""&amp;SUBSTITUTE($A44,""#"",""%23""),""SANDBOX""),HYPERLINK(""htt"&amp;"ps://www.munzee.com/m/""&amp;$H44&amp;""/deploys/0/type/""&amp;IFNA(VLOOKUP($G44,IMPORTRANGE(""https://docs.google.com/spreadsheets/d/1DliIGyDywdzxhd4svtjaewR0p9Y5UBTMNMQ2PcXsqss"",""type data!E2:F""),2,FALSE),$G44)&amp;""/"",$H44)),""""))"),"WVKiwi/7683")</f>
        <v>WVKiwi/7683</v>
      </c>
      <c r="K44" s="6" t="b">
        <v>1</v>
      </c>
      <c r="L44" s="7"/>
      <c r="M44" s="7">
        <f t="shared" si="1"/>
        <v>1</v>
      </c>
    </row>
    <row r="45">
      <c r="A45" s="3" t="s">
        <v>94</v>
      </c>
      <c r="B45" s="4">
        <v>6.0</v>
      </c>
      <c r="C45" s="4">
        <v>6.0</v>
      </c>
      <c r="D45" s="5">
        <v>40.1238470963686</v>
      </c>
      <c r="E45" s="5">
        <v>-84.6071646906815</v>
      </c>
      <c r="F45" s="4" t="s">
        <v>26</v>
      </c>
      <c r="G45" s="4" t="s">
        <v>27</v>
      </c>
      <c r="H45" s="6" t="s">
        <v>95</v>
      </c>
      <c r="I45" s="10">
        <v>751.0</v>
      </c>
      <c r="J45" s="8" t="str">
        <f>IFERROR(__xludf.DUMMYFUNCTION("IF(AND(REGEXMATCH($H45,""50( ?['fF]([oO]{2})?[tT]?)?( ?[eE][rR]{2}[oO][rR])"")=FALSE,$H45&lt;&gt;"""",$I45&lt;&gt;""""),HYPERLINK(""https://www.munzee.com/m/""&amp;$H45&amp;""/""&amp;$I45&amp;""/map/?lat=""&amp;$D45&amp;""&amp;lon=""&amp;$E45&amp;""&amp;type=""&amp;$G45&amp;""&amp;name=""&amp;SUBSTITUTE($A45,""#"",""%23"""&amp;"),$H45&amp;""/""&amp;$I45),IF($H45&lt;&gt;"""",IF(REGEXMATCH($H45,""50( ?['fF]([oO]{2})?[tT]?)?( ?[eE][rR]{2}[oO][rR])""),HYPERLINK(""https://www.munzee.com/map/?sandbox=1&amp;lat=""&amp;$D45&amp;""&amp;lon=""&amp;$E45&amp;""&amp;name=""&amp;SUBSTITUTE($A45,""#"",""%23""),""SANDBOX""),HYPERLINK(""htt"&amp;"ps://www.munzee.com/m/""&amp;$H45&amp;""/deploys/0/type/""&amp;IFNA(VLOOKUP($G45,IMPORTRANGE(""https://docs.google.com/spreadsheets/d/1DliIGyDywdzxhd4svtjaewR0p9Y5UBTMNMQ2PcXsqss"",""type data!E2:F""),2,FALSE),$G45)&amp;""/"",$H45)),""""))"),"klc1960/751")</f>
        <v>klc1960/751</v>
      </c>
      <c r="K45" s="6" t="b">
        <v>1</v>
      </c>
      <c r="L45" s="9"/>
      <c r="M45" s="7">
        <f t="shared" si="1"/>
        <v>1</v>
      </c>
    </row>
    <row r="46">
      <c r="A46" s="3" t="s">
        <v>96</v>
      </c>
      <c r="B46" s="4">
        <v>6.0</v>
      </c>
      <c r="C46" s="4">
        <v>7.0</v>
      </c>
      <c r="D46" s="5">
        <v>40.1239572002148</v>
      </c>
      <c r="E46" s="5">
        <v>-84.6070438668965</v>
      </c>
      <c r="F46" s="4" t="s">
        <v>26</v>
      </c>
      <c r="G46" s="4" t="s">
        <v>27</v>
      </c>
      <c r="H46" s="6" t="s">
        <v>97</v>
      </c>
      <c r="I46" s="11">
        <v>286.0</v>
      </c>
      <c r="J46" s="8" t="str">
        <f>IFERROR(__xludf.DUMMYFUNCTION("IF(AND(REGEXMATCH($H46,""50( ?['fF]([oO]{2})?[tT]?)?( ?[eE][rR]{2}[oO][rR])"")=FALSE,$H46&lt;&gt;"""",$I46&lt;&gt;""""),HYPERLINK(""https://www.munzee.com/m/""&amp;$H46&amp;""/""&amp;$I46&amp;""/map/?lat=""&amp;$D46&amp;""&amp;lon=""&amp;$E46&amp;""&amp;type=""&amp;$G46&amp;""&amp;name=""&amp;SUBSTITUTE($A46,""#"",""%23"""&amp;"),$H46&amp;""/""&amp;$I46),IF($H46&lt;&gt;"""",IF(REGEXMATCH($H46,""50( ?['fF]([oO]{2})?[tT]?)?( ?[eE][rR]{2}[oO][rR])""),HYPERLINK(""https://www.munzee.com/map/?sandbox=1&amp;lat=""&amp;$D46&amp;""&amp;lon=""&amp;$E46&amp;""&amp;name=""&amp;SUBSTITUTE($A46,""#"",""%23""),""SANDBOX""),HYPERLINK(""htt"&amp;"ps://www.munzee.com/m/""&amp;$H46&amp;""/deploys/0/type/""&amp;IFNA(VLOOKUP($G46,IMPORTRANGE(""https://docs.google.com/spreadsheets/d/1DliIGyDywdzxhd4svtjaewR0p9Y5UBTMNMQ2PcXsqss"",""type data!E2:F""),2,FALSE),$G46)&amp;""/"",$H46)),""""))"),"Bayermunzeer/286")</f>
        <v>Bayermunzeer/286</v>
      </c>
      <c r="K46" s="6" t="b">
        <v>1</v>
      </c>
      <c r="L46" s="7"/>
      <c r="M46" s="7">
        <f t="shared" si="1"/>
        <v>1</v>
      </c>
    </row>
    <row r="47">
      <c r="A47" s="3" t="s">
        <v>98</v>
      </c>
      <c r="B47" s="4">
        <v>6.0</v>
      </c>
      <c r="C47" s="4">
        <v>8.0</v>
      </c>
      <c r="D47" s="5">
        <v>40.1240673040611</v>
      </c>
      <c r="E47" s="5">
        <v>-84.6069230429159</v>
      </c>
      <c r="F47" s="4" t="s">
        <v>15</v>
      </c>
      <c r="G47" s="4" t="s">
        <v>16</v>
      </c>
      <c r="H47" s="6" t="s">
        <v>99</v>
      </c>
      <c r="I47" s="6">
        <v>8197.0</v>
      </c>
      <c r="J47" s="8" t="str">
        <f>IFERROR(__xludf.DUMMYFUNCTION("IF(AND(REGEXMATCH($H47,""50( ?['fF]([oO]{2})?[tT]?)?( ?[eE][rR]{2}[oO][rR])"")=FALSE,$H47&lt;&gt;"""",$I47&lt;&gt;""""),HYPERLINK(""https://www.munzee.com/m/""&amp;$H47&amp;""/""&amp;$I47&amp;""/map/?lat=""&amp;$D47&amp;""&amp;lon=""&amp;$E47&amp;""&amp;type=""&amp;$G47&amp;""&amp;name=""&amp;SUBSTITUTE($A47,""#"",""%23"""&amp;"),$H47&amp;""/""&amp;$I47),IF($H47&lt;&gt;"""",IF(REGEXMATCH($H47,""50( ?['fF]([oO]{2})?[tT]?)?( ?[eE][rR]{2}[oO][rR])""),HYPERLINK(""https://www.munzee.com/map/?sandbox=1&amp;lat=""&amp;$D47&amp;""&amp;lon=""&amp;$E47&amp;""&amp;name=""&amp;SUBSTITUTE($A47,""#"",""%23""),""SANDBOX""),HYPERLINK(""htt"&amp;"ps://www.munzee.com/m/""&amp;$H47&amp;""/deploys/0/type/""&amp;IFNA(VLOOKUP($G47,IMPORTRANGE(""https://docs.google.com/spreadsheets/d/1DliIGyDywdzxhd4svtjaewR0p9Y5UBTMNMQ2PcXsqss"",""type data!E2:F""),2,FALSE),$G47)&amp;""/"",$H47)),""""))"),"kcpride/8197")</f>
        <v>kcpride/8197</v>
      </c>
      <c r="K47" s="6" t="b">
        <v>1</v>
      </c>
      <c r="L47" s="9"/>
      <c r="M47" s="7">
        <f t="shared" si="1"/>
        <v>1</v>
      </c>
    </row>
    <row r="48">
      <c r="A48" s="3" t="s">
        <v>100</v>
      </c>
      <c r="B48" s="4">
        <v>7.0</v>
      </c>
      <c r="C48" s="4">
        <v>3.0</v>
      </c>
      <c r="D48" s="5">
        <v>40.1234243965911</v>
      </c>
      <c r="E48" s="5">
        <v>-84.6073831706057</v>
      </c>
      <c r="F48" s="4" t="s">
        <v>15</v>
      </c>
      <c r="G48" s="4" t="s">
        <v>16</v>
      </c>
      <c r="H48" s="6" t="s">
        <v>101</v>
      </c>
      <c r="I48" s="6">
        <v>4375.0</v>
      </c>
      <c r="J48" s="8" t="str">
        <f>IFERROR(__xludf.DUMMYFUNCTION("IF(AND(REGEXMATCH($H48,""50( ?['fF]([oO]{2})?[tT]?)?( ?[eE][rR]{2}[oO][rR])"")=FALSE,$H48&lt;&gt;"""",$I48&lt;&gt;""""),HYPERLINK(""https://www.munzee.com/m/""&amp;$H48&amp;""/""&amp;$I48&amp;""/map/?lat=""&amp;$D48&amp;""&amp;lon=""&amp;$E48&amp;""&amp;type=""&amp;$G48&amp;""&amp;name=""&amp;SUBSTITUTE($A48,""#"",""%23"""&amp;"),$H48&amp;""/""&amp;$I48),IF($H48&lt;&gt;"""",IF(REGEXMATCH($H48,""50( ?['fF]([oO]{2})?[tT]?)?( ?[eE][rR]{2}[oO][rR])""),HYPERLINK(""https://www.munzee.com/map/?sandbox=1&amp;lat=""&amp;$D48&amp;""&amp;lon=""&amp;$E48&amp;""&amp;name=""&amp;SUBSTITUTE($A48,""#"",""%23""),""SANDBOX""),HYPERLINK(""htt"&amp;"ps://www.munzee.com/m/""&amp;$H48&amp;""/deploys/0/type/""&amp;IFNA(VLOOKUP($G48,IMPORTRANGE(""https://docs.google.com/spreadsheets/d/1DliIGyDywdzxhd4svtjaewR0p9Y5UBTMNMQ2PcXsqss"",""type data!E2:F""),2,FALSE),$G48)&amp;""/"",$H48)),""""))"),"92Supercoupe/4375")</f>
        <v>92Supercoupe/4375</v>
      </c>
      <c r="K48" s="6" t="b">
        <v>1</v>
      </c>
      <c r="M48" s="7">
        <f t="shared" si="1"/>
        <v>1</v>
      </c>
    </row>
    <row r="49">
      <c r="A49" s="3" t="s">
        <v>102</v>
      </c>
      <c r="B49" s="4">
        <v>7.0</v>
      </c>
      <c r="C49" s="4">
        <v>4.0</v>
      </c>
      <c r="D49" s="5">
        <v>40.1235345004374</v>
      </c>
      <c r="E49" s="5">
        <v>-84.607262347572</v>
      </c>
      <c r="F49" s="4" t="s">
        <v>26</v>
      </c>
      <c r="G49" s="4" t="s">
        <v>27</v>
      </c>
      <c r="H49" s="6" t="s">
        <v>103</v>
      </c>
      <c r="I49" s="6">
        <v>3033.0</v>
      </c>
      <c r="J49" s="8" t="str">
        <f>IFERROR(__xludf.DUMMYFUNCTION("IF(AND(REGEXMATCH($H49,""50( ?['fF]([oO]{2})?[tT]?)?( ?[eE][rR]{2}[oO][rR])"")=FALSE,$H49&lt;&gt;"""",$I49&lt;&gt;""""),HYPERLINK(""https://www.munzee.com/m/""&amp;$H49&amp;""/""&amp;$I49&amp;""/map/?lat=""&amp;$D49&amp;""&amp;lon=""&amp;$E49&amp;""&amp;type=""&amp;$G49&amp;""&amp;name=""&amp;SUBSTITUTE($A49,""#"",""%23"""&amp;"),$H49&amp;""/""&amp;$I49),IF($H49&lt;&gt;"""",IF(REGEXMATCH($H49,""50( ?['fF]([oO]{2})?[tT]?)?( ?[eE][rR]{2}[oO][rR])""),HYPERLINK(""https://www.munzee.com/map/?sandbox=1&amp;lat=""&amp;$D49&amp;""&amp;lon=""&amp;$E49&amp;""&amp;name=""&amp;SUBSTITUTE($A49,""#"",""%23""),""SANDBOX""),HYPERLINK(""htt"&amp;"ps://www.munzee.com/m/""&amp;$H49&amp;""/deploys/0/type/""&amp;IFNA(VLOOKUP($G49,IMPORTRANGE(""https://docs.google.com/spreadsheets/d/1DliIGyDywdzxhd4svtjaewR0p9Y5UBTMNMQ2PcXsqss"",""type data!E2:F""),2,FALSE),$G49)&amp;""/"",$H49)),""""))"),"Boersentrader/3033")</f>
        <v>Boersentrader/3033</v>
      </c>
      <c r="K49" s="6" t="b">
        <v>1</v>
      </c>
      <c r="L49" s="7"/>
      <c r="M49" s="7">
        <f t="shared" si="1"/>
        <v>1</v>
      </c>
    </row>
    <row r="50">
      <c r="A50" s="3" t="s">
        <v>104</v>
      </c>
      <c r="B50" s="4">
        <v>7.0</v>
      </c>
      <c r="C50" s="4">
        <v>5.0</v>
      </c>
      <c r="D50" s="5">
        <v>40.1236446042837</v>
      </c>
      <c r="E50" s="5">
        <v>-84.6071415243426</v>
      </c>
      <c r="F50" s="4" t="s">
        <v>26</v>
      </c>
      <c r="G50" s="4" t="s">
        <v>27</v>
      </c>
      <c r="H50" s="6" t="s">
        <v>48</v>
      </c>
      <c r="I50" s="6">
        <v>2932.0</v>
      </c>
      <c r="J50" s="8" t="str">
        <f>IFERROR(__xludf.DUMMYFUNCTION("IF(AND(REGEXMATCH($H50,""50( ?['fF]([oO]{2})?[tT]?)?( ?[eE][rR]{2}[oO][rR])"")=FALSE,$H50&lt;&gt;"""",$I50&lt;&gt;""""),HYPERLINK(""https://www.munzee.com/m/""&amp;$H50&amp;""/""&amp;$I50&amp;""/map/?lat=""&amp;$D50&amp;""&amp;lon=""&amp;$E50&amp;""&amp;type=""&amp;$G50&amp;""&amp;name=""&amp;SUBSTITUTE($A50,""#"",""%23"""&amp;"),$H50&amp;""/""&amp;$I50),IF($H50&lt;&gt;"""",IF(REGEXMATCH($H50,""50( ?['fF]([oO]{2})?[tT]?)?( ?[eE][rR]{2}[oO][rR])""),HYPERLINK(""https://www.munzee.com/map/?sandbox=1&amp;lat=""&amp;$D50&amp;""&amp;lon=""&amp;$E50&amp;""&amp;name=""&amp;SUBSTITUTE($A50,""#"",""%23""),""SANDBOX""),HYPERLINK(""htt"&amp;"ps://www.munzee.com/m/""&amp;$H50&amp;""/deploys/0/type/""&amp;IFNA(VLOOKUP($G50,IMPORTRANGE(""https://docs.google.com/spreadsheets/d/1DliIGyDywdzxhd4svtjaewR0p9Y5UBTMNMQ2PcXsqss"",""type data!E2:F""),2,FALSE),$G50)&amp;""/"",$H50)),""""))"),"sohcah/2932")</f>
        <v>sohcah/2932</v>
      </c>
      <c r="K50" s="6" t="b">
        <v>1</v>
      </c>
      <c r="L50" s="6"/>
      <c r="M50" s="7">
        <f t="shared" si="1"/>
        <v>2</v>
      </c>
    </row>
    <row r="51">
      <c r="A51" s="3" t="s">
        <v>105</v>
      </c>
      <c r="B51" s="4">
        <v>7.0</v>
      </c>
      <c r="C51" s="4">
        <v>6.0</v>
      </c>
      <c r="D51" s="5">
        <v>40.1237547081299</v>
      </c>
      <c r="E51" s="5">
        <v>-84.6070207009175</v>
      </c>
      <c r="F51" s="4" t="s">
        <v>26</v>
      </c>
      <c r="G51" s="4" t="s">
        <v>27</v>
      </c>
      <c r="H51" s="6" t="s">
        <v>106</v>
      </c>
      <c r="I51" s="6">
        <v>3519.0</v>
      </c>
      <c r="J51" s="8" t="str">
        <f>IFERROR(__xludf.DUMMYFUNCTION("IF(AND(REGEXMATCH($H51,""50( ?['fF]([oO]{2})?[tT]?)?( ?[eE][rR]{2}[oO][rR])"")=FALSE,$H51&lt;&gt;"""",$I51&lt;&gt;""""),HYPERLINK(""https://www.munzee.com/m/""&amp;$H51&amp;""/""&amp;$I51&amp;""/map/?lat=""&amp;$D51&amp;""&amp;lon=""&amp;$E51&amp;""&amp;type=""&amp;$G51&amp;""&amp;name=""&amp;SUBSTITUTE($A51,""#"",""%23"""&amp;"),$H51&amp;""/""&amp;$I51),IF($H51&lt;&gt;"""",IF(REGEXMATCH($H51,""50( ?['fF]([oO]{2})?[tT]?)?( ?[eE][rR]{2}[oO][rR])""),HYPERLINK(""https://www.munzee.com/map/?sandbox=1&amp;lat=""&amp;$D51&amp;""&amp;lon=""&amp;$E51&amp;""&amp;name=""&amp;SUBSTITUTE($A51,""#"",""%23""),""SANDBOX""),HYPERLINK(""htt"&amp;"ps://www.munzee.com/m/""&amp;$H51&amp;""/deploys/0/type/""&amp;IFNA(VLOOKUP($G51,IMPORTRANGE(""https://docs.google.com/spreadsheets/d/1DliIGyDywdzxhd4svtjaewR0p9Y5UBTMNMQ2PcXsqss"",""type data!E2:F""),2,FALSE),$G51)&amp;""/"",$H51)),""""))"),"Centern/3519")</f>
        <v>Centern/3519</v>
      </c>
      <c r="K51" s="6" t="b">
        <v>1</v>
      </c>
      <c r="L51" s="7"/>
      <c r="M51" s="7">
        <f t="shared" si="1"/>
        <v>1</v>
      </c>
    </row>
    <row r="52">
      <c r="A52" s="3" t="s">
        <v>107</v>
      </c>
      <c r="B52" s="4">
        <v>7.0</v>
      </c>
      <c r="C52" s="4">
        <v>7.0</v>
      </c>
      <c r="D52" s="5">
        <v>40.1238648119762</v>
      </c>
      <c r="E52" s="5">
        <v>-84.6068998772967</v>
      </c>
      <c r="F52" s="4" t="s">
        <v>15</v>
      </c>
      <c r="G52" s="4" t="s">
        <v>16</v>
      </c>
      <c r="H52" s="6" t="s">
        <v>21</v>
      </c>
      <c r="I52" s="12">
        <v>1861.0</v>
      </c>
      <c r="J52" s="8" t="str">
        <f>IFERROR(__xludf.DUMMYFUNCTION("IF(AND(REGEXMATCH($H52,""50( ?['fF]([oO]{2})?[tT]?)?( ?[eE][rR]{2}[oO][rR])"")=FALSE,$H52&lt;&gt;"""",$I52&lt;&gt;""""),HYPERLINK(""https://www.munzee.com/m/""&amp;$H52&amp;""/""&amp;$I52&amp;""/map/?lat=""&amp;$D52&amp;""&amp;lon=""&amp;$E52&amp;""&amp;type=""&amp;$G52&amp;""&amp;name=""&amp;SUBSTITUTE($A52,""#"",""%23"""&amp;"),$H52&amp;""/""&amp;$I52),IF($H52&lt;&gt;"""",IF(REGEXMATCH($H52,""50( ?['fF]([oO]{2})?[tT]?)?( ?[eE][rR]{2}[oO][rR])""),HYPERLINK(""https://www.munzee.com/map/?sandbox=1&amp;lat=""&amp;$D52&amp;""&amp;lon=""&amp;$E52&amp;""&amp;name=""&amp;SUBSTITUTE($A52,""#"",""%23""),""SANDBOX""),HYPERLINK(""htt"&amp;"ps://www.munzee.com/m/""&amp;$H52&amp;""/deploys/0/type/""&amp;IFNA(VLOOKUP($G52,IMPORTRANGE(""https://docs.google.com/spreadsheets/d/1DliIGyDywdzxhd4svtjaewR0p9Y5UBTMNMQ2PcXsqss"",""type data!E2:F""),2,FALSE),$G52)&amp;""/"",$H52)),""""))"),"technical13/1861")</f>
        <v>technical13/1861</v>
      </c>
      <c r="K52" s="6" t="b">
        <v>1</v>
      </c>
      <c r="L52" s="7"/>
      <c r="M52" s="7">
        <f t="shared" si="1"/>
        <v>2</v>
      </c>
    </row>
    <row r="53">
      <c r="A53" s="3" t="s">
        <v>108</v>
      </c>
      <c r="B53" s="4">
        <v>8.0</v>
      </c>
      <c r="C53" s="4">
        <v>4.0</v>
      </c>
      <c r="D53" s="5">
        <v>40.1234421121987</v>
      </c>
      <c r="E53" s="5">
        <v>-84.6071183576754</v>
      </c>
      <c r="F53" s="4" t="s">
        <v>15</v>
      </c>
      <c r="G53" s="4" t="s">
        <v>16</v>
      </c>
      <c r="H53" s="6" t="s">
        <v>69</v>
      </c>
      <c r="I53" s="6">
        <v>604.0</v>
      </c>
      <c r="J53" s="8" t="str">
        <f>IFERROR(__xludf.DUMMYFUNCTION("IF(AND(REGEXMATCH($H53,""50( ?['fF]([oO]{2})?[tT]?)?( ?[eE][rR]{2}[oO][rR])"")=FALSE,$H53&lt;&gt;"""",$I53&lt;&gt;""""),HYPERLINK(""https://www.munzee.com/m/""&amp;$H53&amp;""/""&amp;$I53&amp;""/map/?lat=""&amp;$D53&amp;""&amp;lon=""&amp;$E53&amp;""&amp;type=""&amp;$G53&amp;""&amp;name=""&amp;SUBSTITUTE($A53,""#"",""%23"""&amp;"),$H53&amp;""/""&amp;$I53),IF($H53&lt;&gt;"""",IF(REGEXMATCH($H53,""50( ?['fF]([oO]{2})?[tT]?)?( ?[eE][rR]{2}[oO][rR])""),HYPERLINK(""https://www.munzee.com/map/?sandbox=1&amp;lat=""&amp;$D53&amp;""&amp;lon=""&amp;$E53&amp;""&amp;name=""&amp;SUBSTITUTE($A53,""#"",""%23""),""SANDBOX""),HYPERLINK(""htt"&amp;"ps://www.munzee.com/m/""&amp;$H53&amp;""/deploys/0/type/""&amp;IFNA(VLOOKUP($G53,IMPORTRANGE(""https://docs.google.com/spreadsheets/d/1DliIGyDywdzxhd4svtjaewR0p9Y5UBTMNMQ2PcXsqss"",""type data!E2:F""),2,FALSE),$G53)&amp;""/"",$H53)),""""))"),"Soitenlysue/604")</f>
        <v>Soitenlysue/604</v>
      </c>
      <c r="K53" s="6" t="b">
        <v>1</v>
      </c>
      <c r="L53" s="6"/>
      <c r="M53" s="7">
        <f t="shared" si="1"/>
        <v>3</v>
      </c>
    </row>
    <row r="54">
      <c r="A54" s="3" t="s">
        <v>109</v>
      </c>
      <c r="B54" s="4">
        <v>8.0</v>
      </c>
      <c r="C54" s="4">
        <v>5.0</v>
      </c>
      <c r="D54" s="5">
        <v>40.123552216045</v>
      </c>
      <c r="E54" s="5">
        <v>-84.6069975346101</v>
      </c>
      <c r="F54" s="4" t="s">
        <v>26</v>
      </c>
      <c r="G54" s="4" t="s">
        <v>27</v>
      </c>
      <c r="H54" s="6" t="s">
        <v>77</v>
      </c>
      <c r="I54" s="6">
        <v>1267.0</v>
      </c>
      <c r="J54" s="8" t="str">
        <f>IFERROR(__xludf.DUMMYFUNCTION("IF(AND(REGEXMATCH($H54,""50( ?['fF]([oO]{2})?[tT]?)?( ?[eE][rR]{2}[oO][rR])"")=FALSE,$H54&lt;&gt;"""",$I54&lt;&gt;""""),HYPERLINK(""https://www.munzee.com/m/""&amp;$H54&amp;""/""&amp;$I54&amp;""/map/?lat=""&amp;$D54&amp;""&amp;lon=""&amp;$E54&amp;""&amp;type=""&amp;$G54&amp;""&amp;name=""&amp;SUBSTITUTE($A54,""#"",""%23"""&amp;"),$H54&amp;""/""&amp;$I54),IF($H54&lt;&gt;"""",IF(REGEXMATCH($H54,""50( ?['fF]([oO]{2})?[tT]?)?( ?[eE][rR]{2}[oO][rR])""),HYPERLINK(""https://www.munzee.com/map/?sandbox=1&amp;lat=""&amp;$D54&amp;""&amp;lon=""&amp;$E54&amp;""&amp;name=""&amp;SUBSTITUTE($A54,""#"",""%23""),""SANDBOX""),HYPERLINK(""htt"&amp;"ps://www.munzee.com/m/""&amp;$H54&amp;""/deploys/0/type/""&amp;IFNA(VLOOKUP($G54,IMPORTRANGE(""https://docs.google.com/spreadsheets/d/1DliIGyDywdzxhd4svtjaewR0p9Y5UBTMNMQ2PcXsqss"",""type data!E2:F""),2,FALSE),$G54)&amp;""/"",$H54)),""""))"),"EmeraldAngel/1267")</f>
        <v>EmeraldAngel/1267</v>
      </c>
      <c r="K54" s="6" t="b">
        <v>1</v>
      </c>
      <c r="L54" s="3"/>
      <c r="M54" s="7">
        <f t="shared" si="1"/>
        <v>3</v>
      </c>
    </row>
    <row r="55">
      <c r="A55" s="3" t="s">
        <v>110</v>
      </c>
      <c r="B55" s="4">
        <v>8.0</v>
      </c>
      <c r="C55" s="4">
        <v>6.0</v>
      </c>
      <c r="D55" s="5">
        <v>40.1236623198913</v>
      </c>
      <c r="E55" s="5">
        <v>-84.6068767113492</v>
      </c>
      <c r="F55" s="4" t="s">
        <v>15</v>
      </c>
      <c r="G55" s="4" t="s">
        <v>16</v>
      </c>
      <c r="H55" s="6" t="s">
        <v>75</v>
      </c>
      <c r="I55" s="6">
        <v>9428.0</v>
      </c>
      <c r="J55" s="8" t="str">
        <f>IFERROR(__xludf.DUMMYFUNCTION("IF(AND(REGEXMATCH($H55,""50( ?['fF]([oO]{2})?[tT]?)?( ?[eE][rR]{2}[oO][rR])"")=FALSE,$H55&lt;&gt;"""",$I55&lt;&gt;""""),HYPERLINK(""https://www.munzee.com/m/""&amp;$H55&amp;""/""&amp;$I55&amp;""/map/?lat=""&amp;$D55&amp;""&amp;lon=""&amp;$E55&amp;""&amp;type=""&amp;$G55&amp;""&amp;name=""&amp;SUBSTITUTE($A55,""#"",""%23"""&amp;"),$H55&amp;""/""&amp;$I55),IF($H55&lt;&gt;"""",IF(REGEXMATCH($H55,""50( ?['fF]([oO]{2})?[tT]?)?( ?[eE][rR]{2}[oO][rR])""),HYPERLINK(""https://www.munzee.com/map/?sandbox=1&amp;lat=""&amp;$D55&amp;""&amp;lon=""&amp;$E55&amp;""&amp;name=""&amp;SUBSTITUTE($A55,""#"",""%23""),""SANDBOX""),HYPERLINK(""htt"&amp;"ps://www.munzee.com/m/""&amp;$H55&amp;""/deploys/0/type/""&amp;IFNA(VLOOKUP($G55,IMPORTRANGE(""https://docs.google.com/spreadsheets/d/1DliIGyDywdzxhd4svtjaewR0p9Y5UBTMNMQ2PcXsqss"",""type data!E2:F""),2,FALSE),$G55)&amp;""/"",$H55)),""""))"),"Munzeeprof /9428")</f>
        <v>Munzeeprof /9428</v>
      </c>
      <c r="K55" s="6" t="b">
        <v>1</v>
      </c>
      <c r="L55" s="6"/>
      <c r="M55" s="7">
        <f t="shared" si="1"/>
        <v>3</v>
      </c>
    </row>
    <row r="56">
      <c r="A56" s="3" t="s">
        <v>111</v>
      </c>
      <c r="B56" s="4">
        <v>9.0</v>
      </c>
      <c r="C56" s="4">
        <v>5.0</v>
      </c>
      <c r="D56" s="5">
        <v>40.1234598278064</v>
      </c>
      <c r="E56" s="5">
        <v>-84.6068535450733</v>
      </c>
      <c r="F56" s="4" t="s">
        <v>15</v>
      </c>
      <c r="G56" s="4" t="s">
        <v>16</v>
      </c>
      <c r="H56" s="6" t="s">
        <v>112</v>
      </c>
      <c r="I56" s="6">
        <v>1156.0</v>
      </c>
      <c r="J56" s="8" t="str">
        <f>IFERROR(__xludf.DUMMYFUNCTION("IF(AND(REGEXMATCH($H56,""50( ?['fF]([oO]{2})?[tT]?)?( ?[eE][rR]{2}[oO][rR])"")=FALSE,$H56&lt;&gt;"""",$I56&lt;&gt;""""),HYPERLINK(""https://www.munzee.com/m/""&amp;$H56&amp;""/""&amp;$I56&amp;""/map/?lat=""&amp;$D56&amp;""&amp;lon=""&amp;$E56&amp;""&amp;type=""&amp;$G56&amp;""&amp;name=""&amp;SUBSTITUTE($A56,""#"",""%23"""&amp;"),$H56&amp;""/""&amp;$I56),IF($H56&lt;&gt;"""",IF(REGEXMATCH($H56,""50( ?['fF]([oO]{2})?[tT]?)?( ?[eE][rR]{2}[oO][rR])""),HYPERLINK(""https://www.munzee.com/map/?sandbox=1&amp;lat=""&amp;$D56&amp;""&amp;lon=""&amp;$E56&amp;""&amp;name=""&amp;SUBSTITUTE($A56,""#"",""%23""),""SANDBOX""),HYPERLINK(""htt"&amp;"ps://www.munzee.com/m/""&amp;$H56&amp;""/deploys/0/type/""&amp;IFNA(VLOOKUP($G56,IMPORTRANGE(""https://docs.google.com/spreadsheets/d/1DliIGyDywdzxhd4svtjaewR0p9Y5UBTMNMQ2PcXsqss"",""type data!E2:F""),2,FALSE),$G56)&amp;""/"",$H56)),""""))"),"Lehmis/1156")</f>
        <v>Lehmis/1156</v>
      </c>
      <c r="K56" s="6" t="b">
        <v>1</v>
      </c>
      <c r="L56" s="7"/>
      <c r="M56" s="7">
        <f t="shared" si="1"/>
        <v>1</v>
      </c>
    </row>
  </sheetData>
  <customSheetViews>
    <customSheetView guid="{E2871B06-7E75-4ECE-8EF8-AE6624A3DD67}" filter="1" showAutoFilter="1">
      <autoFilter ref="$A$1:$M$56">
        <filterColumn colId="7">
          <filters>
            <filter val="kiitokurre"/>
            <filter val="Centern"/>
            <filter val="Majsan"/>
            <filter val="ladymunzee"/>
            <filter val="rgforsythe"/>
            <filter val="PlacenteFan"/>
            <filter val="Soitenlysue"/>
            <filter val="92Supercoupe"/>
            <filter val="RePe"/>
            <filter val="EmeraldAngel"/>
            <filter val="SLAUGY"/>
            <filter val="PelicanRouge"/>
            <filter val="lanyasummer"/>
            <filter val="klc1960"/>
            <filter val="kcpride"/>
            <filter val="Neta"/>
            <filter val="IggiePiggie"/>
            <filter val="mortonfox"/>
            <filter val="JRdaBoss"/>
            <filter val="daysleeperdot"/>
            <filter val="grubsneerg"/>
            <filter val="jameshau84"/>
            <filter val="TheJump"/>
            <filter val="denali0407"/>
            <filter val="BonnieB1"/>
            <filter val="bslaugh"/>
            <filter val="SpaceCoastGeoStore"/>
            <filter val="Bayermunzeer"/>
            <filter val="sohcah"/>
            <filter val="Muriabreu"/>
            <filter val="Boersentrader"/>
            <filter val="teamsturms"/>
            <filter val="Lehmis"/>
            <filter val="technical13"/>
            <filter val="Munzeeprof"/>
            <filter val="brunosantos"/>
            <filter val="Djaehrling"/>
            <filter val="WVKiwi"/>
            <filter val="annabanana"/>
            <filter val="MarkCase"/>
            <filter val="WinterCheetah"/>
          </filters>
        </filterColumn>
        <filterColumn colId="10">
          <filters>
            <filter val="FALSE"/>
          </filters>
        </filterColumn>
      </autoFilter>
    </customSheetView>
  </customSheetViews>
  <conditionalFormatting sqref="A2:I56">
    <cfRule type="expression" dxfId="0" priority="1">
      <formula>IF(AND(OR($H2="",$I2=""),$K2=TRUE),TRUE,FALSE)</formula>
    </cfRule>
  </conditionalFormatting>
  <conditionalFormatting sqref="A2:K56">
    <cfRule type="expression" dxfId="1" priority="2">
      <formula>IF(AND($H2&lt;&gt;"",$I2&lt;&gt;"",$K2=TRUE),TRUE,FALSE)</formula>
    </cfRule>
  </conditionalFormatting>
  <conditionalFormatting sqref="A2:G56">
    <cfRule type="expression" dxfId="2" priority="3">
      <formula>IF($G2="POI",TRUE,FALSE)</formula>
    </cfRule>
  </conditionalFormatting>
  <conditionalFormatting sqref="A2:F56">
    <cfRule type="expression" dxfId="3" priority="4">
      <formula>IF($G2="timberwolf",TRUE,FALSE)</formula>
    </cfRule>
  </conditionalFormatting>
  <conditionalFormatting sqref="A2:F56">
    <cfRule type="expression" dxfId="4" priority="5">
      <formula>IF($G2="silver",TRUE,FALSE)</formula>
    </cfRule>
  </conditionalFormatting>
  <conditionalFormatting sqref="A2:F56">
    <cfRule type="expression" dxfId="5" priority="6">
      <formula>IF($G2="gray",TRUE,FALSE)</formula>
    </cfRule>
  </conditionalFormatting>
  <conditionalFormatting sqref="A2:F56">
    <cfRule type="expression" dxfId="6" priority="7">
      <formula>IF($G2="black",TRUE,FALSE)</formula>
    </cfRule>
  </conditionalFormatting>
  <conditionalFormatting sqref="A2:F56">
    <cfRule type="expression" dxfId="7" priority="8">
      <formula>IF($G2="orchid",TRUE,FALSE)</formula>
    </cfRule>
  </conditionalFormatting>
  <conditionalFormatting sqref="A2:F56">
    <cfRule type="expression" dxfId="8" priority="9">
      <formula>IF($G2="wisteria",TRUE,FALSE)</formula>
    </cfRule>
  </conditionalFormatting>
  <conditionalFormatting sqref="A2:F56">
    <cfRule type="expression" dxfId="9" priority="10">
      <formula>IF($G2="purple mountains majesty",TRUE,FALSE)</formula>
    </cfRule>
  </conditionalFormatting>
  <conditionalFormatting sqref="A2:F56">
    <cfRule type="expression" dxfId="10" priority="11">
      <formula>IF($G2="violet",TRUE,FALSE)</formula>
    </cfRule>
  </conditionalFormatting>
  <conditionalFormatting sqref="A2:F56">
    <cfRule type="expression" dxfId="11" priority="12">
      <formula>IF($G2="plum",TRUE,FALSE)</formula>
    </cfRule>
  </conditionalFormatting>
  <conditionalFormatting sqref="A2:F56">
    <cfRule type="expression" dxfId="12" priority="13">
      <formula>IF($G2="violet",TRUE,FALSE)</formula>
    </cfRule>
  </conditionalFormatting>
  <conditionalFormatting sqref="A2:F56">
    <cfRule type="expression" dxfId="13" priority="14">
      <formula>IF($G2="indigo",TRUE,FALSE)</formula>
    </cfRule>
  </conditionalFormatting>
  <conditionalFormatting sqref="A2:F56">
    <cfRule type="expression" dxfId="14" priority="15">
      <formula>IF($G2="blue",TRUE,FALSE)</formula>
    </cfRule>
  </conditionalFormatting>
  <conditionalFormatting sqref="A2:F56">
    <cfRule type="expression" dxfId="15" priority="16">
      <formula>IF($G2="cadet blue",TRUE,FALSE)</formula>
    </cfRule>
  </conditionalFormatting>
  <conditionalFormatting sqref="A2:F56">
    <cfRule type="expression" dxfId="16" priority="17">
      <formula>IF($G2="periwinkle",TRUE,FALSE)</formula>
    </cfRule>
  </conditionalFormatting>
  <conditionalFormatting sqref="A2:F56">
    <cfRule type="expression" dxfId="17" priority="18">
      <formula>IF($G2="cornflower",TRUE,FALSE)</formula>
    </cfRule>
  </conditionalFormatting>
  <conditionalFormatting sqref="A2:F56">
    <cfRule type="expression" dxfId="18" priority="19">
      <formula>IF($G2="blue green",TRUE,FALSE)</formula>
    </cfRule>
  </conditionalFormatting>
  <conditionalFormatting sqref="A2:F56">
    <cfRule type="expression" dxfId="19" priority="20">
      <formula>IF($G2="pacific blue",TRUE,FALSE)</formula>
    </cfRule>
  </conditionalFormatting>
  <conditionalFormatting sqref="A2:F56">
    <cfRule type="expression" dxfId="20" priority="21">
      <formula>IF($G2="cerulean",TRUE,FALSE)</formula>
    </cfRule>
  </conditionalFormatting>
  <conditionalFormatting sqref="A2:F56">
    <cfRule type="expression" dxfId="21" priority="22">
      <formula>IF($G2="robin egg blue",TRUE,FALSE)</formula>
    </cfRule>
  </conditionalFormatting>
  <conditionalFormatting sqref="A2:F56">
    <cfRule type="expression" dxfId="22" priority="23">
      <formula>IF($G2="turquoise blue",TRUE,FALSE)</formula>
    </cfRule>
  </conditionalFormatting>
  <conditionalFormatting sqref="A2:F56">
    <cfRule type="expression" dxfId="23" priority="24">
      <formula>IF($G2="sea green",TRUE,FALSE)</formula>
    </cfRule>
  </conditionalFormatting>
  <conditionalFormatting sqref="A2:F56">
    <cfRule type="expression" dxfId="24" priority="25">
      <formula>IF($G2="granny smith apple",TRUE,FALSE)</formula>
    </cfRule>
  </conditionalFormatting>
  <conditionalFormatting sqref="A2:F56">
    <cfRule type="expression" dxfId="25" priority="26">
      <formula>IF($G2="green",TRUE,FALSE)</formula>
    </cfRule>
  </conditionalFormatting>
  <conditionalFormatting sqref="A2:F56">
    <cfRule type="expression" dxfId="25" priority="27">
      <formula>IF($G2="green",TRUE,FALSE)</formula>
    </cfRule>
  </conditionalFormatting>
  <conditionalFormatting sqref="A2:F56">
    <cfRule type="expression" dxfId="26" priority="28">
      <formula>IF($G2="forest green",TRUE,FALSE)</formula>
    </cfRule>
  </conditionalFormatting>
  <conditionalFormatting sqref="A2:F56">
    <cfRule type="expression" dxfId="27" priority="29">
      <formula>IF($G2="asparagus",TRUE,FALSE)</formula>
    </cfRule>
  </conditionalFormatting>
  <conditionalFormatting sqref="A2:F56">
    <cfRule type="expression" dxfId="28" priority="30">
      <formula>IF($G2="olive green",TRUE,FALSE)</formula>
    </cfRule>
  </conditionalFormatting>
  <conditionalFormatting sqref="A2:F56">
    <cfRule type="expression" dxfId="29" priority="31">
      <formula>IF($G2="yellow green",TRUE,FALSE)</formula>
    </cfRule>
  </conditionalFormatting>
  <conditionalFormatting sqref="A2:F56">
    <cfRule type="expression" dxfId="30" priority="32">
      <formula>IF($G2="green yellow",TRUE,FALSE)</formula>
    </cfRule>
  </conditionalFormatting>
  <conditionalFormatting sqref="A2:F56">
    <cfRule type="expression" dxfId="31" priority="33">
      <formula>IF($G2="spring green",TRUE,FALSE)</formula>
    </cfRule>
  </conditionalFormatting>
  <conditionalFormatting sqref="A2:F56">
    <cfRule type="expression" dxfId="32" priority="34">
      <formula>IF($G2="gold",TRUE,FALSE)</formula>
    </cfRule>
  </conditionalFormatting>
  <conditionalFormatting sqref="A2:F56">
    <cfRule type="expression" dxfId="33" priority="35">
      <formula>IF($G2="yellow",TRUE,FALSE)</formula>
    </cfRule>
  </conditionalFormatting>
  <conditionalFormatting sqref="A2:F56">
    <cfRule type="expression" dxfId="34" priority="36">
      <formula>IF($G2="goldenrod",TRUE,FALSE)</formula>
    </cfRule>
  </conditionalFormatting>
  <conditionalFormatting sqref="A2:F56">
    <cfRule type="expression" dxfId="35" priority="37">
      <formula>IF($G2="dandelion",TRUE,FALSE)</formula>
    </cfRule>
  </conditionalFormatting>
  <conditionalFormatting sqref="A2:F56">
    <cfRule type="expression" dxfId="36" priority="38">
      <formula>IF($G2="burnt orange",TRUE,FALSE)</formula>
    </cfRule>
  </conditionalFormatting>
  <conditionalFormatting sqref="A2:F56">
    <cfRule type="expression" dxfId="37" priority="39">
      <formula>IF($G2="orange",TRUE,FALSE)</formula>
    </cfRule>
  </conditionalFormatting>
  <conditionalFormatting sqref="A2:F56">
    <cfRule type="expression" dxfId="38" priority="40">
      <formula>IF($G2="melon",TRUE,FALSE)</formula>
    </cfRule>
  </conditionalFormatting>
  <conditionalFormatting sqref="A2:F56">
    <cfRule type="expression" dxfId="39" priority="41">
      <formula>IF($G2="pink",TRUE,FALSE)</formula>
    </cfRule>
  </conditionalFormatting>
  <conditionalFormatting sqref="A2:F56">
    <cfRule type="expression" dxfId="40" priority="42">
      <formula>IF($G2="carnation pink",TRUE,FALSE)</formula>
    </cfRule>
  </conditionalFormatting>
  <conditionalFormatting sqref="A2:F56">
    <cfRule type="expression" dxfId="41" priority="43">
      <formula>IF($G2="mauvelous",TRUE,FALSE)</formula>
    </cfRule>
  </conditionalFormatting>
  <conditionalFormatting sqref="A2:F56">
    <cfRule type="expression" dxfId="42" priority="44">
      <formula>IF($G2="salmon",TRUE,FALSE)</formula>
    </cfRule>
  </conditionalFormatting>
  <conditionalFormatting sqref="A2:F56">
    <cfRule type="expression" dxfId="43" priority="45">
      <formula>IF($G2="tickle me pink",TRUE,FALSE)</formula>
    </cfRule>
  </conditionalFormatting>
  <conditionalFormatting sqref="A2:F56">
    <cfRule type="expression" dxfId="44" priority="46">
      <formula>IF($G2="magenta",TRUE,FALSE)</formula>
    </cfRule>
  </conditionalFormatting>
  <conditionalFormatting sqref="A2:F56">
    <cfRule type="expression" dxfId="45" priority="47">
      <formula>IF($G2="wild strawberry",TRUE,FALSE)</formula>
    </cfRule>
  </conditionalFormatting>
  <conditionalFormatting sqref="A2:F56">
    <cfRule type="expression" dxfId="46" priority="48">
      <formula>IF($G2="violet red",TRUE,FALSE)</formula>
    </cfRule>
  </conditionalFormatting>
  <conditionalFormatting sqref="A2:F56">
    <cfRule type="expression" dxfId="47" priority="49">
      <formula>IF($G2="red violet",TRUE,FALSE)</formula>
    </cfRule>
  </conditionalFormatting>
  <conditionalFormatting sqref="A2:F56">
    <cfRule type="expression" dxfId="48" priority="50">
      <formula>IF($G2="apricot",TRUE,FALSE)</formula>
    </cfRule>
  </conditionalFormatting>
  <conditionalFormatting sqref="A2:F56">
    <cfRule type="expression" dxfId="49" priority="51">
      <formula>IF($G2="peach",TRUE,FALSE)</formula>
    </cfRule>
  </conditionalFormatting>
  <conditionalFormatting sqref="A2:F56">
    <cfRule type="expression" dxfId="50" priority="52">
      <formula>IF($G2="macaroni and cheese",TRUE,FALSE)</formula>
    </cfRule>
  </conditionalFormatting>
  <conditionalFormatting sqref="A2:F56">
    <cfRule type="expression" dxfId="51" priority="53">
      <formula>IF($G2="tan",TRUE,FALSE)</formula>
    </cfRule>
  </conditionalFormatting>
  <conditionalFormatting sqref="A2:F56">
    <cfRule type="expression" dxfId="52" priority="54">
      <formula>IF($G2="burnt sienna",TRUE,FALSE)</formula>
    </cfRule>
  </conditionalFormatting>
  <conditionalFormatting sqref="A2:F56">
    <cfRule type="expression" dxfId="53" priority="55">
      <formula>IF($G2="bittersweet",TRUE,FALSE)</formula>
    </cfRule>
  </conditionalFormatting>
  <conditionalFormatting sqref="A2:F56">
    <cfRule type="expression" dxfId="54" priority="56">
      <formula>IF($G2="red orange",TRUE,FALSE)</formula>
    </cfRule>
  </conditionalFormatting>
  <conditionalFormatting sqref="A2:F56">
    <cfRule type="expression" dxfId="55" priority="57">
      <formula>IF($G2="scarlet",TRUE,FALSE)</formula>
    </cfRule>
  </conditionalFormatting>
  <conditionalFormatting sqref="A2:F56">
    <cfRule type="expression" dxfId="56" priority="58">
      <formula>IF($G2="red",TRUE,FALSE)</formula>
    </cfRule>
  </conditionalFormatting>
  <conditionalFormatting sqref="A2:F56">
    <cfRule type="expression" dxfId="57" priority="59">
      <formula>IF($G2="brick red",TRUE,FALSE)</formula>
    </cfRule>
  </conditionalFormatting>
  <conditionalFormatting sqref="A2:F56">
    <cfRule type="expression" dxfId="58" priority="60">
      <formula>IF($G2="mahogany",TRUE,FALSE)</formula>
    </cfRule>
  </conditionalFormatting>
  <conditionalFormatting sqref="A2:F56">
    <cfRule type="expression" dxfId="59" priority="61">
      <formula>IF($G2="chestnut",TRUE,FALSE)</formula>
    </cfRule>
  </conditionalFormatting>
  <conditionalFormatting sqref="A2:F56">
    <cfRule type="expression" dxfId="60" priority="62">
      <formula>IF($G2="tumbleweed",TRUE,FALSE)</formula>
    </cfRule>
  </conditionalFormatting>
  <conditionalFormatting sqref="A2:F56">
    <cfRule type="expression" dxfId="61" priority="63">
      <formula>IF($G2="raw sienna",TRUE,FALSE)</formula>
    </cfRule>
  </conditionalFormatting>
  <conditionalFormatting sqref="A2:F56">
    <cfRule type="expression" dxfId="62" priority="64">
      <formula>IF($G2="brown",TRUE,FALSE)</formula>
    </cfRule>
  </conditionalFormatting>
  <conditionalFormatting sqref="A2:F56">
    <cfRule type="expression" dxfId="63" priority="65">
      <formula>IF($G2="carrot",TRUE,FALSE)</formula>
    </cfRule>
  </conditionalFormatting>
  <conditionalFormatting sqref="A2:F56">
    <cfRule type="expression" dxfId="64" priority="66">
      <formula>IF($G2="peas",TRUE,FALSE)</formula>
    </cfRule>
  </conditionalFormatting>
  <conditionalFormatting sqref="A2:F56">
    <cfRule type="expression" dxfId="65" priority="67">
      <formula>IF($G2="championshiphorse",TRUE,FALSE)</formula>
    </cfRule>
  </conditionalFormatting>
  <conditionalFormatting sqref="A2:F56">
    <cfRule type="expression" dxfId="66" priority="68">
      <formula>IF($G2="eggs",TRUE,FALSE)</formula>
    </cfRule>
  </conditionalFormatting>
  <conditionalFormatting sqref="A2:F56">
    <cfRule type="expression" dxfId="67" priority="69">
      <formula>IF($G2="family",TRUE,FALSE)</formula>
    </cfRule>
  </conditionalFormatting>
  <conditionalFormatting sqref="A2:F56">
    <cfRule type="expression" dxfId="68" priority="70">
      <formula>IF($G2="field",TRUE,FALSE)</formula>
    </cfRule>
  </conditionalFormatting>
  <conditionalFormatting sqref="H2:J56 L2:L56">
    <cfRule type="expression" dxfId="69" priority="71">
      <formula>IF(AND($H2&lt;&gt;"",$I2&lt;&gt;"",$K2=FALSE),TRUE,FALSE)</formula>
    </cfRule>
  </conditionalFormatting>
  <conditionalFormatting sqref="H2:J56 L2:L56">
    <cfRule type="expression" dxfId="70" priority="72">
      <formula>IF(AND($H2&lt;&gt;"",$I2="",$K2=FALSE),TRUE,FALSE)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15.75"/>
    <col customWidth="1" min="4" max="4" width="18.88"/>
    <col customWidth="1" min="5" max="8" width="15.75"/>
  </cols>
  <sheetData>
    <row r="1" hidden="1">
      <c r="A1" s="3" t="s">
        <v>113</v>
      </c>
      <c r="B1" s="13" t="s">
        <v>114</v>
      </c>
      <c r="D1" s="14">
        <v>10.0</v>
      </c>
      <c r="F1" s="9"/>
      <c r="G1" s="9"/>
      <c r="H1" s="9"/>
    </row>
    <row r="2" hidden="1">
      <c r="A2" s="3" t="s">
        <v>113</v>
      </c>
      <c r="B2" s="13" t="s">
        <v>115</v>
      </c>
      <c r="D2" s="15" t="s">
        <v>116</v>
      </c>
      <c r="F2" s="9"/>
      <c r="G2" s="9"/>
      <c r="H2" s="9"/>
    </row>
    <row r="3" hidden="1">
      <c r="A3" s="3" t="s">
        <v>113</v>
      </c>
      <c r="B3" s="13" t="s">
        <v>117</v>
      </c>
      <c r="D3" s="15" t="s">
        <v>118</v>
      </c>
      <c r="F3" s="9"/>
      <c r="G3" s="9"/>
      <c r="H3" s="9"/>
    </row>
    <row r="4">
      <c r="A4" s="16" t="s">
        <v>119</v>
      </c>
    </row>
    <row r="6">
      <c r="A6" s="17" t="str">
        <f>HYPERLINK($D$2,"Coordination Chat")</f>
        <v>Coordination Chat</v>
      </c>
      <c r="B6" s="17" t="str">
        <f>HYPERLINK($D$3,"Map Link")</f>
        <v>Map Link</v>
      </c>
      <c r="C6" s="9"/>
      <c r="D6" s="18" t="s">
        <v>120</v>
      </c>
      <c r="E6" s="19">
        <f>SUM($E$8:$E108)</f>
        <v>54</v>
      </c>
      <c r="F6" s="19">
        <f>SUM($F$8:$F108)</f>
        <v>54</v>
      </c>
      <c r="G6" s="19">
        <f>SUM($G$8:$G108)</f>
        <v>0</v>
      </c>
      <c r="H6" s="20">
        <f>IFERROR(F6/E6,"")</f>
        <v>1</v>
      </c>
    </row>
    <row r="7">
      <c r="A7" s="3" t="s">
        <v>121</v>
      </c>
      <c r="D7" s="21" t="s">
        <v>122</v>
      </c>
      <c r="E7" s="22" t="s">
        <v>123</v>
      </c>
      <c r="F7" s="22" t="s">
        <v>12</v>
      </c>
      <c r="G7" s="22" t="s">
        <v>124</v>
      </c>
      <c r="H7" s="22" t="s">
        <v>125</v>
      </c>
    </row>
    <row r="8">
      <c r="D8" s="9" t="str">
        <f>IFERROR(__xludf.DUMMYFUNCTION("UNIQUE(Heart!$G3:G108)"),"onyx")</f>
        <v>onyx</v>
      </c>
      <c r="E8" s="9">
        <f>IF($D8="","",COUNTIF(Heart!$G$2:$G108, $D8))</f>
        <v>20</v>
      </c>
      <c r="F8" s="9">
        <f t="shared" ref="F8:F108" si="1">IF($D8="","",E8-G8)</f>
        <v>20</v>
      </c>
      <c r="G8" s="9">
        <f>IF($D8="","",COUNTIFS(Heart!$H$2:$H108,"",Heart!$G$2:$G108, $D8))</f>
        <v>0</v>
      </c>
      <c r="H8" s="23">
        <f t="shared" ref="H8:H108" si="2">IF($D8="","",F8/E8)</f>
        <v>1</v>
      </c>
    </row>
    <row r="9">
      <c r="D9" s="9" t="str">
        <f>IFERROR(__xludf.DUMMYFUNCTION("""COMPUTED_VALUE"""),"red")</f>
        <v>red</v>
      </c>
      <c r="E9" s="9">
        <f>IF($D9="","",COUNTIF(Heart!$G$2:$G108, $D9))</f>
        <v>34</v>
      </c>
      <c r="F9" s="9">
        <f t="shared" si="1"/>
        <v>34</v>
      </c>
      <c r="G9" s="9">
        <f>IF($D9="","",COUNTIFS(Heart!$H$2:$H108,"",Heart!$G$2:$G108, $D9))</f>
        <v>0</v>
      </c>
      <c r="H9" s="23">
        <f t="shared" si="2"/>
        <v>1</v>
      </c>
    </row>
    <row r="10">
      <c r="A10" s="3" t="s">
        <v>126</v>
      </c>
      <c r="D10" s="9"/>
      <c r="E10" s="9" t="str">
        <f>IF($D10="","",COUNTIF(Heart!$G$2:$G108, $D10))</f>
        <v/>
      </c>
      <c r="F10" s="9" t="str">
        <f t="shared" si="1"/>
        <v/>
      </c>
      <c r="G10" s="9" t="str">
        <f>IF($D10="","",COUNTIFS(Heart!$H$2:$H108,"",Heart!$G$2:$G108, $D10))</f>
        <v/>
      </c>
      <c r="H10" s="23" t="str">
        <f t="shared" si="2"/>
        <v/>
      </c>
    </row>
    <row r="11">
      <c r="D11" s="9"/>
      <c r="E11" s="9" t="str">
        <f>IF($D11="","",COUNTIF(Heart!$G$2:$G108, $D11))</f>
        <v/>
      </c>
      <c r="F11" s="9" t="str">
        <f t="shared" si="1"/>
        <v/>
      </c>
      <c r="G11" s="9" t="str">
        <f>IF($D11="","",COUNTIFS(Heart!$H$2:$H108,"",Heart!$G$2:$G108, $D11))</f>
        <v/>
      </c>
      <c r="H11" s="23" t="str">
        <f t="shared" si="2"/>
        <v/>
      </c>
    </row>
    <row r="12">
      <c r="D12" s="9"/>
      <c r="E12" s="9" t="str">
        <f>IF($D12="","",COUNTIF(Heart!$G$2:$G108, $D12))</f>
        <v/>
      </c>
      <c r="F12" s="9" t="str">
        <f t="shared" si="1"/>
        <v/>
      </c>
      <c r="G12" s="9" t="str">
        <f>IF($D12="","",COUNTIFS(Heart!$H$2:$H108,"",Heart!$G$2:$G108, $D12))</f>
        <v/>
      </c>
      <c r="H12" s="23" t="str">
        <f t="shared" si="2"/>
        <v/>
      </c>
    </row>
    <row r="13">
      <c r="D13" s="9"/>
      <c r="E13" s="9" t="str">
        <f>IF($D13="","",COUNTIF(Heart!$G$2:$G108, $D13))</f>
        <v/>
      </c>
      <c r="F13" s="9" t="str">
        <f t="shared" si="1"/>
        <v/>
      </c>
      <c r="G13" s="9" t="str">
        <f>IF($D13="","",COUNTIFS(Heart!$H$2:$H108,"",Heart!$G$2:$G108, $D13))</f>
        <v/>
      </c>
      <c r="H13" s="23" t="str">
        <f t="shared" si="2"/>
        <v/>
      </c>
    </row>
    <row r="14">
      <c r="D14" s="9"/>
      <c r="E14" s="9" t="str">
        <f>IF($D14="","",COUNTIF(Heart!$G$2:$G108, $D14))</f>
        <v/>
      </c>
      <c r="F14" s="9" t="str">
        <f t="shared" si="1"/>
        <v/>
      </c>
      <c r="G14" s="9" t="str">
        <f>IF($D14="","",COUNTIFS(Heart!$H$2:$H108,"",Heart!$G$2:$G108, $D14))</f>
        <v/>
      </c>
      <c r="H14" s="23" t="str">
        <f t="shared" si="2"/>
        <v/>
      </c>
    </row>
    <row r="15">
      <c r="D15" s="9"/>
      <c r="E15" s="9" t="str">
        <f>IF($D15="","",COUNTIF(Heart!$G$2:$G108, $D15))</f>
        <v/>
      </c>
      <c r="F15" s="9" t="str">
        <f t="shared" si="1"/>
        <v/>
      </c>
      <c r="G15" s="9" t="str">
        <f>IF($D15="","",COUNTIFS(Heart!$H$2:$H108,"",Heart!$G$2:$G108, $D15))</f>
        <v/>
      </c>
      <c r="H15" s="23" t="str">
        <f t="shared" si="2"/>
        <v/>
      </c>
    </row>
    <row r="16">
      <c r="D16" s="9"/>
      <c r="E16" s="9" t="str">
        <f>IF($D16="","",COUNTIF(Heart!$G$2:$G108, $D16))</f>
        <v/>
      </c>
      <c r="F16" s="9" t="str">
        <f t="shared" si="1"/>
        <v/>
      </c>
      <c r="G16" s="9" t="str">
        <f>IF($D16="","",COUNTIFS(Heart!$H$2:$H108,"",Heart!$G$2:$G108, $D16))</f>
        <v/>
      </c>
      <c r="H16" s="23" t="str">
        <f t="shared" si="2"/>
        <v/>
      </c>
    </row>
    <row r="17">
      <c r="D17" s="9"/>
      <c r="E17" s="9" t="str">
        <f>IF($D17="","",COUNTIF(Heart!$G$2:$G108, $D17))</f>
        <v/>
      </c>
      <c r="F17" s="9" t="str">
        <f t="shared" si="1"/>
        <v/>
      </c>
      <c r="G17" s="9" t="str">
        <f>IF($D17="","",COUNTIFS(Heart!$H$2:$H108,"",Heart!$G$2:$G108, $D17))</f>
        <v/>
      </c>
      <c r="H17" s="23" t="str">
        <f t="shared" si="2"/>
        <v/>
      </c>
    </row>
    <row r="18">
      <c r="D18" s="9"/>
      <c r="E18" s="9" t="str">
        <f>IF($D18="","",COUNTIF(Heart!$G$2:$G108, $D18))</f>
        <v/>
      </c>
      <c r="F18" s="9" t="str">
        <f t="shared" si="1"/>
        <v/>
      </c>
      <c r="G18" s="9" t="str">
        <f>IF($D18="","",COUNTIFS(Heart!$H$2:$H108,"",Heart!$G$2:$G108, $D18))</f>
        <v/>
      </c>
      <c r="H18" s="23" t="str">
        <f t="shared" si="2"/>
        <v/>
      </c>
    </row>
    <row r="19">
      <c r="D19" s="9"/>
      <c r="E19" s="9" t="str">
        <f>IF($D19="","",COUNTIF(Heart!$G$2:$G108, $D19))</f>
        <v/>
      </c>
      <c r="F19" s="9" t="str">
        <f t="shared" si="1"/>
        <v/>
      </c>
      <c r="G19" s="9" t="str">
        <f>IF($D19="","",COUNTIFS(Heart!$H$2:$H108,"",Heart!$G$2:$G108, $D19))</f>
        <v/>
      </c>
      <c r="H19" s="23" t="str">
        <f t="shared" si="2"/>
        <v/>
      </c>
    </row>
    <row r="20">
      <c r="D20" s="9"/>
      <c r="E20" s="9" t="str">
        <f>IF($D20="","",COUNTIF(Heart!$G$2:$G108, $D20))</f>
        <v/>
      </c>
      <c r="F20" s="9" t="str">
        <f t="shared" si="1"/>
        <v/>
      </c>
      <c r="G20" s="9" t="str">
        <f>IF($D20="","",COUNTIFS(Heart!$H$2:$H108,"",Heart!$G$2:$G108, $D20))</f>
        <v/>
      </c>
      <c r="H20" s="23" t="str">
        <f t="shared" si="2"/>
        <v/>
      </c>
    </row>
    <row r="21">
      <c r="D21" s="9"/>
      <c r="E21" s="9" t="str">
        <f>IF($D21="","",COUNTIF(Heart!$G$2:$G108, $D21))</f>
        <v/>
      </c>
      <c r="F21" s="9" t="str">
        <f t="shared" si="1"/>
        <v/>
      </c>
      <c r="G21" s="9" t="str">
        <f>IF($D21="","",COUNTIFS(Heart!$H$2:$H108,"",Heart!$G$2:$G108, $D21))</f>
        <v/>
      </c>
      <c r="H21" s="23" t="str">
        <f t="shared" si="2"/>
        <v/>
      </c>
    </row>
    <row r="22">
      <c r="D22" s="9"/>
      <c r="E22" s="9" t="str">
        <f>IF($D22="","",COUNTIF(Heart!$G$2:$G108, $D22))</f>
        <v/>
      </c>
      <c r="F22" s="9" t="str">
        <f t="shared" si="1"/>
        <v/>
      </c>
      <c r="G22" s="9" t="str">
        <f>IF($D22="","",COUNTIFS(Heart!$H$2:$H108,"",Heart!$G$2:$G108, $D22))</f>
        <v/>
      </c>
      <c r="H22" s="23" t="str">
        <f t="shared" si="2"/>
        <v/>
      </c>
    </row>
    <row r="23">
      <c r="D23" s="9"/>
      <c r="E23" s="9" t="str">
        <f>IF($D23="","",COUNTIF(Heart!$G$2:$G108, $D23))</f>
        <v/>
      </c>
      <c r="F23" s="9" t="str">
        <f t="shared" si="1"/>
        <v/>
      </c>
      <c r="G23" s="9" t="str">
        <f>IF($D23="","",COUNTIFS(Heart!$H$2:$H108,"",Heart!$G$2:$G108, $D23))</f>
        <v/>
      </c>
      <c r="H23" s="23" t="str">
        <f t="shared" si="2"/>
        <v/>
      </c>
    </row>
    <row r="24">
      <c r="D24" s="9"/>
      <c r="E24" s="9" t="str">
        <f>IF($D24="","",COUNTIF(Heart!$G$2:$G108, $D24))</f>
        <v/>
      </c>
      <c r="F24" s="9" t="str">
        <f t="shared" si="1"/>
        <v/>
      </c>
      <c r="G24" s="9" t="str">
        <f>IF($D24="","",COUNTIFS(Heart!$H$2:$H108,"",Heart!$G$2:$G108, $D24))</f>
        <v/>
      </c>
      <c r="H24" s="23" t="str">
        <f t="shared" si="2"/>
        <v/>
      </c>
    </row>
    <row r="25">
      <c r="D25" s="9"/>
      <c r="E25" s="9" t="str">
        <f>IF($D25="","",COUNTIF(Heart!$G$2:$G108, $D25))</f>
        <v/>
      </c>
      <c r="F25" s="9" t="str">
        <f t="shared" si="1"/>
        <v/>
      </c>
      <c r="G25" s="9" t="str">
        <f>IF($D25="","",COUNTIFS(Heart!$H$2:$H108,"",Heart!$G$2:$G108, $D25))</f>
        <v/>
      </c>
      <c r="H25" s="23" t="str">
        <f t="shared" si="2"/>
        <v/>
      </c>
    </row>
    <row r="26">
      <c r="D26" s="9"/>
      <c r="E26" s="9" t="str">
        <f>IF($D26="","",COUNTIF(Heart!$G$2:$G108, $D26))</f>
        <v/>
      </c>
      <c r="F26" s="9" t="str">
        <f t="shared" si="1"/>
        <v/>
      </c>
      <c r="G26" s="9" t="str">
        <f>IF($D26="","",COUNTIFS(Heart!$H$2:$H108,"",Heart!$G$2:$G108, $D26))</f>
        <v/>
      </c>
      <c r="H26" s="23" t="str">
        <f t="shared" si="2"/>
        <v/>
      </c>
    </row>
    <row r="27">
      <c r="A27" s="24"/>
      <c r="B27" s="24"/>
      <c r="C27" s="24"/>
      <c r="D27" s="9"/>
      <c r="E27" s="9" t="str">
        <f>IF($D27="","",COUNTIF(Heart!$G$2:$G108, $D27))</f>
        <v/>
      </c>
      <c r="F27" s="9" t="str">
        <f t="shared" si="1"/>
        <v/>
      </c>
      <c r="G27" s="9" t="str">
        <f>IF($D27="","",COUNTIFS(Heart!$H$2:$H108,"",Heart!$G$2:$G108, $D27))</f>
        <v/>
      </c>
      <c r="H27" s="23" t="str">
        <f t="shared" si="2"/>
        <v/>
      </c>
    </row>
    <row r="28">
      <c r="A28" s="25" t="str">
        <f>IFERROR(__xludf.DUMMYFUNCTION("(""Top ""&amp;IF(COUNTUNIQUE(Heart!$H$2:$H108)=1,"" Placer:"",IF(COUNTUNIQUE(Heart!$H$2:$H108)&lt;$D$1,"""",$D$1&amp;"" of "")&amp;COUNTUNIQUE(Heart!$H$2:$H108)&amp;"" Placers:""))"),"Top 10 of 41 Placers:")</f>
        <v>Top 10 of 41 Placers:</v>
      </c>
      <c r="B28" s="24"/>
      <c r="C28" s="26"/>
      <c r="D28" s="9"/>
      <c r="E28" s="9" t="str">
        <f>IF($D28="","",COUNTIF(Heart!$G$2:$G108, $D28))</f>
        <v/>
      </c>
      <c r="F28" s="9" t="str">
        <f t="shared" si="1"/>
        <v/>
      </c>
      <c r="G28" s="9" t="str">
        <f>IF($D28="","",COUNTIFS(Heart!$H$2:$H108,"",Heart!$G$2:$G108, $D28))</f>
        <v/>
      </c>
      <c r="H28" s="23" t="str">
        <f t="shared" si="2"/>
        <v/>
      </c>
    </row>
    <row r="29">
      <c r="A29" s="27" t="str">
        <f>IFERROR(__xludf.DUMMYFUNCTION("QUERY(Heart!$H$2:$I108, ""select H, count(H), count(I) where H != '' group by H order by count(I) desc, count(H) desc, H limit ""&amp;$D$1&amp;"" label H 'Username', count(H) 'Promised', count(I) 'Placed'"", 0)"),"Username")</f>
        <v>Username</v>
      </c>
      <c r="B29" s="28" t="str">
        <f>IFERROR(__xludf.DUMMYFUNCTION("""COMPUTED_VALUE"""),"Promised")</f>
        <v>Promised</v>
      </c>
      <c r="C29" s="29" t="str">
        <f>IFERROR(__xludf.DUMMYFUNCTION("""COMPUTED_VALUE"""),"Placed")</f>
        <v>Placed</v>
      </c>
      <c r="D29" s="9"/>
      <c r="E29" s="9" t="str">
        <f>IF($D29="","",COUNTIF(Heart!$G$2:$G108, $D29))</f>
        <v/>
      </c>
      <c r="F29" s="9" t="str">
        <f t="shared" si="1"/>
        <v/>
      </c>
      <c r="G29" s="9" t="str">
        <f>IF($D29="","",COUNTIFS(Heart!$H$2:$H108,"",Heart!$G$2:$G108, $D29))</f>
        <v/>
      </c>
      <c r="H29" s="23" t="str">
        <f t="shared" si="2"/>
        <v/>
      </c>
    </row>
    <row r="30">
      <c r="A30" s="30" t="str">
        <f>IFERROR(__xludf.DUMMYFUNCTION("""COMPUTED_VALUE"""),"jameshau84")</f>
        <v>jameshau84</v>
      </c>
      <c r="B30" s="31">
        <f>IFERROR(__xludf.DUMMYFUNCTION("""COMPUTED_VALUE"""),4.0)</f>
        <v>4</v>
      </c>
      <c r="C30" s="32">
        <f>IFERROR(__xludf.DUMMYFUNCTION("""COMPUTED_VALUE"""),4.0)</f>
        <v>4</v>
      </c>
      <c r="D30" s="9"/>
      <c r="E30" s="9" t="str">
        <f>IF($D30="","",COUNTIF(Heart!$G$2:$G108, $D30))</f>
        <v/>
      </c>
      <c r="F30" s="9" t="str">
        <f t="shared" si="1"/>
        <v/>
      </c>
      <c r="G30" s="9" t="str">
        <f>IF($D30="","",COUNTIFS(Heart!$H$2:$H108,"",Heart!$G$2:$G108, $D30))</f>
        <v/>
      </c>
      <c r="H30" s="23" t="str">
        <f t="shared" si="2"/>
        <v/>
      </c>
    </row>
    <row r="31">
      <c r="A31" s="33" t="str">
        <f>IFERROR(__xludf.DUMMYFUNCTION("""COMPUTED_VALUE"""),"EmeraldAngel")</f>
        <v>EmeraldAngel</v>
      </c>
      <c r="B31" s="34">
        <f>IFERROR(__xludf.DUMMYFUNCTION("""COMPUTED_VALUE"""),3.0)</f>
        <v>3</v>
      </c>
      <c r="C31" s="35">
        <f>IFERROR(__xludf.DUMMYFUNCTION("""COMPUTED_VALUE"""),3.0)</f>
        <v>3</v>
      </c>
      <c r="D31" s="9"/>
      <c r="E31" s="9" t="str">
        <f>IF($D31="","",COUNTIF(Heart!$G$2:$G108, $D31))</f>
        <v/>
      </c>
      <c r="F31" s="9" t="str">
        <f t="shared" si="1"/>
        <v/>
      </c>
      <c r="G31" s="9" t="str">
        <f>IF($D31="","",COUNTIFS(Heart!$H$2:$H108,"",Heart!$G$2:$G108, $D31))</f>
        <v/>
      </c>
      <c r="H31" s="23" t="str">
        <f t="shared" si="2"/>
        <v/>
      </c>
    </row>
    <row r="32">
      <c r="A32" s="36" t="str">
        <f>IFERROR(__xludf.DUMMYFUNCTION("""COMPUTED_VALUE"""),"Munzeeprof ")</f>
        <v>Munzeeprof </v>
      </c>
      <c r="B32" s="37">
        <f>IFERROR(__xludf.DUMMYFUNCTION("""COMPUTED_VALUE"""),3.0)</f>
        <v>3</v>
      </c>
      <c r="C32" s="38">
        <f>IFERROR(__xludf.DUMMYFUNCTION("""COMPUTED_VALUE"""),3.0)</f>
        <v>3</v>
      </c>
      <c r="D32" s="9"/>
      <c r="E32" s="9" t="str">
        <f>IF($D32="","",COUNTIF(Heart!$G$2:$G108, $D32))</f>
        <v/>
      </c>
      <c r="F32" s="9" t="str">
        <f t="shared" si="1"/>
        <v/>
      </c>
      <c r="G32" s="9" t="str">
        <f>IF($D32="","",COUNTIFS(Heart!$H$2:$H108,"",Heart!$G$2:$G108, $D32))</f>
        <v/>
      </c>
      <c r="H32" s="23" t="str">
        <f t="shared" si="2"/>
        <v/>
      </c>
    </row>
    <row r="33">
      <c r="A33" s="39" t="str">
        <f>IFERROR(__xludf.DUMMYFUNCTION("""COMPUTED_VALUE"""),"Soitenlysue")</f>
        <v>Soitenlysue</v>
      </c>
      <c r="B33" s="40">
        <f>IFERROR(__xludf.DUMMYFUNCTION("""COMPUTED_VALUE"""),3.0)</f>
        <v>3</v>
      </c>
      <c r="C33" s="41">
        <f>IFERROR(__xludf.DUMMYFUNCTION("""COMPUTED_VALUE"""),3.0)</f>
        <v>3</v>
      </c>
      <c r="D33" s="9"/>
      <c r="E33" s="9" t="str">
        <f>IF($D33="","",COUNTIF(Heart!$G$2:$G108, $D33))</f>
        <v/>
      </c>
      <c r="F33" s="9" t="str">
        <f t="shared" si="1"/>
        <v/>
      </c>
      <c r="G33" s="9" t="str">
        <f>IF($D33="","",COUNTIFS(Heart!$H$2:$H108,"",Heart!$G$2:$G108, $D33))</f>
        <v/>
      </c>
      <c r="H33" s="23" t="str">
        <f t="shared" si="2"/>
        <v/>
      </c>
    </row>
    <row r="34">
      <c r="A34" s="42" t="str">
        <f>IFERROR(__xludf.DUMMYFUNCTION("""COMPUTED_VALUE"""),"grubsneerg")</f>
        <v>grubsneerg</v>
      </c>
      <c r="B34" s="43">
        <f>IFERROR(__xludf.DUMMYFUNCTION("""COMPUTED_VALUE"""),2.0)</f>
        <v>2</v>
      </c>
      <c r="C34" s="44">
        <f>IFERROR(__xludf.DUMMYFUNCTION("""COMPUTED_VALUE"""),2.0)</f>
        <v>2</v>
      </c>
      <c r="D34" s="9"/>
      <c r="E34" s="9" t="str">
        <f>IF($D34="","",COUNTIF(Heart!$G$2:$G108, $D34))</f>
        <v/>
      </c>
      <c r="F34" s="9" t="str">
        <f t="shared" si="1"/>
        <v/>
      </c>
      <c r="G34" s="9" t="str">
        <f>IF($D34="","",COUNTIFS(Heart!$H$2:$H108,"",Heart!$G$2:$G108, $D34))</f>
        <v/>
      </c>
      <c r="H34" s="23" t="str">
        <f t="shared" si="2"/>
        <v/>
      </c>
    </row>
    <row r="35">
      <c r="A35" s="45" t="str">
        <f>IFERROR(__xludf.DUMMYFUNCTION("""COMPUTED_VALUE"""),"RePe")</f>
        <v>RePe</v>
      </c>
      <c r="B35" s="46">
        <f>IFERROR(__xludf.DUMMYFUNCTION("""COMPUTED_VALUE"""),2.0)</f>
        <v>2</v>
      </c>
      <c r="C35" s="47">
        <f>IFERROR(__xludf.DUMMYFUNCTION("""COMPUTED_VALUE"""),2.0)</f>
        <v>2</v>
      </c>
      <c r="D35" s="9"/>
      <c r="E35" s="9" t="str">
        <f>IF($D35="","",COUNTIF(Heart!$G$2:$G108, $D35))</f>
        <v/>
      </c>
      <c r="F35" s="9" t="str">
        <f t="shared" si="1"/>
        <v/>
      </c>
      <c r="G35" s="9" t="str">
        <f>IF($D35="","",COUNTIFS(Heart!$H$2:$H108,"",Heart!$G$2:$G108, $D35))</f>
        <v/>
      </c>
      <c r="H35" s="23" t="str">
        <f t="shared" si="2"/>
        <v/>
      </c>
    </row>
    <row r="36">
      <c r="A36" s="45" t="str">
        <f>IFERROR(__xludf.DUMMYFUNCTION("""COMPUTED_VALUE"""),"sohcah")</f>
        <v>sohcah</v>
      </c>
      <c r="B36" s="46">
        <f>IFERROR(__xludf.DUMMYFUNCTION("""COMPUTED_VALUE"""),2.0)</f>
        <v>2</v>
      </c>
      <c r="C36" s="47">
        <f>IFERROR(__xludf.DUMMYFUNCTION("""COMPUTED_VALUE"""),2.0)</f>
        <v>2</v>
      </c>
      <c r="D36" s="9"/>
      <c r="E36" s="9" t="str">
        <f>IF($D36="","",COUNTIF(Heart!$G$2:$G108, $D36))</f>
        <v/>
      </c>
      <c r="F36" s="9" t="str">
        <f t="shared" si="1"/>
        <v/>
      </c>
      <c r="G36" s="9" t="str">
        <f>IF($D36="","",COUNTIFS(Heart!$H$2:$H108,"",Heart!$G$2:$G108, $D36))</f>
        <v/>
      </c>
      <c r="H36" s="23" t="str">
        <f t="shared" si="2"/>
        <v/>
      </c>
    </row>
    <row r="37">
      <c r="A37" s="45" t="str">
        <f>IFERROR(__xludf.DUMMYFUNCTION("""COMPUTED_VALUE"""),"technical13")</f>
        <v>technical13</v>
      </c>
      <c r="B37" s="46">
        <f>IFERROR(__xludf.DUMMYFUNCTION("""COMPUTED_VALUE"""),2.0)</f>
        <v>2</v>
      </c>
      <c r="C37" s="47">
        <f>IFERROR(__xludf.DUMMYFUNCTION("""COMPUTED_VALUE"""),2.0)</f>
        <v>2</v>
      </c>
      <c r="D37" s="9"/>
      <c r="E37" s="9" t="str">
        <f>IF($D37="","",COUNTIF(Heart!$G$2:$G108, $D37))</f>
        <v/>
      </c>
      <c r="F37" s="9" t="str">
        <f t="shared" si="1"/>
        <v/>
      </c>
      <c r="G37" s="9" t="str">
        <f>IF($D37="","",COUNTIFS(Heart!$H$2:$H108,"",Heart!$G$2:$G108, $D37))</f>
        <v/>
      </c>
      <c r="H37" s="23" t="str">
        <f t="shared" si="2"/>
        <v/>
      </c>
    </row>
    <row r="38">
      <c r="A38" s="45" t="str">
        <f>IFERROR(__xludf.DUMMYFUNCTION("""COMPUTED_VALUE"""),"92Supercoupe")</f>
        <v>92Supercoupe</v>
      </c>
      <c r="B38" s="46">
        <f>IFERROR(__xludf.DUMMYFUNCTION("""COMPUTED_VALUE"""),1.0)</f>
        <v>1</v>
      </c>
      <c r="C38" s="47">
        <f>IFERROR(__xludf.DUMMYFUNCTION("""COMPUTED_VALUE"""),1.0)</f>
        <v>1</v>
      </c>
      <c r="D38" s="9"/>
      <c r="E38" s="9" t="str">
        <f>IF($D38="","",COUNTIF(Heart!$G$2:$G108, $D38))</f>
        <v/>
      </c>
      <c r="F38" s="9" t="str">
        <f t="shared" si="1"/>
        <v/>
      </c>
      <c r="G38" s="9" t="str">
        <f>IF($D38="","",COUNTIFS(Heart!$H$2:$H108,"",Heart!$G$2:$G108, $D38))</f>
        <v/>
      </c>
      <c r="H38" s="23" t="str">
        <f t="shared" si="2"/>
        <v/>
      </c>
    </row>
    <row r="39">
      <c r="A39" s="36" t="str">
        <f>IFERROR(__xludf.DUMMYFUNCTION("""COMPUTED_VALUE"""),"annabanana")</f>
        <v>annabanana</v>
      </c>
      <c r="B39" s="37">
        <f>IFERROR(__xludf.DUMMYFUNCTION("""COMPUTED_VALUE"""),1.0)</f>
        <v>1</v>
      </c>
      <c r="C39" s="38">
        <f>IFERROR(__xludf.DUMMYFUNCTION("""COMPUTED_VALUE"""),1.0)</f>
        <v>1</v>
      </c>
      <c r="D39" s="9"/>
      <c r="E39" s="9" t="str">
        <f>IF($D39="","",COUNTIF(Heart!$G$2:$G108, $D39))</f>
        <v/>
      </c>
      <c r="F39" s="9" t="str">
        <f t="shared" si="1"/>
        <v/>
      </c>
      <c r="G39" s="9" t="str">
        <f>IF($D39="","",COUNTIFS(Heart!$H$2:$H108,"",Heart!$G$2:$G108, $D39))</f>
        <v/>
      </c>
      <c r="H39" s="23" t="str">
        <f t="shared" si="2"/>
        <v/>
      </c>
    </row>
    <row r="40">
      <c r="A40" s="45"/>
      <c r="B40" s="46"/>
      <c r="C40" s="47"/>
      <c r="D40" s="9"/>
      <c r="E40" s="9" t="str">
        <f>IF($D40="","",COUNTIF(Heart!$G$2:$G108, $D40))</f>
        <v/>
      </c>
      <c r="F40" s="9" t="str">
        <f t="shared" si="1"/>
        <v/>
      </c>
      <c r="G40" s="9" t="str">
        <f>IF($D40="","",COUNTIFS(Heart!$H$2:$H108,"",Heart!$G$2:$G108, $D40))</f>
        <v/>
      </c>
      <c r="H40" s="23" t="str">
        <f t="shared" si="2"/>
        <v/>
      </c>
    </row>
    <row r="41">
      <c r="A41" s="45"/>
      <c r="B41" s="46"/>
      <c r="C41" s="47"/>
      <c r="D41" s="9"/>
      <c r="E41" s="9" t="str">
        <f>IF($D41="","",COUNTIF(Heart!$G$2:$G108, $D41))</f>
        <v/>
      </c>
      <c r="F41" s="9" t="str">
        <f t="shared" si="1"/>
        <v/>
      </c>
      <c r="G41" s="9" t="str">
        <f>IF($D41="","",COUNTIFS(Heart!$H$2:$H108,"",Heart!$G$2:$G108, $D41))</f>
        <v/>
      </c>
      <c r="H41" s="23" t="str">
        <f t="shared" si="2"/>
        <v/>
      </c>
    </row>
    <row r="42">
      <c r="A42" s="45"/>
      <c r="B42" s="46"/>
      <c r="C42" s="47"/>
      <c r="D42" s="9"/>
      <c r="E42" s="9" t="str">
        <f>IF($D42="","",COUNTIF(Heart!$G$2:$G108, $D42))</f>
        <v/>
      </c>
      <c r="F42" s="9" t="str">
        <f t="shared" si="1"/>
        <v/>
      </c>
      <c r="G42" s="9" t="str">
        <f>IF($D42="","",COUNTIFS(Heart!$H$2:$H108,"",Heart!$G$2:$G108, $D42))</f>
        <v/>
      </c>
      <c r="H42" s="23" t="str">
        <f t="shared" si="2"/>
        <v/>
      </c>
    </row>
    <row r="43">
      <c r="A43" s="45"/>
      <c r="B43" s="46"/>
      <c r="C43" s="47"/>
      <c r="D43" s="9"/>
      <c r="E43" s="9" t="str">
        <f>IF($D43="","",COUNTIF(Heart!$G$2:$G108, $D43))</f>
        <v/>
      </c>
      <c r="F43" s="9" t="str">
        <f t="shared" si="1"/>
        <v/>
      </c>
      <c r="G43" s="9" t="str">
        <f>IF($D43="","",COUNTIFS(Heart!$H$2:$H108,"",Heart!$G$2:$G108, $D43))</f>
        <v/>
      </c>
      <c r="H43" s="23" t="str">
        <f t="shared" si="2"/>
        <v/>
      </c>
    </row>
    <row r="44">
      <c r="A44" s="36"/>
      <c r="B44" s="37"/>
      <c r="C44" s="38"/>
      <c r="D44" s="9"/>
      <c r="E44" s="9" t="str">
        <f>IF($D44="","",COUNTIF(Heart!$G$2:$G108, $D44))</f>
        <v/>
      </c>
      <c r="F44" s="9" t="str">
        <f t="shared" si="1"/>
        <v/>
      </c>
      <c r="G44" s="9" t="str">
        <f>IF($D44="","",COUNTIFS(Heart!$H$2:$H108,"",Heart!$G$2:$G108, $D44))</f>
        <v/>
      </c>
      <c r="H44" s="23" t="str">
        <f t="shared" si="2"/>
        <v/>
      </c>
    </row>
    <row r="45">
      <c r="A45" s="45"/>
      <c r="B45" s="46"/>
      <c r="C45" s="47"/>
      <c r="D45" s="9"/>
      <c r="E45" s="9" t="str">
        <f>IF($D45="","",COUNTIF(Heart!$G$2:$G108, $D45))</f>
        <v/>
      </c>
      <c r="F45" s="9" t="str">
        <f t="shared" si="1"/>
        <v/>
      </c>
      <c r="G45" s="9" t="str">
        <f>IF($D45="","",COUNTIFS(Heart!$H$2:$H108,"",Heart!$G$2:$G108, $D45))</f>
        <v/>
      </c>
      <c r="H45" s="23" t="str">
        <f t="shared" si="2"/>
        <v/>
      </c>
    </row>
    <row r="46">
      <c r="A46" s="45"/>
      <c r="B46" s="46"/>
      <c r="C46" s="47"/>
      <c r="D46" s="9"/>
      <c r="E46" s="9" t="str">
        <f>IF($D46="","",COUNTIF(Heart!$G$2:$G108, $D46))</f>
        <v/>
      </c>
      <c r="F46" s="9" t="str">
        <f t="shared" si="1"/>
        <v/>
      </c>
      <c r="G46" s="9" t="str">
        <f>IF($D46="","",COUNTIFS(Heart!$H$2:$H108,"",Heart!$G$2:$G108, $D46))</f>
        <v/>
      </c>
      <c r="H46" s="23" t="str">
        <f t="shared" si="2"/>
        <v/>
      </c>
    </row>
    <row r="47">
      <c r="A47" s="45"/>
      <c r="B47" s="46"/>
      <c r="C47" s="47"/>
      <c r="D47" s="9"/>
      <c r="E47" s="9" t="str">
        <f>IF($D47="","",COUNTIF(Heart!$G$2:$G108, $D47))</f>
        <v/>
      </c>
      <c r="F47" s="9" t="str">
        <f t="shared" si="1"/>
        <v/>
      </c>
      <c r="G47" s="9" t="str">
        <f>IF($D47="","",COUNTIFS(Heart!$H$2:$H108,"",Heart!$G$2:$G108, $D47))</f>
        <v/>
      </c>
      <c r="H47" s="23" t="str">
        <f t="shared" si="2"/>
        <v/>
      </c>
    </row>
    <row r="48">
      <c r="A48" s="36"/>
      <c r="B48" s="37"/>
      <c r="C48" s="38"/>
      <c r="D48" s="9"/>
      <c r="E48" s="9" t="str">
        <f>IF($D48="","",COUNTIF(Heart!$G$2:$G108, $D48))</f>
        <v/>
      </c>
      <c r="F48" s="9" t="str">
        <f t="shared" si="1"/>
        <v/>
      </c>
      <c r="G48" s="9" t="str">
        <f>IF($D48="","",COUNTIFS(Heart!$H$2:$H108,"",Heart!$G$2:$G108, $D48))</f>
        <v/>
      </c>
      <c r="H48" s="23" t="str">
        <f t="shared" si="2"/>
        <v/>
      </c>
    </row>
    <row r="49">
      <c r="A49" s="45"/>
      <c r="B49" s="46"/>
      <c r="C49" s="47"/>
      <c r="D49" s="9"/>
      <c r="E49" s="9" t="str">
        <f>IF($D49="","",COUNTIF(Heart!$G$2:$G108, $D49))</f>
        <v/>
      </c>
      <c r="F49" s="9" t="str">
        <f t="shared" si="1"/>
        <v/>
      </c>
      <c r="G49" s="9" t="str">
        <f>IF($D49="","",COUNTIFS(Heart!$H$2:$H108,"",Heart!$G$2:$G108, $D49))</f>
        <v/>
      </c>
      <c r="H49" s="23" t="str">
        <f t="shared" si="2"/>
        <v/>
      </c>
    </row>
    <row r="50">
      <c r="A50" s="45"/>
      <c r="B50" s="46"/>
      <c r="C50" s="47"/>
      <c r="D50" s="9"/>
      <c r="E50" s="9" t="str">
        <f>IF($D50="","",COUNTIF(Heart!$G$2:$G108, $D50))</f>
        <v/>
      </c>
      <c r="F50" s="9" t="str">
        <f t="shared" si="1"/>
        <v/>
      </c>
      <c r="G50" s="9" t="str">
        <f>IF($D50="","",COUNTIFS(Heart!$H$2:$H108,"",Heart!$G$2:$G108, $D50))</f>
        <v/>
      </c>
      <c r="H50" s="23" t="str">
        <f t="shared" si="2"/>
        <v/>
      </c>
    </row>
    <row r="51">
      <c r="A51" s="45"/>
      <c r="B51" s="46"/>
      <c r="C51" s="47"/>
      <c r="D51" s="9"/>
      <c r="E51" s="9" t="str">
        <f>IF($D51="","",COUNTIF(Heart!$G$2:$G108, $D51))</f>
        <v/>
      </c>
      <c r="F51" s="9" t="str">
        <f t="shared" si="1"/>
        <v/>
      </c>
      <c r="G51" s="9" t="str">
        <f>IF($D51="","",COUNTIFS(Heart!$H$2:$H108,"",Heart!$G$2:$G108, $D51))</f>
        <v/>
      </c>
      <c r="H51" s="23" t="str">
        <f t="shared" si="2"/>
        <v/>
      </c>
    </row>
    <row r="52">
      <c r="A52" s="45"/>
      <c r="B52" s="46"/>
      <c r="C52" s="47"/>
      <c r="D52" s="9"/>
      <c r="E52" s="9" t="str">
        <f>IF($D52="","",COUNTIF(Heart!$G$2:$G108, $D52))</f>
        <v/>
      </c>
      <c r="F52" s="9" t="str">
        <f t="shared" si="1"/>
        <v/>
      </c>
      <c r="G52" s="9" t="str">
        <f>IF($D52="","",COUNTIFS(Heart!$H$2:$H108,"",Heart!$G$2:$G108, $D52))</f>
        <v/>
      </c>
      <c r="H52" s="23" t="str">
        <f t="shared" si="2"/>
        <v/>
      </c>
    </row>
    <row r="53">
      <c r="A53" s="36"/>
      <c r="B53" s="37"/>
      <c r="C53" s="38"/>
      <c r="D53" s="9"/>
      <c r="E53" s="9" t="str">
        <f>IF($D53="","",COUNTIF(Heart!$G$2:$G108, $D53))</f>
        <v/>
      </c>
      <c r="F53" s="9" t="str">
        <f t="shared" si="1"/>
        <v/>
      </c>
      <c r="G53" s="9" t="str">
        <f>IF($D53="","",COUNTIFS(Heart!$H$2:$H108,"",Heart!$G$2:$G108, $D53))</f>
        <v/>
      </c>
      <c r="H53" s="23" t="str">
        <f t="shared" si="2"/>
        <v/>
      </c>
    </row>
    <row r="54">
      <c r="A54" s="45"/>
      <c r="B54" s="46"/>
      <c r="C54" s="47"/>
      <c r="D54" s="9"/>
      <c r="E54" s="9" t="str">
        <f>IF($D54="","",COUNTIF(Heart!$G$2:$G108, $D54))</f>
        <v/>
      </c>
      <c r="F54" s="9" t="str">
        <f t="shared" si="1"/>
        <v/>
      </c>
      <c r="G54" s="9" t="str">
        <f>IF($D54="","",COUNTIFS(Heart!$H$2:$H108,"",Heart!$G$2:$G108, $D54))</f>
        <v/>
      </c>
      <c r="H54" s="23" t="str">
        <f t="shared" si="2"/>
        <v/>
      </c>
    </row>
    <row r="55">
      <c r="A55" s="45"/>
      <c r="B55" s="46"/>
      <c r="C55" s="47"/>
      <c r="D55" s="9"/>
      <c r="E55" s="9" t="str">
        <f>IF($D55="","",COUNTIF(Heart!$G$2:$G108, $D55))</f>
        <v/>
      </c>
      <c r="F55" s="9" t="str">
        <f t="shared" si="1"/>
        <v/>
      </c>
      <c r="G55" s="9" t="str">
        <f>IF($D55="","",COUNTIFS(Heart!$H$2:$H108,"",Heart!$G$2:$G108, $D55))</f>
        <v/>
      </c>
      <c r="H55" s="23" t="str">
        <f t="shared" si="2"/>
        <v/>
      </c>
    </row>
    <row r="56">
      <c r="A56" s="45"/>
      <c r="B56" s="46"/>
      <c r="C56" s="47"/>
      <c r="D56" s="9"/>
      <c r="E56" s="9" t="str">
        <f>IF($D56="","",COUNTIF(Heart!$G$2:$G108, $D56))</f>
        <v/>
      </c>
      <c r="F56" s="9" t="str">
        <f t="shared" si="1"/>
        <v/>
      </c>
      <c r="G56" s="9" t="str">
        <f>IF($D56="","",COUNTIFS(Heart!$H$2:$H108,"",Heart!$G$2:$G108, $D56))</f>
        <v/>
      </c>
      <c r="H56" s="23" t="str">
        <f t="shared" si="2"/>
        <v/>
      </c>
    </row>
    <row r="57">
      <c r="A57" s="45"/>
      <c r="B57" s="46"/>
      <c r="C57" s="47"/>
      <c r="D57" s="9"/>
      <c r="E57" s="9" t="str">
        <f>IF($D57="","",COUNTIF(Heart!$G$2:$G108, $D57))</f>
        <v/>
      </c>
      <c r="F57" s="9" t="str">
        <f t="shared" si="1"/>
        <v/>
      </c>
      <c r="G57" s="9" t="str">
        <f>IF($D57="","",COUNTIFS(Heart!$H$2:$H108,"",Heart!$G$2:$G108, $D57))</f>
        <v/>
      </c>
      <c r="H57" s="23" t="str">
        <f t="shared" si="2"/>
        <v/>
      </c>
    </row>
    <row r="58">
      <c r="A58" s="36"/>
      <c r="B58" s="37"/>
      <c r="C58" s="38"/>
      <c r="D58" s="9"/>
      <c r="E58" s="9" t="str">
        <f>IF($D58="","",COUNTIF(Heart!$G$2:$G108, $D58))</f>
        <v/>
      </c>
      <c r="F58" s="9" t="str">
        <f t="shared" si="1"/>
        <v/>
      </c>
      <c r="G58" s="9" t="str">
        <f>IF($D58="","",COUNTIFS(Heart!$H$2:$H108,"",Heart!$G$2:$G108, $D58))</f>
        <v/>
      </c>
      <c r="H58" s="23" t="str">
        <f t="shared" si="2"/>
        <v/>
      </c>
    </row>
    <row r="59">
      <c r="A59" s="45"/>
      <c r="B59" s="46"/>
      <c r="C59" s="47"/>
      <c r="D59" s="9"/>
      <c r="E59" s="9" t="str">
        <f>IF($D59="","",COUNTIF(Heart!$G$2:$G108, $D59))</f>
        <v/>
      </c>
      <c r="F59" s="9" t="str">
        <f t="shared" si="1"/>
        <v/>
      </c>
      <c r="G59" s="9" t="str">
        <f>IF($D59="","",COUNTIFS(Heart!$H$2:$H108,"",Heart!$G$2:$G108, $D59))</f>
        <v/>
      </c>
      <c r="H59" s="23" t="str">
        <f t="shared" si="2"/>
        <v/>
      </c>
    </row>
    <row r="60">
      <c r="A60" s="45"/>
      <c r="B60" s="46"/>
      <c r="C60" s="47"/>
      <c r="D60" s="9"/>
      <c r="E60" s="9" t="str">
        <f>IF($D60="","",COUNTIF(Heart!$G$2:$G108, $D60))</f>
        <v/>
      </c>
      <c r="F60" s="9" t="str">
        <f t="shared" si="1"/>
        <v/>
      </c>
      <c r="G60" s="9" t="str">
        <f>IF($D60="","",COUNTIFS(Heart!$H$2:$H108,"",Heart!$G$2:$G108, $D60))</f>
        <v/>
      </c>
      <c r="H60" s="23" t="str">
        <f t="shared" si="2"/>
        <v/>
      </c>
    </row>
    <row r="61">
      <c r="A61" s="45"/>
      <c r="B61" s="46"/>
      <c r="C61" s="47"/>
      <c r="D61" s="9"/>
      <c r="E61" s="9" t="str">
        <f>IF($D61="","",COUNTIF(Heart!$G$2:$G108, $D61))</f>
        <v/>
      </c>
      <c r="F61" s="9" t="str">
        <f t="shared" si="1"/>
        <v/>
      </c>
      <c r="G61" s="9" t="str">
        <f>IF($D61="","",COUNTIFS(Heart!$H$2:$H108,"",Heart!$G$2:$G108, $D61))</f>
        <v/>
      </c>
      <c r="H61" s="23" t="str">
        <f t="shared" si="2"/>
        <v/>
      </c>
    </row>
    <row r="62">
      <c r="A62" s="45"/>
      <c r="B62" s="46"/>
      <c r="C62" s="47"/>
      <c r="D62" s="9"/>
      <c r="E62" s="9" t="str">
        <f>IF($D62="","",COUNTIF(Heart!$G$2:$G108, $D62))</f>
        <v/>
      </c>
      <c r="F62" s="9" t="str">
        <f t="shared" si="1"/>
        <v/>
      </c>
      <c r="G62" s="9" t="str">
        <f>IF($D62="","",COUNTIFS(Heart!$H$2:$H108,"",Heart!$G$2:$G108, $D62))</f>
        <v/>
      </c>
      <c r="H62" s="23" t="str">
        <f t="shared" si="2"/>
        <v/>
      </c>
    </row>
    <row r="63">
      <c r="A63" s="36"/>
      <c r="B63" s="37"/>
      <c r="C63" s="38"/>
      <c r="D63" s="9"/>
      <c r="E63" s="9" t="str">
        <f>IF($D63="","",COUNTIF(Heart!$G$2:$G108, $D63))</f>
        <v/>
      </c>
      <c r="F63" s="9" t="str">
        <f t="shared" si="1"/>
        <v/>
      </c>
      <c r="G63" s="9" t="str">
        <f>IF($D63="","",COUNTIFS(Heart!$H$2:$H108,"",Heart!$G$2:$G108, $D63))</f>
        <v/>
      </c>
      <c r="H63" s="23" t="str">
        <f t="shared" si="2"/>
        <v/>
      </c>
    </row>
    <row r="64">
      <c r="A64" s="45"/>
      <c r="B64" s="46"/>
      <c r="C64" s="47"/>
      <c r="D64" s="9"/>
      <c r="E64" s="9" t="str">
        <f>IF($D64="","",COUNTIF(Heart!$G$2:$G108, $D64))</f>
        <v/>
      </c>
      <c r="F64" s="9" t="str">
        <f t="shared" si="1"/>
        <v/>
      </c>
      <c r="G64" s="9" t="str">
        <f>IF($D64="","",COUNTIFS(Heart!$H$2:$H108,"",Heart!$G$2:$G108, $D64))</f>
        <v/>
      </c>
      <c r="H64" s="23" t="str">
        <f t="shared" si="2"/>
        <v/>
      </c>
    </row>
    <row r="65">
      <c r="A65" s="45"/>
      <c r="B65" s="46"/>
      <c r="C65" s="47"/>
      <c r="D65" s="9"/>
      <c r="E65" s="9" t="str">
        <f>IF($D65="","",COUNTIF(Heart!$G$2:$G108, $D65))</f>
        <v/>
      </c>
      <c r="F65" s="9" t="str">
        <f t="shared" si="1"/>
        <v/>
      </c>
      <c r="G65" s="9" t="str">
        <f>IF($D65="","",COUNTIFS(Heart!$H$2:$H108,"",Heart!$G$2:$G108, $D65))</f>
        <v/>
      </c>
      <c r="H65" s="23" t="str">
        <f t="shared" si="2"/>
        <v/>
      </c>
    </row>
    <row r="66">
      <c r="A66" s="45"/>
      <c r="B66" s="46"/>
      <c r="C66" s="47"/>
      <c r="D66" s="9"/>
      <c r="E66" s="9" t="str">
        <f>IF($D66="","",COUNTIF(Heart!$G$2:$G108, $D66))</f>
        <v/>
      </c>
      <c r="F66" s="9" t="str">
        <f t="shared" si="1"/>
        <v/>
      </c>
      <c r="G66" s="9" t="str">
        <f>IF($D66="","",COUNTIFS(Heart!$H$2:$H108,"",Heart!$G$2:$G108, $D66))</f>
        <v/>
      </c>
      <c r="H66" s="23" t="str">
        <f t="shared" si="2"/>
        <v/>
      </c>
    </row>
    <row r="67">
      <c r="A67" s="45"/>
      <c r="B67" s="46"/>
      <c r="C67" s="47"/>
      <c r="D67" s="9"/>
      <c r="E67" s="9" t="str">
        <f>IF($D67="","",COUNTIF(Heart!$G$2:$G108, $D67))</f>
        <v/>
      </c>
      <c r="F67" s="9" t="str">
        <f t="shared" si="1"/>
        <v/>
      </c>
      <c r="G67" s="9" t="str">
        <f>IF($D67="","",COUNTIFS(Heart!$H$2:$H108,"",Heart!$G$2:$G108, $D67))</f>
        <v/>
      </c>
      <c r="H67" s="23" t="str">
        <f t="shared" si="2"/>
        <v/>
      </c>
    </row>
    <row r="68">
      <c r="A68" s="36"/>
      <c r="B68" s="37"/>
      <c r="C68" s="38"/>
      <c r="D68" s="9"/>
      <c r="E68" s="9" t="str">
        <f>IF($D68="","",COUNTIF(Heart!$G$2:$G108, $D68))</f>
        <v/>
      </c>
      <c r="F68" s="9" t="str">
        <f t="shared" si="1"/>
        <v/>
      </c>
      <c r="G68" s="9" t="str">
        <f>IF($D68="","",COUNTIFS(Heart!$H$2:$H108,"",Heart!$G$2:$G108, $D68))</f>
        <v/>
      </c>
      <c r="H68" s="23" t="str">
        <f t="shared" si="2"/>
        <v/>
      </c>
    </row>
    <row r="69">
      <c r="A69" s="45"/>
      <c r="B69" s="46"/>
      <c r="C69" s="47"/>
      <c r="D69" s="9"/>
      <c r="E69" s="9" t="str">
        <f>IF($D69="","",COUNTIF(Heart!$G$2:$G108, $D69))</f>
        <v/>
      </c>
      <c r="F69" s="9" t="str">
        <f t="shared" si="1"/>
        <v/>
      </c>
      <c r="G69" s="9" t="str">
        <f>IF($D69="","",COUNTIFS(Heart!$H$2:$H108,"",Heart!$G$2:$G108, $D69))</f>
        <v/>
      </c>
      <c r="H69" s="23" t="str">
        <f t="shared" si="2"/>
        <v/>
      </c>
    </row>
    <row r="70">
      <c r="A70" s="45"/>
      <c r="B70" s="46"/>
      <c r="C70" s="47"/>
      <c r="D70" s="9"/>
      <c r="E70" s="9" t="str">
        <f>IF($D70="","",COUNTIF(Heart!$G$2:$G108, $D70))</f>
        <v/>
      </c>
      <c r="F70" s="9" t="str">
        <f t="shared" si="1"/>
        <v/>
      </c>
      <c r="G70" s="9" t="str">
        <f>IF($D70="","",COUNTIFS(Heart!$H$2:$H108,"",Heart!$G$2:$G108, $D70))</f>
        <v/>
      </c>
      <c r="H70" s="23" t="str">
        <f t="shared" si="2"/>
        <v/>
      </c>
    </row>
    <row r="71">
      <c r="A71" s="45"/>
      <c r="B71" s="46"/>
      <c r="C71" s="47"/>
      <c r="D71" s="9"/>
      <c r="E71" s="9" t="str">
        <f>IF($D71="","",COUNTIF(Heart!$G$2:$G108, $D71))</f>
        <v/>
      </c>
      <c r="F71" s="9" t="str">
        <f t="shared" si="1"/>
        <v/>
      </c>
      <c r="G71" s="9" t="str">
        <f>IF($D71="","",COUNTIFS(Heart!$H$2:$H108,"",Heart!$G$2:$G108, $D71))</f>
        <v/>
      </c>
      <c r="H71" s="23" t="str">
        <f t="shared" si="2"/>
        <v/>
      </c>
    </row>
    <row r="72">
      <c r="A72" s="45"/>
      <c r="B72" s="46"/>
      <c r="C72" s="47"/>
      <c r="D72" s="9"/>
      <c r="E72" s="9" t="str">
        <f>IF($D72="","",COUNTIF(Heart!$G$2:$G108, $D72))</f>
        <v/>
      </c>
      <c r="F72" s="9" t="str">
        <f t="shared" si="1"/>
        <v/>
      </c>
      <c r="G72" s="9" t="str">
        <f>IF($D72="","",COUNTIFS(Heart!$H$2:$H108,"",Heart!$G$2:$G108, $D72))</f>
        <v/>
      </c>
      <c r="H72" s="23" t="str">
        <f t="shared" si="2"/>
        <v/>
      </c>
    </row>
    <row r="73">
      <c r="A73" s="36"/>
      <c r="B73" s="37"/>
      <c r="C73" s="38"/>
      <c r="D73" s="9"/>
      <c r="E73" s="9" t="str">
        <f>IF($D73="","",COUNTIF(Heart!$G$2:$G108, $D73))</f>
        <v/>
      </c>
      <c r="F73" s="9" t="str">
        <f t="shared" si="1"/>
        <v/>
      </c>
      <c r="G73" s="9" t="str">
        <f>IF($D73="","",COUNTIFS(Heart!$H$2:$H108,"",Heart!$G$2:$G108, $D73))</f>
        <v/>
      </c>
      <c r="H73" s="23" t="str">
        <f t="shared" si="2"/>
        <v/>
      </c>
    </row>
    <row r="74">
      <c r="A74" s="45"/>
      <c r="B74" s="46"/>
      <c r="C74" s="47"/>
      <c r="D74" s="9"/>
      <c r="E74" s="9" t="str">
        <f>IF($D74="","",COUNTIF(Heart!$G$2:$G108, $D74))</f>
        <v/>
      </c>
      <c r="F74" s="9" t="str">
        <f t="shared" si="1"/>
        <v/>
      </c>
      <c r="G74" s="9" t="str">
        <f>IF($D74="","",COUNTIFS(Heart!$H$2:$H108,"",Heart!$G$2:$G108, $D74))</f>
        <v/>
      </c>
      <c r="H74" s="23" t="str">
        <f t="shared" si="2"/>
        <v/>
      </c>
    </row>
    <row r="75">
      <c r="A75" s="45"/>
      <c r="B75" s="46"/>
      <c r="C75" s="47"/>
      <c r="D75" s="9"/>
      <c r="E75" s="9" t="str">
        <f>IF($D75="","",COUNTIF(Heart!$G$2:$G108, $D75))</f>
        <v/>
      </c>
      <c r="F75" s="9" t="str">
        <f t="shared" si="1"/>
        <v/>
      </c>
      <c r="G75" s="9" t="str">
        <f>IF($D75="","",COUNTIFS(Heart!$H$2:$H108,"",Heart!$G$2:$G108, $D75))</f>
        <v/>
      </c>
      <c r="H75" s="23" t="str">
        <f t="shared" si="2"/>
        <v/>
      </c>
    </row>
    <row r="76">
      <c r="A76" s="45"/>
      <c r="B76" s="46"/>
      <c r="C76" s="47"/>
      <c r="D76" s="9"/>
      <c r="E76" s="9" t="str">
        <f>IF($D76="","",COUNTIF(Heart!$G$2:$G108, $D76))</f>
        <v/>
      </c>
      <c r="F76" s="9" t="str">
        <f t="shared" si="1"/>
        <v/>
      </c>
      <c r="G76" s="9" t="str">
        <f>IF($D76="","",COUNTIFS(Heart!$H$2:$H108,"",Heart!$G$2:$G108, $D76))</f>
        <v/>
      </c>
      <c r="H76" s="23" t="str">
        <f t="shared" si="2"/>
        <v/>
      </c>
    </row>
    <row r="77">
      <c r="A77" s="45"/>
      <c r="B77" s="46"/>
      <c r="C77" s="47"/>
      <c r="D77" s="9"/>
      <c r="E77" s="9" t="str">
        <f>IF($D77="","",COUNTIF(Heart!$G$2:$G108, $D77))</f>
        <v/>
      </c>
      <c r="F77" s="9" t="str">
        <f t="shared" si="1"/>
        <v/>
      </c>
      <c r="G77" s="9" t="str">
        <f>IF($D77="","",COUNTIFS(Heart!$H$2:$H108,"",Heart!$G$2:$G108, $D77))</f>
        <v/>
      </c>
      <c r="H77" s="23" t="str">
        <f t="shared" si="2"/>
        <v/>
      </c>
    </row>
    <row r="78">
      <c r="A78" s="36"/>
      <c r="B78" s="37"/>
      <c r="C78" s="38"/>
      <c r="D78" s="9"/>
      <c r="E78" s="9" t="str">
        <f>IF($D78="","",COUNTIF(Heart!$G$2:$G108, $D78))</f>
        <v/>
      </c>
      <c r="F78" s="9" t="str">
        <f t="shared" si="1"/>
        <v/>
      </c>
      <c r="G78" s="9" t="str">
        <f>IF($D78="","",COUNTIFS(Heart!$H$2:$H108,"",Heart!$G$2:$G108, $D78))</f>
        <v/>
      </c>
      <c r="H78" s="23" t="str">
        <f t="shared" si="2"/>
        <v/>
      </c>
    </row>
    <row r="79">
      <c r="A79" s="45"/>
      <c r="B79" s="46"/>
      <c r="C79" s="47"/>
      <c r="D79" s="9"/>
      <c r="E79" s="9" t="str">
        <f>IF($D79="","",COUNTIF(Heart!$G$2:$G108, $D79))</f>
        <v/>
      </c>
      <c r="F79" s="9" t="str">
        <f t="shared" si="1"/>
        <v/>
      </c>
      <c r="G79" s="9" t="str">
        <f>IF($D79="","",COUNTIFS(Heart!$H$2:$H108,"",Heart!$G$2:$G108, $D79))</f>
        <v/>
      </c>
      <c r="H79" s="23" t="str">
        <f t="shared" si="2"/>
        <v/>
      </c>
    </row>
    <row r="80">
      <c r="A80" s="45"/>
      <c r="B80" s="46"/>
      <c r="C80" s="47"/>
      <c r="D80" s="9"/>
      <c r="E80" s="9" t="str">
        <f>IF($D80="","",COUNTIF(Heart!$G$2:$G108, $D80))</f>
        <v/>
      </c>
      <c r="F80" s="9" t="str">
        <f t="shared" si="1"/>
        <v/>
      </c>
      <c r="G80" s="9" t="str">
        <f>IF($D80="","",COUNTIFS(Heart!$H$2:$H108,"",Heart!$G$2:$G108, $D80))</f>
        <v/>
      </c>
      <c r="H80" s="23" t="str">
        <f t="shared" si="2"/>
        <v/>
      </c>
    </row>
    <row r="81">
      <c r="A81" s="45"/>
      <c r="B81" s="46"/>
      <c r="C81" s="47"/>
      <c r="D81" s="9"/>
      <c r="E81" s="9" t="str">
        <f>IF($D81="","",COUNTIF(Heart!$G$2:$G108, $D81))</f>
        <v/>
      </c>
      <c r="F81" s="9" t="str">
        <f t="shared" si="1"/>
        <v/>
      </c>
      <c r="G81" s="9" t="str">
        <f>IF($D81="","",COUNTIFS(Heart!$H$2:$H108,"",Heart!$G$2:$G108, $D81))</f>
        <v/>
      </c>
      <c r="H81" s="23" t="str">
        <f t="shared" si="2"/>
        <v/>
      </c>
    </row>
    <row r="82">
      <c r="A82" s="45"/>
      <c r="B82" s="46"/>
      <c r="C82" s="47"/>
      <c r="D82" s="9"/>
      <c r="E82" s="9" t="str">
        <f>IF($D82="","",COUNTIF(Heart!$G$2:$G108, $D82))</f>
        <v/>
      </c>
      <c r="F82" s="9" t="str">
        <f t="shared" si="1"/>
        <v/>
      </c>
      <c r="G82" s="9" t="str">
        <f>IF($D82="","",COUNTIFS(Heart!$H$2:$H108,"",Heart!$G$2:$G108, $D82))</f>
        <v/>
      </c>
      <c r="H82" s="23" t="str">
        <f t="shared" si="2"/>
        <v/>
      </c>
    </row>
    <row r="83">
      <c r="A83" s="36"/>
      <c r="B83" s="37"/>
      <c r="C83" s="38"/>
      <c r="D83" s="9"/>
      <c r="E83" s="9" t="str">
        <f>IF($D83="","",COUNTIF(Heart!$G$2:$G108, $D83))</f>
        <v/>
      </c>
      <c r="F83" s="9" t="str">
        <f t="shared" si="1"/>
        <v/>
      </c>
      <c r="G83" s="9" t="str">
        <f>IF($D83="","",COUNTIFS(Heart!$H$2:$H108,"",Heart!$G$2:$G108, $D83))</f>
        <v/>
      </c>
      <c r="H83" s="23" t="str">
        <f t="shared" si="2"/>
        <v/>
      </c>
    </row>
    <row r="84">
      <c r="A84" s="45"/>
      <c r="B84" s="46"/>
      <c r="C84" s="47"/>
      <c r="D84" s="9"/>
      <c r="E84" s="9" t="str">
        <f>IF($D84="","",COUNTIF(Heart!$G$2:$G108, $D84))</f>
        <v/>
      </c>
      <c r="F84" s="9" t="str">
        <f t="shared" si="1"/>
        <v/>
      </c>
      <c r="G84" s="9" t="str">
        <f>IF($D84="","",COUNTIFS(Heart!$H$2:$H108,"",Heart!$G$2:$G108, $D84))</f>
        <v/>
      </c>
      <c r="H84" s="23" t="str">
        <f t="shared" si="2"/>
        <v/>
      </c>
    </row>
    <row r="85">
      <c r="A85" s="45"/>
      <c r="B85" s="46"/>
      <c r="C85" s="47"/>
      <c r="D85" s="9"/>
      <c r="E85" s="9" t="str">
        <f>IF($D85="","",COUNTIF(Heart!$G$2:$G108, $D85))</f>
        <v/>
      </c>
      <c r="F85" s="9" t="str">
        <f t="shared" si="1"/>
        <v/>
      </c>
      <c r="G85" s="9" t="str">
        <f>IF($D85="","",COUNTIFS(Heart!$H$2:$H108,"",Heart!$G$2:$G108, $D85))</f>
        <v/>
      </c>
      <c r="H85" s="23" t="str">
        <f t="shared" si="2"/>
        <v/>
      </c>
    </row>
    <row r="86">
      <c r="A86" s="45"/>
      <c r="B86" s="46"/>
      <c r="C86" s="47"/>
      <c r="D86" s="9"/>
      <c r="E86" s="9" t="str">
        <f>IF($D86="","",COUNTIF(Heart!$G$2:$G108, $D86))</f>
        <v/>
      </c>
      <c r="F86" s="9" t="str">
        <f t="shared" si="1"/>
        <v/>
      </c>
      <c r="G86" s="9" t="str">
        <f>IF($D86="","",COUNTIFS(Heart!$H$2:$H108,"",Heart!$G$2:$G108, $D86))</f>
        <v/>
      </c>
      <c r="H86" s="23" t="str">
        <f t="shared" si="2"/>
        <v/>
      </c>
    </row>
    <row r="87">
      <c r="A87" s="45"/>
      <c r="B87" s="46"/>
      <c r="C87" s="47"/>
      <c r="D87" s="9"/>
      <c r="E87" s="9" t="str">
        <f>IF($D87="","",COUNTIF(Heart!$G$2:$G108, $D87))</f>
        <v/>
      </c>
      <c r="F87" s="9" t="str">
        <f t="shared" si="1"/>
        <v/>
      </c>
      <c r="G87" s="9" t="str">
        <f>IF($D87="","",COUNTIFS(Heart!$H$2:$H108,"",Heart!$G$2:$G108, $D87))</f>
        <v/>
      </c>
      <c r="H87" s="23" t="str">
        <f t="shared" si="2"/>
        <v/>
      </c>
    </row>
    <row r="88">
      <c r="A88" s="36"/>
      <c r="B88" s="37"/>
      <c r="C88" s="38"/>
      <c r="D88" s="9"/>
      <c r="E88" s="9" t="str">
        <f>IF($D88="","",COUNTIF(Heart!$G$2:$G108, $D88))</f>
        <v/>
      </c>
      <c r="F88" s="9" t="str">
        <f t="shared" si="1"/>
        <v/>
      </c>
      <c r="G88" s="9" t="str">
        <f>IF($D88="","",COUNTIFS(Heart!$H$2:$H108,"",Heart!$G$2:$G108, $D88))</f>
        <v/>
      </c>
      <c r="H88" s="23" t="str">
        <f t="shared" si="2"/>
        <v/>
      </c>
    </row>
    <row r="89">
      <c r="A89" s="45"/>
      <c r="B89" s="46"/>
      <c r="C89" s="47"/>
      <c r="D89" s="9"/>
      <c r="E89" s="9" t="str">
        <f>IF($D89="","",COUNTIF(Heart!$G$2:$G108, $D89))</f>
        <v/>
      </c>
      <c r="F89" s="9" t="str">
        <f t="shared" si="1"/>
        <v/>
      </c>
      <c r="G89" s="9" t="str">
        <f>IF($D89="","",COUNTIFS(Heart!$H$2:$H108,"",Heart!$G$2:$G108, $D89))</f>
        <v/>
      </c>
      <c r="H89" s="23" t="str">
        <f t="shared" si="2"/>
        <v/>
      </c>
    </row>
    <row r="90">
      <c r="A90" s="45"/>
      <c r="B90" s="46"/>
      <c r="C90" s="47"/>
      <c r="D90" s="9"/>
      <c r="E90" s="9" t="str">
        <f>IF($D90="","",COUNTIF(Heart!$G$2:$G108, $D90))</f>
        <v/>
      </c>
      <c r="F90" s="9" t="str">
        <f t="shared" si="1"/>
        <v/>
      </c>
      <c r="G90" s="9" t="str">
        <f>IF($D90="","",COUNTIFS(Heart!$H$2:$H108,"",Heart!$G$2:$G108, $D90))</f>
        <v/>
      </c>
      <c r="H90" s="23" t="str">
        <f t="shared" si="2"/>
        <v/>
      </c>
    </row>
    <row r="91">
      <c r="A91" s="45"/>
      <c r="B91" s="46"/>
      <c r="C91" s="47"/>
      <c r="D91" s="9"/>
      <c r="E91" s="9" t="str">
        <f>IF($D91="","",COUNTIF(Heart!$G$2:$G108, $D91))</f>
        <v/>
      </c>
      <c r="F91" s="9" t="str">
        <f t="shared" si="1"/>
        <v/>
      </c>
      <c r="G91" s="9" t="str">
        <f>IF($D91="","",COUNTIFS(Heart!$H$2:$H108,"",Heart!$G$2:$G108, $D91))</f>
        <v/>
      </c>
      <c r="H91" s="23" t="str">
        <f t="shared" si="2"/>
        <v/>
      </c>
    </row>
    <row r="92">
      <c r="A92" s="45"/>
      <c r="B92" s="46"/>
      <c r="C92" s="47"/>
      <c r="D92" s="9"/>
      <c r="E92" s="9" t="str">
        <f>IF($D92="","",COUNTIF(Heart!$G$2:$G108, $D92))</f>
        <v/>
      </c>
      <c r="F92" s="9" t="str">
        <f t="shared" si="1"/>
        <v/>
      </c>
      <c r="G92" s="9" t="str">
        <f>IF($D92="","",COUNTIFS(Heart!$H$2:$H108,"",Heart!$G$2:$G108, $D92))</f>
        <v/>
      </c>
      <c r="H92" s="23" t="str">
        <f t="shared" si="2"/>
        <v/>
      </c>
    </row>
    <row r="93">
      <c r="A93" s="36"/>
      <c r="B93" s="37"/>
      <c r="C93" s="38"/>
      <c r="D93" s="9"/>
      <c r="E93" s="9" t="str">
        <f>IF($D93="","",COUNTIF(Heart!$G$2:$G108, $D93))</f>
        <v/>
      </c>
      <c r="F93" s="9" t="str">
        <f t="shared" si="1"/>
        <v/>
      </c>
      <c r="G93" s="9" t="str">
        <f>IF($D93="","",COUNTIFS(Heart!$H$2:$H108,"",Heart!$G$2:$G108, $D93))</f>
        <v/>
      </c>
      <c r="H93" s="23" t="str">
        <f t="shared" si="2"/>
        <v/>
      </c>
    </row>
    <row r="94">
      <c r="A94" s="45"/>
      <c r="B94" s="46"/>
      <c r="C94" s="47"/>
      <c r="D94" s="9"/>
      <c r="E94" s="9" t="str">
        <f>IF($D94="","",COUNTIF(Heart!$G$2:$G108, $D94))</f>
        <v/>
      </c>
      <c r="F94" s="9" t="str">
        <f t="shared" si="1"/>
        <v/>
      </c>
      <c r="G94" s="9" t="str">
        <f>IF($D94="","",COUNTIFS(Heart!$H$2:$H108,"",Heart!$G$2:$G108, $D94))</f>
        <v/>
      </c>
      <c r="H94" s="23" t="str">
        <f t="shared" si="2"/>
        <v/>
      </c>
    </row>
    <row r="95">
      <c r="A95" s="45"/>
      <c r="B95" s="46"/>
      <c r="C95" s="47"/>
      <c r="D95" s="9"/>
      <c r="E95" s="9" t="str">
        <f>IF($D95="","",COUNTIF(Heart!$G$2:$G108, $D95))</f>
        <v/>
      </c>
      <c r="F95" s="9" t="str">
        <f t="shared" si="1"/>
        <v/>
      </c>
      <c r="G95" s="9" t="str">
        <f>IF($D95="","",COUNTIFS(Heart!$H$2:$H108,"",Heart!$G$2:$G108, $D95))</f>
        <v/>
      </c>
      <c r="H95" s="23" t="str">
        <f t="shared" si="2"/>
        <v/>
      </c>
    </row>
    <row r="96">
      <c r="A96" s="45"/>
      <c r="B96" s="46"/>
      <c r="C96" s="47"/>
      <c r="D96" s="9"/>
      <c r="E96" s="9" t="str">
        <f>IF($D96="","",COUNTIF(Heart!$G$2:$G108, $D96))</f>
        <v/>
      </c>
      <c r="F96" s="9" t="str">
        <f t="shared" si="1"/>
        <v/>
      </c>
      <c r="G96" s="9" t="str">
        <f>IF($D96="","",COUNTIFS(Heart!$H$2:$H108,"",Heart!$G$2:$G108, $D96))</f>
        <v/>
      </c>
      <c r="H96" s="23" t="str">
        <f t="shared" si="2"/>
        <v/>
      </c>
    </row>
    <row r="97">
      <c r="A97" s="45"/>
      <c r="B97" s="46"/>
      <c r="C97" s="47"/>
      <c r="D97" s="9"/>
      <c r="E97" s="9" t="str">
        <f>IF($D97="","",COUNTIF(Heart!$G$2:$G108, $D97))</f>
        <v/>
      </c>
      <c r="F97" s="9" t="str">
        <f t="shared" si="1"/>
        <v/>
      </c>
      <c r="G97" s="9" t="str">
        <f>IF($D97="","",COUNTIFS(Heart!$H$2:$H108,"",Heart!$G$2:$G108, $D97))</f>
        <v/>
      </c>
      <c r="H97" s="23" t="str">
        <f t="shared" si="2"/>
        <v/>
      </c>
    </row>
    <row r="98">
      <c r="A98" s="36"/>
      <c r="B98" s="37"/>
      <c r="C98" s="38"/>
      <c r="D98" s="9"/>
      <c r="E98" s="9" t="str">
        <f>IF($D98="","",COUNTIF(Heart!$G$2:$G108, $D98))</f>
        <v/>
      </c>
      <c r="F98" s="9" t="str">
        <f t="shared" si="1"/>
        <v/>
      </c>
      <c r="G98" s="9" t="str">
        <f>IF($D98="","",COUNTIFS(Heart!$H$2:$H108,"",Heart!$G$2:$G108, $D98))</f>
        <v/>
      </c>
      <c r="H98" s="23" t="str">
        <f t="shared" si="2"/>
        <v/>
      </c>
    </row>
    <row r="99">
      <c r="A99" s="45"/>
      <c r="B99" s="46"/>
      <c r="C99" s="47"/>
      <c r="D99" s="9"/>
      <c r="E99" s="9" t="str">
        <f>IF($D99="","",COUNTIF(Heart!$G$2:$G108, $D99))</f>
        <v/>
      </c>
      <c r="F99" s="9" t="str">
        <f t="shared" si="1"/>
        <v/>
      </c>
      <c r="G99" s="9" t="str">
        <f>IF($D99="","",COUNTIFS(Heart!$H$2:$H108,"",Heart!$G$2:$G108, $D99))</f>
        <v/>
      </c>
      <c r="H99" s="23" t="str">
        <f t="shared" si="2"/>
        <v/>
      </c>
    </row>
    <row r="100">
      <c r="A100" s="45"/>
      <c r="B100" s="46"/>
      <c r="C100" s="47"/>
      <c r="D100" s="9"/>
      <c r="E100" s="9" t="str">
        <f>IF($D100="","",COUNTIF(Heart!$G$2:$G108, $D100))</f>
        <v/>
      </c>
      <c r="F100" s="9" t="str">
        <f t="shared" si="1"/>
        <v/>
      </c>
      <c r="G100" s="9" t="str">
        <f>IF($D100="","",COUNTIFS(Heart!$H$2:$H108,"",Heart!$G$2:$G108, $D100))</f>
        <v/>
      </c>
      <c r="H100" s="23" t="str">
        <f t="shared" si="2"/>
        <v/>
      </c>
    </row>
    <row r="101">
      <c r="A101" s="45"/>
      <c r="B101" s="46"/>
      <c r="C101" s="47"/>
      <c r="D101" s="9"/>
      <c r="E101" s="9" t="str">
        <f>IF($D101="","",COUNTIF(Heart!$G$2:$G108, $D101))</f>
        <v/>
      </c>
      <c r="F101" s="9" t="str">
        <f t="shared" si="1"/>
        <v/>
      </c>
      <c r="G101" s="9" t="str">
        <f>IF($D101="","",COUNTIFS(Heart!$H$2:$H108,"",Heart!$G$2:$G108, $D101))</f>
        <v/>
      </c>
      <c r="H101" s="23" t="str">
        <f t="shared" si="2"/>
        <v/>
      </c>
    </row>
    <row r="102">
      <c r="A102" s="45"/>
      <c r="B102" s="46"/>
      <c r="C102" s="47"/>
      <c r="D102" s="9"/>
      <c r="E102" s="9" t="str">
        <f>IF($D102="","",COUNTIF(Heart!$G$2:$G108, $D102))</f>
        <v/>
      </c>
      <c r="F102" s="9" t="str">
        <f t="shared" si="1"/>
        <v/>
      </c>
      <c r="G102" s="9" t="str">
        <f>IF($D102="","",COUNTIFS(Heart!$H$2:$H108,"",Heart!$G$2:$G108, $D102))</f>
        <v/>
      </c>
      <c r="H102" s="23" t="str">
        <f t="shared" si="2"/>
        <v/>
      </c>
    </row>
    <row r="103">
      <c r="A103" s="36"/>
      <c r="B103" s="37"/>
      <c r="C103" s="38"/>
      <c r="D103" s="9"/>
      <c r="E103" s="9" t="str">
        <f>IF($D103="","",COUNTIF(Heart!$G$2:$G108, $D103))</f>
        <v/>
      </c>
      <c r="F103" s="9" t="str">
        <f t="shared" si="1"/>
        <v/>
      </c>
      <c r="G103" s="9" t="str">
        <f>IF($D103="","",COUNTIFS(Heart!$H$2:$H108,"",Heart!$G$2:$G108, $D103))</f>
        <v/>
      </c>
      <c r="H103" s="23" t="str">
        <f t="shared" si="2"/>
        <v/>
      </c>
    </row>
    <row r="104">
      <c r="A104" s="45"/>
      <c r="B104" s="46"/>
      <c r="C104" s="47"/>
      <c r="D104" s="9"/>
      <c r="E104" s="9" t="str">
        <f>IF($D104="","",COUNTIF(Heart!$G$2:$G108, $D104))</f>
        <v/>
      </c>
      <c r="F104" s="9" t="str">
        <f t="shared" si="1"/>
        <v/>
      </c>
      <c r="G104" s="9" t="str">
        <f>IF($D104="","",COUNTIFS(Heart!$H$2:$H108,"",Heart!$G$2:$G108, $D104))</f>
        <v/>
      </c>
      <c r="H104" s="23" t="str">
        <f t="shared" si="2"/>
        <v/>
      </c>
    </row>
    <row r="105">
      <c r="A105" s="45"/>
      <c r="B105" s="46"/>
      <c r="C105" s="47"/>
      <c r="D105" s="9"/>
      <c r="E105" s="9" t="str">
        <f>IF($D105="","",COUNTIF(Heart!$G$2:$G108, $D105))</f>
        <v/>
      </c>
      <c r="F105" s="9" t="str">
        <f t="shared" si="1"/>
        <v/>
      </c>
      <c r="G105" s="9" t="str">
        <f>IF($D105="","",COUNTIFS(Heart!$H$2:$H108,"",Heart!$G$2:$G108, $D105))</f>
        <v/>
      </c>
      <c r="H105" s="23" t="str">
        <f t="shared" si="2"/>
        <v/>
      </c>
    </row>
    <row r="106">
      <c r="A106" s="45"/>
      <c r="B106" s="46"/>
      <c r="C106" s="47"/>
      <c r="D106" s="9"/>
      <c r="E106" s="9" t="str">
        <f>IF($D106="","",COUNTIF(Heart!$G$2:$G108, $D106))</f>
        <v/>
      </c>
      <c r="F106" s="9" t="str">
        <f t="shared" si="1"/>
        <v/>
      </c>
      <c r="G106" s="9" t="str">
        <f>IF($D106="","",COUNTIFS(Heart!$H$2:$H108,"",Heart!$G$2:$G108, $D106))</f>
        <v/>
      </c>
      <c r="H106" s="23" t="str">
        <f t="shared" si="2"/>
        <v/>
      </c>
    </row>
    <row r="107">
      <c r="A107" s="45"/>
      <c r="B107" s="46"/>
      <c r="C107" s="47"/>
      <c r="D107" s="9"/>
      <c r="E107" s="9" t="str">
        <f>IF($D107="","",COUNTIF(Heart!$G$2:$G108, $D107))</f>
        <v/>
      </c>
      <c r="F107" s="9" t="str">
        <f t="shared" si="1"/>
        <v/>
      </c>
      <c r="G107" s="9" t="str">
        <f>IF($D107="","",COUNTIFS(Heart!$H$2:$H108,"",Heart!$G$2:$G108, $D107))</f>
        <v/>
      </c>
      <c r="H107" s="23" t="str">
        <f t="shared" si="2"/>
        <v/>
      </c>
    </row>
    <row r="108">
      <c r="A108" s="36"/>
      <c r="B108" s="37"/>
      <c r="C108" s="38"/>
      <c r="D108" s="9"/>
      <c r="E108" s="9" t="str">
        <f>IF($D108="","",COUNTIF(Heart!$G$2:$G108, $D108))</f>
        <v/>
      </c>
      <c r="F108" s="9" t="str">
        <f t="shared" si="1"/>
        <v/>
      </c>
      <c r="G108" s="9" t="str">
        <f>IF($D108="","",COUNTIFS(Heart!$H$2:$H108,"",Heart!$G$2:$G108, $D108))</f>
        <v/>
      </c>
      <c r="H108" s="23" t="str">
        <f t="shared" si="2"/>
        <v/>
      </c>
    </row>
  </sheetData>
  <mergeCells count="10">
    <mergeCell ref="A7:C9"/>
    <mergeCell ref="A10:C27"/>
    <mergeCell ref="A28:C28"/>
    <mergeCell ref="B1:C1"/>
    <mergeCell ref="D1:E1"/>
    <mergeCell ref="B2:C2"/>
    <mergeCell ref="D2:E2"/>
    <mergeCell ref="B3:C3"/>
    <mergeCell ref="D3:E3"/>
    <mergeCell ref="A4:H5"/>
  </mergeCells>
  <conditionalFormatting sqref="D8:G108">
    <cfRule type="expression" dxfId="2" priority="1">
      <formula>IF($D8="POI",TRUE,FALSE)</formula>
    </cfRule>
  </conditionalFormatting>
  <conditionalFormatting sqref="D8:G108">
    <cfRule type="expression" dxfId="3" priority="2">
      <formula>IF($D8="timberwolf",TRUE,FALSE)</formula>
    </cfRule>
  </conditionalFormatting>
  <conditionalFormatting sqref="D8:G108">
    <cfRule type="expression" dxfId="4" priority="3">
      <formula>IF($D8="silver",TRUE,FALSE)</formula>
    </cfRule>
  </conditionalFormatting>
  <conditionalFormatting sqref="D8:G108">
    <cfRule type="expression" dxfId="5" priority="4">
      <formula>IF($D8="gray",TRUE,FALSE)</formula>
    </cfRule>
  </conditionalFormatting>
  <conditionalFormatting sqref="D8:G108">
    <cfRule type="expression" dxfId="6" priority="5">
      <formula>IF($D8="black",TRUE,FALSE)</formula>
    </cfRule>
  </conditionalFormatting>
  <conditionalFormatting sqref="D8:G108">
    <cfRule type="expression" dxfId="7" priority="6">
      <formula>IF($D8="orchid",TRUE,FALSE)</formula>
    </cfRule>
  </conditionalFormatting>
  <conditionalFormatting sqref="D8:G108">
    <cfRule type="expression" dxfId="8" priority="7">
      <formula>IF($D8="wisteria",TRUE,FALSE)</formula>
    </cfRule>
  </conditionalFormatting>
  <conditionalFormatting sqref="D8:G108">
    <cfRule type="expression" dxfId="9" priority="8">
      <formula>IF($D8="purple mountains majesty",TRUE,FALSE)</formula>
    </cfRule>
  </conditionalFormatting>
  <conditionalFormatting sqref="D8:G108">
    <cfRule type="expression" dxfId="10" priority="9">
      <formula>IF($D8="violet",TRUE,FALSE)</formula>
    </cfRule>
  </conditionalFormatting>
  <conditionalFormatting sqref="D8:G108">
    <cfRule type="expression" dxfId="11" priority="10">
      <formula>IF($D8="plum",TRUE,FALSE)</formula>
    </cfRule>
  </conditionalFormatting>
  <conditionalFormatting sqref="D8:G108">
    <cfRule type="expression" dxfId="12" priority="11">
      <formula>IF($D8="violet",TRUE,FALSE)</formula>
    </cfRule>
  </conditionalFormatting>
  <conditionalFormatting sqref="D8:G108">
    <cfRule type="expression" dxfId="13" priority="12">
      <formula>IF($D8="indigo",TRUE,FALSE)</formula>
    </cfRule>
  </conditionalFormatting>
  <conditionalFormatting sqref="D8:G108">
    <cfRule type="expression" dxfId="14" priority="13">
      <formula>IF($D8="blue",TRUE,FALSE)</formula>
    </cfRule>
  </conditionalFormatting>
  <conditionalFormatting sqref="D8:G108">
    <cfRule type="expression" dxfId="15" priority="14">
      <formula>IF($D8="cadet blue",TRUE,FALSE)</formula>
    </cfRule>
  </conditionalFormatting>
  <conditionalFormatting sqref="D8:G108">
    <cfRule type="expression" dxfId="16" priority="15">
      <formula>IF($D8="periwinkle",TRUE,FALSE)</formula>
    </cfRule>
  </conditionalFormatting>
  <conditionalFormatting sqref="D8:G108">
    <cfRule type="expression" dxfId="17" priority="16">
      <formula>IF($D8="cornflower",TRUE,FALSE)</formula>
    </cfRule>
  </conditionalFormatting>
  <conditionalFormatting sqref="D8:G108">
    <cfRule type="expression" dxfId="18" priority="17">
      <formula>IF($D8="blue green",TRUE,FALSE)</formula>
    </cfRule>
  </conditionalFormatting>
  <conditionalFormatting sqref="D8:G108">
    <cfRule type="expression" dxfId="19" priority="18">
      <formula>IF($D8="pacific blue",TRUE,FALSE)</formula>
    </cfRule>
  </conditionalFormatting>
  <conditionalFormatting sqref="D8:G108">
    <cfRule type="expression" dxfId="20" priority="19">
      <formula>IF($D8="cerulean",TRUE,FALSE)</formula>
    </cfRule>
  </conditionalFormatting>
  <conditionalFormatting sqref="D8:G108">
    <cfRule type="expression" dxfId="21" priority="20">
      <formula>IF($D8="robin egg blue",TRUE,FALSE)</formula>
    </cfRule>
  </conditionalFormatting>
  <conditionalFormatting sqref="D8:G108">
    <cfRule type="expression" dxfId="22" priority="21">
      <formula>IF($D8="turquoise blue",TRUE,FALSE)</formula>
    </cfRule>
  </conditionalFormatting>
  <conditionalFormatting sqref="D8:G108">
    <cfRule type="expression" dxfId="23" priority="22">
      <formula>IF($D8="sea green",TRUE,FALSE)</formula>
    </cfRule>
  </conditionalFormatting>
  <conditionalFormatting sqref="D8:G108">
    <cfRule type="expression" dxfId="24" priority="23">
      <formula>IF($D8="granny smith apple",TRUE,FALSE)</formula>
    </cfRule>
  </conditionalFormatting>
  <conditionalFormatting sqref="D8:G108">
    <cfRule type="expression" dxfId="25" priority="24">
      <formula>IF($D8="green",TRUE,FALSE)</formula>
    </cfRule>
  </conditionalFormatting>
  <conditionalFormatting sqref="D8:G108">
    <cfRule type="expression" dxfId="25" priority="25">
      <formula>IF($D8="green",TRUE,FALSE)</formula>
    </cfRule>
  </conditionalFormatting>
  <conditionalFormatting sqref="D8:G108">
    <cfRule type="expression" dxfId="26" priority="26">
      <formula>IF($D8="forest green",TRUE,FALSE)</formula>
    </cfRule>
  </conditionalFormatting>
  <conditionalFormatting sqref="D8:G108">
    <cfRule type="expression" dxfId="27" priority="27">
      <formula>IF($D8="asparagus",TRUE,FALSE)</formula>
    </cfRule>
  </conditionalFormatting>
  <conditionalFormatting sqref="D8:G108">
    <cfRule type="expression" dxfId="28" priority="28">
      <formula>IF($D8="olive green",TRUE,FALSE)</formula>
    </cfRule>
  </conditionalFormatting>
  <conditionalFormatting sqref="D8:G108">
    <cfRule type="expression" dxfId="29" priority="29">
      <formula>IF($D8="yellow green",TRUE,FALSE)</formula>
    </cfRule>
  </conditionalFormatting>
  <conditionalFormatting sqref="D8:G108">
    <cfRule type="expression" dxfId="30" priority="30">
      <formula>IF($D8="green yellow",TRUE,FALSE)</formula>
    </cfRule>
  </conditionalFormatting>
  <conditionalFormatting sqref="D8:G108">
    <cfRule type="expression" dxfId="31" priority="31">
      <formula>IF($D8="spring green",TRUE,FALSE)</formula>
    </cfRule>
  </conditionalFormatting>
  <conditionalFormatting sqref="D8:G108">
    <cfRule type="expression" dxfId="32" priority="32">
      <formula>IF($D8="gold",TRUE,FALSE)</formula>
    </cfRule>
  </conditionalFormatting>
  <conditionalFormatting sqref="D8:G108">
    <cfRule type="expression" dxfId="33" priority="33">
      <formula>IF($D8="yellow",TRUE,FALSE)</formula>
    </cfRule>
  </conditionalFormatting>
  <conditionalFormatting sqref="D8:G108">
    <cfRule type="expression" dxfId="34" priority="34">
      <formula>IF($D8="goldenrod",TRUE,FALSE)</formula>
    </cfRule>
  </conditionalFormatting>
  <conditionalFormatting sqref="D8:G108">
    <cfRule type="expression" dxfId="35" priority="35">
      <formula>IF($D8="dandelion",TRUE,FALSE)</formula>
    </cfRule>
  </conditionalFormatting>
  <conditionalFormatting sqref="D8:G108">
    <cfRule type="expression" dxfId="36" priority="36">
      <formula>IF($D8="burnt orange",TRUE,FALSE)</formula>
    </cfRule>
  </conditionalFormatting>
  <conditionalFormatting sqref="D8:G108">
    <cfRule type="expression" dxfId="37" priority="37">
      <formula>IF($D8="orange",TRUE,FALSE)</formula>
    </cfRule>
  </conditionalFormatting>
  <conditionalFormatting sqref="D8:G108">
    <cfRule type="expression" dxfId="38" priority="38">
      <formula>IF($D8="melon",TRUE,FALSE)</formula>
    </cfRule>
  </conditionalFormatting>
  <conditionalFormatting sqref="D8:G108">
    <cfRule type="expression" dxfId="39" priority="39">
      <formula>IF($D8="pink",TRUE,FALSE)</formula>
    </cfRule>
  </conditionalFormatting>
  <conditionalFormatting sqref="D8:G108">
    <cfRule type="expression" dxfId="40" priority="40">
      <formula>IF($D8="carnation pink",TRUE,FALSE)</formula>
    </cfRule>
  </conditionalFormatting>
  <conditionalFormatting sqref="D8:G108">
    <cfRule type="expression" dxfId="41" priority="41">
      <formula>IF($D8="mauvelous",TRUE,FALSE)</formula>
    </cfRule>
  </conditionalFormatting>
  <conditionalFormatting sqref="D8:G108">
    <cfRule type="expression" dxfId="42" priority="42">
      <formula>IF($D8="salmon",TRUE,FALSE)</formula>
    </cfRule>
  </conditionalFormatting>
  <conditionalFormatting sqref="D8:G108">
    <cfRule type="expression" dxfId="43" priority="43">
      <formula>IF($D8="tickle me pink",TRUE,FALSE)</formula>
    </cfRule>
  </conditionalFormatting>
  <conditionalFormatting sqref="D8:G108">
    <cfRule type="expression" dxfId="43" priority="44">
      <formula>IF($D8="tickle me pink",TRUE,FALSE)</formula>
    </cfRule>
  </conditionalFormatting>
  <conditionalFormatting sqref="D8:G108">
    <cfRule type="expression" dxfId="44" priority="45">
      <formula>IF($D8="magenta",TRUE,FALSE)</formula>
    </cfRule>
  </conditionalFormatting>
  <conditionalFormatting sqref="D8:G108">
    <cfRule type="expression" dxfId="45" priority="46">
      <formula>IF($D8="wild strawberry",TRUE,FALSE)</formula>
    </cfRule>
  </conditionalFormatting>
  <conditionalFormatting sqref="D8:G108">
    <cfRule type="expression" dxfId="46" priority="47">
      <formula>IF($D8="violet red",TRUE,FALSE)</formula>
    </cfRule>
  </conditionalFormatting>
  <conditionalFormatting sqref="D8:G108">
    <cfRule type="expression" dxfId="47" priority="48">
      <formula>IF($D8="red violet",TRUE,FALSE)</formula>
    </cfRule>
  </conditionalFormatting>
  <conditionalFormatting sqref="D8:G108">
    <cfRule type="expression" dxfId="48" priority="49">
      <formula>IF($D8="apricot",TRUE,FALSE)</formula>
    </cfRule>
  </conditionalFormatting>
  <conditionalFormatting sqref="D8:G108">
    <cfRule type="expression" dxfId="49" priority="50">
      <formula>IF($D8="peach",TRUE,FALSE)</formula>
    </cfRule>
  </conditionalFormatting>
  <conditionalFormatting sqref="D8:G108">
    <cfRule type="expression" dxfId="50" priority="51">
      <formula>IF($D8="macaroni and cheese",TRUE,FALSE)</formula>
    </cfRule>
  </conditionalFormatting>
  <conditionalFormatting sqref="D8:G108">
    <cfRule type="expression" dxfId="51" priority="52">
      <formula>IF($D8="tan",TRUE,FALSE)</formula>
    </cfRule>
  </conditionalFormatting>
  <conditionalFormatting sqref="D8:G108">
    <cfRule type="expression" dxfId="52" priority="53">
      <formula>IF($D8="burnt sienna",TRUE,FALSE)</formula>
    </cfRule>
  </conditionalFormatting>
  <conditionalFormatting sqref="D8:G108">
    <cfRule type="expression" dxfId="53" priority="54">
      <formula>IF($D8="bittersweet",TRUE,FALSE)</formula>
    </cfRule>
  </conditionalFormatting>
  <conditionalFormatting sqref="D8:G108">
    <cfRule type="expression" dxfId="54" priority="55">
      <formula>IF($D8="red orange",TRUE,FALSE)</formula>
    </cfRule>
  </conditionalFormatting>
  <conditionalFormatting sqref="D8:G108">
    <cfRule type="expression" dxfId="55" priority="56">
      <formula>IF($D8="scarlet",TRUE,FALSE)</formula>
    </cfRule>
  </conditionalFormatting>
  <conditionalFormatting sqref="D8:G108">
    <cfRule type="expression" dxfId="56" priority="57">
      <formula>IF($D8="red",TRUE,FALSE)</formula>
    </cfRule>
  </conditionalFormatting>
  <conditionalFormatting sqref="D8:G108">
    <cfRule type="expression" dxfId="57" priority="58">
      <formula>IF($D8="brick red",TRUE,FALSE)</formula>
    </cfRule>
  </conditionalFormatting>
  <conditionalFormatting sqref="D8:G108">
    <cfRule type="expression" dxfId="58" priority="59">
      <formula>IF($D8="mahogany",TRUE,FALSE)</formula>
    </cfRule>
  </conditionalFormatting>
  <conditionalFormatting sqref="D8:G108">
    <cfRule type="expression" dxfId="59" priority="60">
      <formula>IF($D8="chestnut",TRUE,FALSE)</formula>
    </cfRule>
  </conditionalFormatting>
  <conditionalFormatting sqref="D8:G108">
    <cfRule type="expression" dxfId="60" priority="61">
      <formula>IF($D8="tumbleweed",TRUE,FALSE)</formula>
    </cfRule>
  </conditionalFormatting>
  <conditionalFormatting sqref="D8:G108">
    <cfRule type="expression" dxfId="61" priority="62">
      <formula>IF($D8="raw sienna",TRUE,FALSE)</formula>
    </cfRule>
  </conditionalFormatting>
  <conditionalFormatting sqref="D8:G108">
    <cfRule type="expression" dxfId="62" priority="63">
      <formula>IF($D8="brown",TRUE,FALSE)</formula>
    </cfRule>
  </conditionalFormatting>
  <conditionalFormatting sqref="D8:G108">
    <cfRule type="expression" dxfId="63" priority="64">
      <formula>IF($D8="carrot",TRUE,FALSE)</formula>
    </cfRule>
  </conditionalFormatting>
  <conditionalFormatting sqref="D8:G108">
    <cfRule type="expression" dxfId="64" priority="65">
      <formula>IF($D8="peas",TRUE,FALSE)</formula>
    </cfRule>
  </conditionalFormatting>
  <conditionalFormatting sqref="D8:G108">
    <cfRule type="expression" dxfId="65" priority="66">
      <formula>IF($D8="championshiphorse",TRUE,FALSE)</formula>
    </cfRule>
  </conditionalFormatting>
  <conditionalFormatting sqref="D8:G108">
    <cfRule type="expression" dxfId="66" priority="67">
      <formula>IF($D8="eggs",TRUE,FALSE)</formula>
    </cfRule>
  </conditionalFormatting>
  <conditionalFormatting sqref="D8:G108">
    <cfRule type="expression" dxfId="67" priority="68">
      <formula>IF($D8="family",TRUE,FALSE)</formula>
    </cfRule>
  </conditionalFormatting>
  <conditionalFormatting sqref="D8:G108">
    <cfRule type="expression" dxfId="68" priority="69">
      <formula>IF($D8="field",TRUE,FALSE)</formula>
    </cfRule>
  </conditionalFormatting>
  <conditionalFormatting sqref="H8:H108">
    <cfRule type="cellIs" dxfId="71" priority="70" operator="greaterThanOrEqual">
      <formula>0.8</formula>
    </cfRule>
  </conditionalFormatting>
  <conditionalFormatting sqref="H8:H108">
    <cfRule type="cellIs" dxfId="72" priority="71" operator="greaterThanOrEqual">
      <formula>0.6</formula>
    </cfRule>
  </conditionalFormatting>
  <conditionalFormatting sqref="H8:H108">
    <cfRule type="cellIs" dxfId="73" priority="72" operator="greaterThanOrEqual">
      <formula>0.4</formula>
    </cfRule>
  </conditionalFormatting>
  <conditionalFormatting sqref="H8:H108">
    <cfRule type="cellIs" dxfId="74" priority="73" operator="greaterThanOrEqual">
      <formula>0.2</formula>
    </cfRule>
  </conditionalFormatting>
  <conditionalFormatting sqref="H8:H108">
    <cfRule type="cellIs" dxfId="75" priority="74" operator="lessThan">
      <formula>0.2</formula>
    </cfRule>
  </conditionalFormatting>
  <dataValidations>
    <dataValidation type="custom" allowBlank="1" showDropDown="1" showErrorMessage="1" sqref="D2:D3">
      <formula1>IFERROR(ISURL(D2), true)</formula1>
    </dataValidation>
    <dataValidation type="decimal" operator="greaterThanOrEqual" allowBlank="1" showDropDown="1" showInputMessage="1" showErrorMessage="1" prompt="Enter a number greater than or equal to 5" sqref="D1">
      <formula1>5.0</formula1>
    </dataValidation>
  </dataValidations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.75"/>
  </cols>
  <sheetData>
    <row r="1">
      <c r="A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C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F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I1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  <row r="2">
      <c r="A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C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I2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  <row r="3">
      <c r="A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B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C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I3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</row>
    <row r="4">
      <c r="A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B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C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I4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</row>
    <row r="5">
      <c r="A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B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C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I5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</row>
    <row r="6">
      <c r="A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C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I6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  <row r="7">
      <c r="A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C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D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H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I7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  <row r="8">
      <c r="A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C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D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E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G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H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I8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  <row r="9">
      <c r="A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B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C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D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E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FALSE)="""",""R"",""D""))),"""")"),"F")</f>
        <v>F</v>
      </c>
      <c r="F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G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H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  <c r="I9" s="9" t="str">
        <f>IFERROR(__xludf.DUMMYFUNCTION("IFERROR(IF(QUERY(Heart!$B$3:$K9,""select K where B = ""&amp;ROW()&amp;"" and C = ""&amp;COLUMN(), FALSE)=TRUE,""F"",IF(QUERY(Heart!$B$3:$H9,""select H where B = ""&amp;ROW()&amp;"" and C = ""&amp;COLUMN(), FALSE)="""",""A"",IF(QUERY(Heart!$B$3:$I9,""select I where B = ""&amp;ROW()&amp;"&amp;""" and C = ""&amp;COLUMN(), FALSE)="""",""R"",""D""))),"""")"),"")</f>
        <v/>
      </c>
    </row>
  </sheetData>
  <conditionalFormatting sqref="A1:I9">
    <cfRule type="cellIs" dxfId="71" priority="1" operator="equal">
      <formula>"F"</formula>
    </cfRule>
  </conditionalFormatting>
  <conditionalFormatting sqref="A1:I9">
    <cfRule type="cellIs" dxfId="76" priority="2" operator="equal">
      <formula>"A"</formula>
    </cfRule>
  </conditionalFormatting>
  <conditionalFormatting sqref="A1:I9">
    <cfRule type="cellIs" dxfId="77" priority="3" operator="equal">
      <formula>"R"</formula>
    </cfRule>
  </conditionalFormatting>
  <conditionalFormatting sqref="A1:I9">
    <cfRule type="cellIs" dxfId="78" priority="4" operator="equal">
      <formula>"D"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hidden="1" min="2" max="2" width="4.25"/>
    <col customWidth="1" hidden="1" min="3" max="3" width="6.75"/>
    <col customWidth="1" hidden="1" min="4" max="5" width="19.38"/>
    <col customWidth="1" min="6" max="6" width="9.88"/>
    <col hidden="1" min="7" max="9" width="12.63"/>
    <col customWidth="1" min="10" max="10" width="18.88"/>
    <col customWidth="1" min="11" max="11" width="50.13"/>
    <col customWidth="1" min="12" max="12" width="6.88"/>
  </cols>
  <sheetData>
    <row r="1">
      <c r="A1" s="48" t="s">
        <v>127</v>
      </c>
      <c r="B1" s="48" t="s">
        <v>1</v>
      </c>
      <c r="C1" s="48" t="s">
        <v>2</v>
      </c>
      <c r="D1" s="49" t="s">
        <v>3</v>
      </c>
      <c r="E1" s="49" t="s">
        <v>4</v>
      </c>
      <c r="F1" s="48" t="s">
        <v>5</v>
      </c>
      <c r="G1" s="48" t="s">
        <v>128</v>
      </c>
      <c r="H1" s="48" t="s">
        <v>7</v>
      </c>
      <c r="I1" s="48" t="s">
        <v>8</v>
      </c>
      <c r="J1" s="50" t="s">
        <v>9</v>
      </c>
      <c r="K1" s="48" t="s">
        <v>11</v>
      </c>
      <c r="L1" s="48" t="s">
        <v>129</v>
      </c>
    </row>
    <row r="2">
      <c r="A2" s="51" t="str">
        <f>IFERROR(__xludf.DUMMYFUNCTION("IFERROR(QUERY(Heart!$A2:M26,""SELECT A,B,C,D,E,F,G,H,I WHERE H != '' AND K != ""&amp;TRUE&amp;"" ORDER BY I DESC, A"",FALSE),""No deploys to verify at this time"")"),"No deploys to verify at this time")</f>
        <v>No deploys to verify at this time</v>
      </c>
      <c r="B2" s="51"/>
      <c r="C2" s="51"/>
      <c r="D2" s="51"/>
      <c r="E2" s="51"/>
      <c r="F2" s="51"/>
      <c r="G2" s="51"/>
      <c r="H2" s="51"/>
      <c r="I2" s="51"/>
      <c r="J2" s="51" t="str">
        <f t="shared" ref="J2:J26" si="1">IF(OR($A2="",$A2="No deploys to verify at this time"),"",HYPERLINK("https://www.munzee.com/m/"&amp;$H2&amp;"/"&amp;IF($I2="","undeploys/",$I2&amp;"/map/?lat="&amp;$D2&amp;"&amp;lon="&amp;$E2&amp;"&amp;type="&amp;$F2&amp;"&amp;name="&amp;SUBSTITUTE($A2,"#","%23")),$H2&amp;IF($I2="","","/"&amp;$I2)))</f>
        <v/>
      </c>
      <c r="K2" s="51" t="str">
        <f>IF(OR($A2="",$A2="No deploys to verify at this time"),"",VLOOKUP($A2,Heart!$A$2:$L26,12))</f>
        <v/>
      </c>
      <c r="L2" s="51" t="str">
        <f>IF(OR($A2="",$A2="No deploys to verify at this time"),"",VLOOKUP($A2,Heart!$A$2:$M26,13))</f>
        <v/>
      </c>
    </row>
    <row r="3">
      <c r="A3" s="51"/>
      <c r="B3" s="51"/>
      <c r="C3" s="51"/>
      <c r="D3" s="51"/>
      <c r="E3" s="51"/>
      <c r="F3" s="51"/>
      <c r="G3" s="51"/>
      <c r="H3" s="51"/>
      <c r="I3" s="51"/>
      <c r="J3" s="51" t="str">
        <f t="shared" si="1"/>
        <v/>
      </c>
      <c r="K3" s="51" t="str">
        <f>IF(OR($A3="",$A3="No deploys to verify at this time"),"",VLOOKUP($A3,Heart!$A$2:$L26,12))</f>
        <v/>
      </c>
      <c r="L3" s="51" t="str">
        <f>IF(OR($A3="",$A3="No deploys to verify at this time"),"",VLOOKUP($A3,Heart!$A$2:$M26,13))</f>
        <v/>
      </c>
    </row>
    <row r="4">
      <c r="A4" s="51"/>
      <c r="B4" s="51"/>
      <c r="C4" s="51"/>
      <c r="D4" s="51"/>
      <c r="E4" s="51"/>
      <c r="F4" s="51"/>
      <c r="G4" s="51"/>
      <c r="H4" s="51"/>
      <c r="I4" s="51"/>
      <c r="J4" s="51" t="str">
        <f t="shared" si="1"/>
        <v/>
      </c>
      <c r="K4" s="51" t="str">
        <f>IF(OR($A4="",$A4="No deploys to verify at this time"),"",VLOOKUP($A4,Heart!$A$2:$L26,12))</f>
        <v/>
      </c>
      <c r="L4" s="51" t="str">
        <f>IF(OR($A4="",$A4="No deploys to verify at this time"),"",VLOOKUP($A4,Heart!$A$2:$M26,13))</f>
        <v/>
      </c>
    </row>
    <row r="5">
      <c r="A5" s="51"/>
      <c r="B5" s="51"/>
      <c r="C5" s="51"/>
      <c r="D5" s="51"/>
      <c r="E5" s="51"/>
      <c r="F5" s="51"/>
      <c r="G5" s="51"/>
      <c r="H5" s="51"/>
      <c r="I5" s="51"/>
      <c r="J5" s="51" t="str">
        <f t="shared" si="1"/>
        <v/>
      </c>
      <c r="K5" s="51" t="str">
        <f>IF(OR($A5="",$A5="No deploys to verify at this time"),"",VLOOKUP($A5,Heart!$A$2:$L26,12))</f>
        <v/>
      </c>
      <c r="L5" s="51" t="str">
        <f>IF(OR($A5="",$A5="No deploys to verify at this time"),"",VLOOKUP($A5,Heart!$A$2:$M26,13))</f>
        <v/>
      </c>
    </row>
    <row r="6">
      <c r="A6" s="51"/>
      <c r="B6" s="51"/>
      <c r="C6" s="51"/>
      <c r="D6" s="51"/>
      <c r="E6" s="51"/>
      <c r="F6" s="51"/>
      <c r="G6" s="51"/>
      <c r="H6" s="51"/>
      <c r="I6" s="51"/>
      <c r="J6" s="51" t="str">
        <f t="shared" si="1"/>
        <v/>
      </c>
      <c r="K6" s="51" t="str">
        <f>IF(OR($A6="",$A6="No deploys to verify at this time"),"",VLOOKUP($A6,Heart!$A$2:$L26,12))</f>
        <v/>
      </c>
      <c r="L6" s="51" t="str">
        <f>IF(OR($A6="",$A6="No deploys to verify at this time"),"",VLOOKUP($A6,Heart!$A$2:$M26,13))</f>
        <v/>
      </c>
    </row>
    <row r="7">
      <c r="A7" s="51"/>
      <c r="B7" s="51"/>
      <c r="C7" s="51"/>
      <c r="D7" s="51"/>
      <c r="E7" s="51"/>
      <c r="F7" s="51"/>
      <c r="G7" s="51"/>
      <c r="H7" s="51"/>
      <c r="I7" s="51"/>
      <c r="J7" s="51" t="str">
        <f t="shared" si="1"/>
        <v/>
      </c>
      <c r="K7" s="51" t="str">
        <f>IF(OR($A7="",$A7="No deploys to verify at this time"),"",VLOOKUP($A7,Heart!$A$2:$L26,12))</f>
        <v/>
      </c>
      <c r="L7" s="51" t="str">
        <f>IF(OR($A7="",$A7="No deploys to verify at this time"),"",VLOOKUP($A7,Heart!$A$2:$M26,13))</f>
        <v/>
      </c>
    </row>
    <row r="8">
      <c r="A8" s="51"/>
      <c r="B8" s="51"/>
      <c r="C8" s="51"/>
      <c r="D8" s="51"/>
      <c r="E8" s="51"/>
      <c r="F8" s="51"/>
      <c r="G8" s="51"/>
      <c r="H8" s="51"/>
      <c r="I8" s="51"/>
      <c r="J8" s="51" t="str">
        <f t="shared" si="1"/>
        <v/>
      </c>
      <c r="K8" s="51" t="str">
        <f>IF(OR($A8="",$A8="No deploys to verify at this time"),"",VLOOKUP($A8,Heart!$A$2:$L26,12))</f>
        <v/>
      </c>
      <c r="L8" s="51" t="str">
        <f>IF(OR($A8="",$A8="No deploys to verify at this time"),"",VLOOKUP($A8,Heart!$A$2:$M26,13))</f>
        <v/>
      </c>
    </row>
    <row r="9">
      <c r="A9" s="51"/>
      <c r="B9" s="51"/>
      <c r="C9" s="51"/>
      <c r="D9" s="51"/>
      <c r="E9" s="51"/>
      <c r="F9" s="51"/>
      <c r="G9" s="51"/>
      <c r="H9" s="51"/>
      <c r="I9" s="51"/>
      <c r="J9" s="51" t="str">
        <f t="shared" si="1"/>
        <v/>
      </c>
      <c r="K9" s="51" t="str">
        <f>IF(OR($A9="",$A9="No deploys to verify at this time"),"",VLOOKUP($A9,Heart!$A$2:$L26,12))</f>
        <v/>
      </c>
      <c r="L9" s="51" t="str">
        <f>IF(OR($A9="",$A9="No deploys to verify at this time"),"",VLOOKUP($A9,Heart!$A$2:$M26,13))</f>
        <v/>
      </c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 t="str">
        <f t="shared" si="1"/>
        <v/>
      </c>
      <c r="K10" s="51" t="str">
        <f>IF(OR($A10="",$A10="No deploys to verify at this time"),"",VLOOKUP($A10,Heart!$A$2:$L26,12))</f>
        <v/>
      </c>
      <c r="L10" s="51" t="str">
        <f>IF(OR($A10="",$A10="No deploys to verify at this time"),"",VLOOKUP($A10,Heart!$A$2:$M26,13))</f>
        <v/>
      </c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 t="str">
        <f t="shared" si="1"/>
        <v/>
      </c>
      <c r="K11" s="51" t="str">
        <f>IF(OR($A11="",$A11="No deploys to verify at this time"),"",VLOOKUP($A11,Heart!$A$2:$L26,12))</f>
        <v/>
      </c>
      <c r="L11" s="51" t="str">
        <f>IF(OR($A11="",$A11="No deploys to verify at this time"),"",VLOOKUP($A11,Heart!$A$2:$M26,13))</f>
        <v/>
      </c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 t="str">
        <f t="shared" si="1"/>
        <v/>
      </c>
      <c r="K12" s="51" t="str">
        <f>IF(OR($A12="",$A12="No deploys to verify at this time"),"",VLOOKUP($A12,Heart!$A$2:$L26,12))</f>
        <v/>
      </c>
      <c r="L12" s="51" t="str">
        <f>IF(OR($A12="",$A12="No deploys to verify at this time"),"",VLOOKUP($A12,Heart!$A$2:$M26,13))</f>
        <v/>
      </c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 t="str">
        <f t="shared" si="1"/>
        <v/>
      </c>
      <c r="K13" s="51" t="str">
        <f>IF(OR($A13="",$A13="No deploys to verify at this time"),"",VLOOKUP($A13,Heart!$A$2:$L26,12))</f>
        <v/>
      </c>
      <c r="L13" s="51" t="str">
        <f>IF(OR($A13="",$A13="No deploys to verify at this time"),"",VLOOKUP($A13,Heart!$A$2:$M26,13))</f>
        <v/>
      </c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 t="str">
        <f t="shared" si="1"/>
        <v/>
      </c>
      <c r="K14" s="51" t="str">
        <f>IF(OR($A14="",$A14="No deploys to verify at this time"),"",VLOOKUP($A14,Heart!$A$2:$L26,12))</f>
        <v/>
      </c>
      <c r="L14" s="51" t="str">
        <f>IF(OR($A14="",$A14="No deploys to verify at this time"),"",VLOOKUP($A14,Heart!$A$2:$M26,13))</f>
        <v/>
      </c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 t="str">
        <f t="shared" si="1"/>
        <v/>
      </c>
      <c r="K15" s="51" t="str">
        <f>IF(OR($A15="",$A15="No deploys to verify at this time"),"",VLOOKUP($A15,Heart!$A$2:$L26,12))</f>
        <v/>
      </c>
      <c r="L15" s="51" t="str">
        <f>IF(OR($A15="",$A15="No deploys to verify at this time"),"",VLOOKUP($A15,Heart!$A$2:$M26,13))</f>
        <v/>
      </c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 t="str">
        <f t="shared" si="1"/>
        <v/>
      </c>
      <c r="K16" s="51" t="str">
        <f>IF(OR($A16="",$A16="No deploys to verify at this time"),"",VLOOKUP($A16,Heart!$A$2:$L26,12))</f>
        <v/>
      </c>
      <c r="L16" s="51" t="str">
        <f>IF(OR($A16="",$A16="No deploys to verify at this time"),"",VLOOKUP($A16,Heart!$A$2:$M26,13))</f>
        <v/>
      </c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 t="str">
        <f t="shared" si="1"/>
        <v/>
      </c>
      <c r="K17" s="51" t="str">
        <f>IF(OR($A17="",$A17="No deploys to verify at this time"),"",VLOOKUP($A17,Heart!$A$2:$L26,12))</f>
        <v/>
      </c>
      <c r="L17" s="51" t="str">
        <f>IF(OR($A17="",$A17="No deploys to verify at this time"),"",VLOOKUP($A17,Heart!$A$2:$M26,13))</f>
        <v/>
      </c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 t="str">
        <f t="shared" si="1"/>
        <v/>
      </c>
      <c r="K18" s="51" t="str">
        <f>IF(OR($A18="",$A18="No deploys to verify at this time"),"",VLOOKUP($A18,Heart!$A$2:$L26,12))</f>
        <v/>
      </c>
      <c r="L18" s="51" t="str">
        <f>IF(OR($A18="",$A18="No deploys to verify at this time"),"",VLOOKUP($A18,Heart!$A$2:$M26,13))</f>
        <v/>
      </c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 t="str">
        <f t="shared" si="1"/>
        <v/>
      </c>
      <c r="K19" s="51" t="str">
        <f>IF(OR($A19="",$A19="No deploys to verify at this time"),"",VLOOKUP($A19,Heart!$A$2:$L26,12))</f>
        <v/>
      </c>
      <c r="L19" s="51" t="str">
        <f>IF(OR($A19="",$A19="No deploys to verify at this time"),"",VLOOKUP($A19,Heart!$A$2:$M26,13))</f>
        <v/>
      </c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 t="str">
        <f t="shared" si="1"/>
        <v/>
      </c>
      <c r="K20" s="51" t="str">
        <f>IF(OR($A20="",$A20="No deploys to verify at this time"),"",VLOOKUP($A20,Heart!$A$2:$L26,12))</f>
        <v/>
      </c>
      <c r="L20" s="51" t="str">
        <f>IF(OR($A20="",$A20="No deploys to verify at this time"),"",VLOOKUP($A20,Heart!$A$2:$M26,13))</f>
        <v/>
      </c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 t="str">
        <f t="shared" si="1"/>
        <v/>
      </c>
      <c r="K21" s="51" t="str">
        <f>IF(OR($A21="",$A21="No deploys to verify at this time"),"",VLOOKUP($A21,Heart!$A$2:$L26,12))</f>
        <v/>
      </c>
      <c r="L21" s="51" t="str">
        <f>IF(OR($A21="",$A21="No deploys to verify at this time"),"",VLOOKUP($A21,Heart!$A$2:$M26,13))</f>
        <v/>
      </c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 t="str">
        <f t="shared" si="1"/>
        <v/>
      </c>
      <c r="K22" s="51" t="str">
        <f>IF(OR($A22="",$A22="No deploys to verify at this time"),"",VLOOKUP($A22,Heart!$A$2:$L26,12))</f>
        <v/>
      </c>
      <c r="L22" s="51" t="str">
        <f>IF(OR($A22="",$A22="No deploys to verify at this time"),"",VLOOKUP($A22,Heart!$A$2:$M26,13))</f>
        <v/>
      </c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 t="str">
        <f t="shared" si="1"/>
        <v/>
      </c>
      <c r="K23" s="51" t="str">
        <f>IF(OR($A23="",$A23="No deploys to verify at this time"),"",VLOOKUP($A23,Heart!$A$2:$L26,12))</f>
        <v/>
      </c>
      <c r="L23" s="51" t="str">
        <f>IF(OR($A23="",$A23="No deploys to verify at this time"),"",VLOOKUP($A23,Heart!$A$2:$M26,13))</f>
        <v/>
      </c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 t="str">
        <f t="shared" si="1"/>
        <v/>
      </c>
      <c r="K24" s="51" t="str">
        <f>IF(OR($A24="",$A24="No deploys to verify at this time"),"",VLOOKUP($A24,Heart!$A$2:$L26,12))</f>
        <v/>
      </c>
      <c r="L24" s="51" t="str">
        <f>IF(OR($A24="",$A24="No deploys to verify at this time"),"",VLOOKUP($A24,Heart!$A$2:$M26,13))</f>
        <v/>
      </c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 t="str">
        <f t="shared" si="1"/>
        <v/>
      </c>
      <c r="K25" s="51" t="str">
        <f>IF(OR($A25="",$A25="No deploys to verify at this time"),"",VLOOKUP($A25,Heart!$A$2:$L26,12))</f>
        <v/>
      </c>
      <c r="L25" s="51" t="str">
        <f>IF(OR($A25="",$A25="No deploys to verify at this time"),"",VLOOKUP($A25,Heart!$A$2:$M26,13))</f>
        <v/>
      </c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 t="str">
        <f t="shared" si="1"/>
        <v/>
      </c>
      <c r="K26" s="51" t="str">
        <f>IF(OR($A26="",$A26="No deploys to verify at this time"),"",VLOOKUP($A26,Heart!$A$2:$L26,12))</f>
        <v/>
      </c>
      <c r="L26" s="51" t="str">
        <f>IF(OR($A26="",$A26="No deploys to verify at this time"),"",VLOOKUP($A26,Heart!$A$2:$M26,13))</f>
        <v/>
      </c>
    </row>
  </sheetData>
  <conditionalFormatting sqref="A2:L26">
    <cfRule type="expression" dxfId="70" priority="1">
      <formula>IF(AND($A2&lt;&gt;"",$A2&lt;&gt;"No deploys to verify at this time",$I2=""),TRUE,FALSE)</formula>
    </cfRule>
  </conditionalFormatting>
  <conditionalFormatting sqref="A2:L26">
    <cfRule type="expression" dxfId="79" priority="2">
      <formula>IF(OR($A2="",$A2="No deploys to verify at this time"),FALSE,TRUE)</formula>
    </cfRule>
  </conditionalFormatting>
  <conditionalFormatting sqref="A2:L26">
    <cfRule type="expression" dxfId="71" priority="3">
      <formula>IF($A$2="No deploys to verify at this time",TRUE,FALSE)</formula>
    </cfRule>
  </conditionalFormatting>
  <drawing r:id="rId1"/>
</worksheet>
</file>