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4"/>
    <sheet state="visible" name="Statistics" sheetId="2" r:id="rId5"/>
    <sheet state="visible" name="Deployers" sheetId="3" r:id="rId6"/>
  </sheets>
  <definedNames>
    <definedName name="R_Color">#REF!</definedName>
    <definedName name="R_Count">#REF!</definedName>
    <definedName hidden="1" localSheetId="0" name="_xlnm._FilterDatabase">Garden!$A$7:$P$98</definedName>
  </definedNames>
  <calcPr/>
</workbook>
</file>

<file path=xl/sharedStrings.xml><?xml version="1.0" encoding="utf-8"?>
<sst xmlns="http://schemas.openxmlformats.org/spreadsheetml/2006/main" count="690" uniqueCount="519">
  <si>
    <t>Japanse 🍁 Maple 🌿</t>
  </si>
  <si>
    <t>location:</t>
  </si>
  <si>
    <t>Niš, Serbia</t>
  </si>
  <si>
    <t>United Gardens of Slovakia 🇸🇰:</t>
  </si>
  <si>
    <t>link</t>
  </si>
  <si>
    <t>Garden map link</t>
  </si>
  <si>
    <t xml:space="preserve">Free: </t>
  </si>
  <si>
    <t>🏯 A Garden in new Munzee area - Niš, Serbia
✍️ Authors and Designers: Neloras, Nicolet
🙏 THANK YOU for creating nice things!</t>
  </si>
  <si>
    <t>This Speadsheet link</t>
  </si>
  <si>
    <t xml:space="preserve">Claimed: </t>
  </si>
  <si>
    <t xml:space="preserve">Reserved: </t>
  </si>
  <si>
    <t>It is often helpful to use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</si>
  <si>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</si>
  <si>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</si>
  <si>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</si>
  <si>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</si>
  <si>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</si>
  <si>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</si>
  <si>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</si>
  <si>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</si>
  <si>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</si>
  <si>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</si>
  <si>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Username</t>
  </si>
  <si>
    <t>URL - please, post link to your Munzee</t>
  </si>
  <si>
    <t>Comments</t>
  </si>
  <si>
    <t>Check</t>
  </si>
  <si>
    <t>Free</t>
  </si>
  <si>
    <t>Claim</t>
  </si>
  <si>
    <t>Res</t>
  </si>
  <si>
    <t>Link</t>
  </si>
  <si>
    <t>Status</t>
  </si>
  <si>
    <t>Helper</t>
  </si>
  <si>
    <t>Cap count</t>
  </si>
  <si>
    <t>43.3224422470964</t>
  </si>
  <si>
    <t>21.895608324313343</t>
  </si>
  <si>
    <t>Air Mystery</t>
  </si>
  <si>
    <t>https://www.munzee.com/m/Nicolet/377/</t>
  </si>
  <si>
    <t>43.32231777300686</t>
  </si>
  <si>
    <t>21.89550952911236</t>
  </si>
  <si>
    <t>Electric Mystery</t>
  </si>
  <si>
    <t>https://www.munzee.com/m/Kapor24/1021/</t>
  </si>
  <si>
    <t>43.32231777283684</t>
  </si>
  <si>
    <t>21.89570709522411</t>
  </si>
  <si>
    <t>https://www.munzee.com/m/mathew611/929/</t>
  </si>
  <si>
    <t>43.322193298747315</t>
  </si>
  <si>
    <t>21.89541073452176</t>
  </si>
  <si>
    <t>Virtual Citrine</t>
  </si>
  <si>
    <t>https://www.munzee.com/m/Rikitan/4205/</t>
  </si>
  <si>
    <t>43.3221932985773</t>
  </si>
  <si>
    <t>21.895608300228787</t>
  </si>
  <si>
    <t>Sir Prize Wheel</t>
  </si>
  <si>
    <t>https://www.munzee.com/m/Neloras/1797/</t>
  </si>
  <si>
    <t>43.32219329840727</t>
  </si>
  <si>
    <t>21.895805865935813</t>
  </si>
  <si>
    <t>https://www.munzee.com/m/and2470/344/</t>
  </si>
  <si>
    <t>43.32206882465778</t>
  </si>
  <si>
    <t>21.89531194013034</t>
  </si>
  <si>
    <t>https://www.munzee.com/m/5Star/7843</t>
  </si>
  <si>
    <t>43.32206882448775</t>
  </si>
  <si>
    <t>21.89550950543253</t>
  </si>
  <si>
    <t>Virtual Red</t>
  </si>
  <si>
    <t>https://www.munzee.com/m/Charonovci/2215</t>
  </si>
  <si>
    <t>43.32206882431773</t>
  </si>
  <si>
    <t>21.895707070734716</t>
  </si>
  <si>
    <t>Virtual Green</t>
  </si>
  <si>
    <t>https://www.munzee.com/m/Mon4ikaCriss/2504/</t>
  </si>
  <si>
    <t>43.32206882414771</t>
  </si>
  <si>
    <t>21.895904636036903</t>
  </si>
  <si>
    <t>https://www.munzee.com/m/TheEvilPoles/5001/</t>
  </si>
  <si>
    <t>43.32194435039822</t>
  </si>
  <si>
    <t>21.895213146349306</t>
  </si>
  <si>
    <t>https://www.munzee.com/m/Kapor24/1075/</t>
  </si>
  <si>
    <t>43.32194435022819</t>
  </si>
  <si>
    <t>21.895410711246768</t>
  </si>
  <si>
    <t>https://www.munzee.com/m/mathew611/894/</t>
  </si>
  <si>
    <t>43.321944350058175</t>
  </si>
  <si>
    <t>21.89560827614423</t>
  </si>
  <si>
    <t>Joystick</t>
  </si>
  <si>
    <t>https://www.munzee.com/m/Nicolet/6/</t>
  </si>
  <si>
    <t>43.321944349888156</t>
  </si>
  <si>
    <t>21.895805841041692</t>
  </si>
  <si>
    <t>https://www.munzee.com/m/Kapor24/922/</t>
  </si>
  <si>
    <t>43.32194434971814</t>
  </si>
  <si>
    <t>21.896003405939155</t>
  </si>
  <si>
    <t>https://www.munzee.com/m/mathew611/1050/</t>
  </si>
  <si>
    <t>43.32181987630867</t>
  </si>
  <si>
    <t>21.89511435277018</t>
  </si>
  <si>
    <t>https://www.munzee.com/m/EeveeFox/1406</t>
  </si>
  <si>
    <t>43.321819876138655</t>
  </si>
  <si>
    <t>21.895311917262802</t>
  </si>
  <si>
    <t>https://www.munzee.com/m/Neloras/1593/</t>
  </si>
  <si>
    <t>43.321819875968636</t>
  </si>
  <si>
    <t>21.895509481755425</t>
  </si>
  <si>
    <t>https://www.munzee.com/m/Adushka/723/</t>
  </si>
  <si>
    <t>43.32181987579862</t>
  </si>
  <si>
    <t>21.89570704624805</t>
  </si>
  <si>
    <t>https://www.munzee.com/m/EeveeFox/1407/</t>
  </si>
  <si>
    <t>43.3218198756286</t>
  </si>
  <si>
    <t>21.895904610740672</t>
  </si>
  <si>
    <t>https://www.munzee.com/m/Neloras/1684/</t>
  </si>
  <si>
    <t>43.32181987545858</t>
  </si>
  <si>
    <t>21.896102175233295</t>
  </si>
  <si>
    <t>https://www.munzee.com/m/and2470/801/</t>
  </si>
  <si>
    <t>43.32169540187909</t>
  </si>
  <si>
    <t>21.895213123883877</t>
  </si>
  <si>
    <t>https://www.munzee.com/m/Rikitan/4208/</t>
  </si>
  <si>
    <t>43.32169540170907</t>
  </si>
  <si>
    <t>21.895410687971776</t>
  </si>
  <si>
    <t>https://www.munzee.com/m/29Februaris/1489/</t>
  </si>
  <si>
    <t>43.32169540153905</t>
  </si>
  <si>
    <t>21.895608252059674</t>
  </si>
  <si>
    <t>Night Vision Goggles</t>
  </si>
  <si>
    <t>https://www.munzee.com/m/MacickaLizza/1397</t>
  </si>
  <si>
    <t>43.321695401369034</t>
  </si>
  <si>
    <t>21.895805816147572</t>
  </si>
  <si>
    <t>https://www.munzee.com/m/Kumahelion/1673/</t>
  </si>
  <si>
    <t>43.321695401199015</t>
  </si>
  <si>
    <t>21.89600338023547</t>
  </si>
  <si>
    <t>https://www.munzee.com/m/Rikitan/4285/</t>
  </si>
  <si>
    <t>43.321570928639616</t>
  </si>
  <si>
    <t>21.894126512293496</t>
  </si>
  <si>
    <t>https://www.munzee.com/m/Neloras/1181/</t>
  </si>
  <si>
    <t>43.3215709284696</t>
  </si>
  <si>
    <t>21.894324075976556</t>
  </si>
  <si>
    <t>https://www.munzee.com/m/piesciuk/2051/</t>
  </si>
  <si>
    <t>43.32157092829958</t>
  </si>
  <si>
    <t>21.894521639659615</t>
  </si>
  <si>
    <t>https://www.munzee.com/m/mathew611/1051/</t>
  </si>
  <si>
    <t>43.32157092812956</t>
  </si>
  <si>
    <t>21.894719203342675</t>
  </si>
  <si>
    <t>https://www.munzee.com/m/Nicolet/380/</t>
  </si>
  <si>
    <t>43.32157092795954</t>
  </si>
  <si>
    <t>21.894916767025734</t>
  </si>
  <si>
    <t>https://www.munzee.com/m/Kapor24/1076/</t>
  </si>
  <si>
    <t>43.32157092778952</t>
  </si>
  <si>
    <t>21.895114330708793</t>
  </si>
  <si>
    <t>https://www.munzee.com/m/mathew611/1009/</t>
  </si>
  <si>
    <t>43.321570927619504</t>
  </si>
  <si>
    <t>21.895311894391853</t>
  </si>
  <si>
    <t>https://www.munzee.com/m/Nicolet/265/</t>
  </si>
  <si>
    <t>43.321570927449486</t>
  </si>
  <si>
    <t>21.895509458074912</t>
  </si>
  <si>
    <t>https://www.munzee.com/m/Kapor24/939/</t>
  </si>
  <si>
    <t>43.32157092727947</t>
  </si>
  <si>
    <t>21.89570702175797</t>
  </si>
  <si>
    <t>https://www.munzee.com/m/mathew611/906/</t>
  </si>
  <si>
    <t>43.32157092710945</t>
  </si>
  <si>
    <t>21.89590458544103</t>
  </si>
  <si>
    <t>https://www.munzee.com/m/Nicolet/357/</t>
  </si>
  <si>
    <t>43.32157092693943</t>
  </si>
  <si>
    <t>21.89610214912409</t>
  </si>
  <si>
    <t>https://www.munzee.com/m/Redsixmix/2614/</t>
  </si>
  <si>
    <t>43.32157092676941</t>
  </si>
  <si>
    <t>21.89629971280715</t>
  </si>
  <si>
    <t>https://www.munzee.com/m/mathew611/1052/</t>
  </si>
  <si>
    <t>43.32157092659939</t>
  </si>
  <si>
    <t>21.89649727649021</t>
  </si>
  <si>
    <t>https://www.munzee.com/m/Nicolet/453/</t>
  </si>
  <si>
    <t>43.32157092642938</t>
  </si>
  <si>
    <t>21.896694840173268</t>
  </si>
  <si>
    <t>https://www.munzee.com/m/Kapor24/1077/</t>
  </si>
  <si>
    <t>43.32157092625936</t>
  </si>
  <si>
    <t>21.896892403856327</t>
  </si>
  <si>
    <t>https://www.munzee.com/m/georeyna/11823/</t>
  </si>
  <si>
    <t>43.32157092608934</t>
  </si>
  <si>
    <t>21.897089967539387</t>
  </si>
  <si>
    <t>https://www.munzee.com/m/Neloras/1257/</t>
  </si>
  <si>
    <t>43.321446454210246</t>
  </si>
  <si>
    <t>21.894225285026778</t>
  </si>
  <si>
    <t>https://www.munzee.com/m/BenandJules/4314/</t>
  </si>
  <si>
    <t>43.32144645404024</t>
  </si>
  <si>
    <t>21.894422848305112</t>
  </si>
  <si>
    <t>https://www.munzee.com/m/and2470/882/</t>
  </si>
  <si>
    <t>43.32144645387023</t>
  </si>
  <si>
    <t>21.894620411583446</t>
  </si>
  <si>
    <t>https://www.munzee.com/m/EeveeFox/1405</t>
  </si>
  <si>
    <t>43.321446453700226</t>
  </si>
  <si>
    <t>21.89481797486178</t>
  </si>
  <si>
    <t>https://www.munzee.com/m/Neloras/1730/</t>
  </si>
  <si>
    <t>43.32144645353023</t>
  </si>
  <si>
    <t>21.895015538140115</t>
  </si>
  <si>
    <t>https://www.munzee.com/m/CambridgeHannons/1808/</t>
  </si>
  <si>
    <t>43.32144645336022</t>
  </si>
  <si>
    <t>21.89521310141845</t>
  </si>
  <si>
    <t>https://www.munzee.com/m/SammIam/2752/</t>
  </si>
  <si>
    <t>43.321446453190205</t>
  </si>
  <si>
    <t>21.895410664696783</t>
  </si>
  <si>
    <t>https://www.munzee.com/m/and2470/1004/</t>
  </si>
  <si>
    <t>43.3214464530202</t>
  </si>
  <si>
    <t>21.895608227975117</t>
  </si>
  <si>
    <t>https://www.munzee.com/m/Neloras/420/</t>
  </si>
  <si>
    <t>43.32144645285019</t>
  </si>
  <si>
    <t>21.89580579125345</t>
  </si>
  <si>
    <t>https://www.munzee.com/m/kepke3/2513/</t>
  </si>
  <si>
    <t>43.32144645268018</t>
  </si>
  <si>
    <t>21.896003354531786</t>
  </si>
  <si>
    <t>https://www.munzee.com/m/Arendsoog/13420/</t>
  </si>
  <si>
    <t>43.32144645251017</t>
  </si>
  <si>
    <t>21.89620091781012</t>
  </si>
  <si>
    <t>https://www.munzee.com/m/Pinkeltje/2206/</t>
  </si>
  <si>
    <t>43.321446452340155</t>
  </si>
  <si>
    <t>21.896398481088454</t>
  </si>
  <si>
    <t>https://www.munzee.com/m/Neloras/1756/</t>
  </si>
  <si>
    <t>43.321446452170136</t>
  </si>
  <si>
    <t>21.896596044366788</t>
  </si>
  <si>
    <t>https://www.munzee.com/m/EeveeFox/1391</t>
  </si>
  <si>
    <t>43.32144645200013</t>
  </si>
  <si>
    <t>21.896793607645122</t>
  </si>
  <si>
    <t>https://www.munzee.com/m/nyboss/15083/</t>
  </si>
  <si>
    <t>43.321446451830134</t>
  </si>
  <si>
    <t>21.896991170923457</t>
  </si>
  <si>
    <t>https://www.munzee.com/m/and2470/890/</t>
  </si>
  <si>
    <t>43.32132197995066</t>
  </si>
  <si>
    <t>21.894324057154904</t>
  </si>
  <si>
    <t>https://www.munzee.com/m/Charonovci/2220</t>
  </si>
  <si>
    <t>43.321321979780656</t>
  </si>
  <si>
    <t>21.894521620028513</t>
  </si>
  <si>
    <t>https://www.munzee.com/m/MacickaLizza/1395</t>
  </si>
  <si>
    <t>43.321321979610644</t>
  </si>
  <si>
    <t>21.894719182902122</t>
  </si>
  <si>
    <t>https://www.munzee.com/m/Arendsoog/13197/</t>
  </si>
  <si>
    <t>43.32132197944063</t>
  </si>
  <si>
    <t>21.89491674577573</t>
  </si>
  <si>
    <t>https://www.munzee.com/m/Charonovci/2214</t>
  </si>
  <si>
    <t>43.32132197927063</t>
  </si>
  <si>
    <t>21.89511430864934</t>
  </si>
  <si>
    <t>https://www.munzee.com/m/MacickaLizza/1394</t>
  </si>
  <si>
    <t>43.32132197910062</t>
  </si>
  <si>
    <t>21.89531187152295</t>
  </si>
  <si>
    <t>https://www.munzee.com/m/Arendsoog/11901/</t>
  </si>
  <si>
    <t>43.3213219789306</t>
  </si>
  <si>
    <t>21.89550943439656</t>
  </si>
  <si>
    <t>https://www.munzee.com/m/Charonovci/2193</t>
  </si>
  <si>
    <t>43.32132197876058</t>
  </si>
  <si>
    <t>21.895706997270167</t>
  </si>
  <si>
    <t>https://www.munzee.com/m/Rikitan/4211/</t>
  </si>
  <si>
    <t>43.321321978590575</t>
  </si>
  <si>
    <t>21.895904560143777</t>
  </si>
  <si>
    <t>https://www.munzee.com/m/J1Huisman/17617/</t>
  </si>
  <si>
    <t>43.32132197842058</t>
  </si>
  <si>
    <t>21.896102123017386</t>
  </si>
  <si>
    <t>https://www.munzee.com/m/Charonovci/2192</t>
  </si>
  <si>
    <t>43.32132197825058</t>
  </si>
  <si>
    <t>21.896299685890995</t>
  </si>
  <si>
    <t>https://www.munzee.com/m/MacickaLizza/1380</t>
  </si>
  <si>
    <t>43.32132197808057</t>
  </si>
  <si>
    <t>21.896497248764604</t>
  </si>
  <si>
    <t>https://www.munzee.com/m/Rikitan/4180/</t>
  </si>
  <si>
    <t>43.32132197791056</t>
  </si>
  <si>
    <t>21.896694811638213</t>
  </si>
  <si>
    <t>https://www.munzee.com/m/Charonovci/2189</t>
  </si>
  <si>
    <t>43.321321977740546</t>
  </si>
  <si>
    <t>21.896892374511822</t>
  </si>
  <si>
    <t>https://www.munzee.com/m/MacickaLizza/256</t>
  </si>
  <si>
    <t>43.321197505521155</t>
  </si>
  <si>
    <t>21.894422829080668</t>
  </si>
  <si>
    <t>https://www.munzee.com/m/Nicolet/516/</t>
  </si>
  <si>
    <t>43.32119750535114</t>
  </si>
  <si>
    <t>21.89462039154955</t>
  </si>
  <si>
    <t>https://www.munzee.com/m/Kapor24/947/</t>
  </si>
  <si>
    <t>43.32119750518113</t>
  </si>
  <si>
    <t>21.894817954018436</t>
  </si>
  <si>
    <t>https://www.munzee.com/m/mathew611/913/</t>
  </si>
  <si>
    <t>43.321197505011135</t>
  </si>
  <si>
    <t>21.89501551648732</t>
  </si>
  <si>
    <t>https://www.munzee.com/m/Nicolet/404/</t>
  </si>
  <si>
    <t>43.32119750484112</t>
  </si>
  <si>
    <t>21.895213078956203</t>
  </si>
  <si>
    <t>https://www.munzee.com/m/Kapor24/950/</t>
  </si>
  <si>
    <t>43.321197504671105</t>
  </si>
  <si>
    <t>21.895410641425087</t>
  </si>
  <si>
    <t>https://www.munzee.com/m/mathew611/1053/</t>
  </si>
  <si>
    <t>43.32119750450109</t>
  </si>
  <si>
    <t>21.89560820389397</t>
  </si>
  <si>
    <t>https://www.munzee.com/m/Nicolet/399/</t>
  </si>
  <si>
    <t>43.32119750433108</t>
  </si>
  <si>
    <t>21.895805766362855</t>
  </si>
  <si>
    <t>https://www.munzee.com/m/Kapor24/1078/</t>
  </si>
  <si>
    <t>43.32119750416108</t>
  </si>
  <si>
    <t>21.89600332883174</t>
  </si>
  <si>
    <t>https://www.munzee.com/m/mathew611/918/</t>
  </si>
  <si>
    <t>43.321197503991066</t>
  </si>
  <si>
    <t>21.896200891300623</t>
  </si>
  <si>
    <t>https://www.munzee.com/m/Nicolet/438/</t>
  </si>
  <si>
    <t>43.321197503821054</t>
  </si>
  <si>
    <t>21.896398453769507</t>
  </si>
  <si>
    <t>https://www.munzee.com/m/Kapor24/954/</t>
  </si>
  <si>
    <t>43.32119750365105</t>
  </si>
  <si>
    <t>21.89659601623839</t>
  </si>
  <si>
    <t>https://www.munzee.com/m/mathew611/930/</t>
  </si>
  <si>
    <t>43.32119750348104</t>
  </si>
  <si>
    <t>21.896793578707275</t>
  </si>
  <si>
    <t>https://www.munzee.com/m/Nicolet/517/</t>
  </si>
  <si>
    <t>43.32107303126164</t>
  </si>
  <si>
    <t>21.894521600398093</t>
  </si>
  <si>
    <t>https://www.munzee.com/m/Neloras/2089/</t>
  </si>
  <si>
    <t>43.32107303109164</t>
  </si>
  <si>
    <t>21.89471916246214</t>
  </si>
  <si>
    <t>https://www.munzee.com/m/and2470/1057/</t>
  </si>
  <si>
    <t>43.32107303092163</t>
  </si>
  <si>
    <t>21.894916724526183</t>
  </si>
  <si>
    <t>https://www.munzee.com/m/EeveeFox/1383</t>
  </si>
  <si>
    <t>43.32107303075162</t>
  </si>
  <si>
    <t>21.89511428659023</t>
  </si>
  <si>
    <t>https://www.munzee.com/m/Rikitan/3928/</t>
  </si>
  <si>
    <t>43.32107303058161</t>
  </si>
  <si>
    <t>21.895311848654273</t>
  </si>
  <si>
    <t>https://www.munzee.com/m/Neloras/421/</t>
  </si>
  <si>
    <t>43.32107303041159</t>
  </si>
  <si>
    <t>21.89550941071832</t>
  </si>
  <si>
    <t>Surprise</t>
  </si>
  <si>
    <t>https://www.munzee.com/m/EeveeFox/133</t>
  </si>
  <si>
    <t>43.32107303024159</t>
  </si>
  <si>
    <t>21.895706972782364</t>
  </si>
  <si>
    <t>https://www.munzee.com/m/georeyna/11620/</t>
  </si>
  <si>
    <t>43.321073030071595</t>
  </si>
  <si>
    <t>21.89590453484641</t>
  </si>
  <si>
    <t>https://www.munzee.com/m/Neloras/886/</t>
  </si>
  <si>
    <t>43.321073029901584</t>
  </si>
  <si>
    <t>21.896102096910454</t>
  </si>
  <si>
    <t>https://www.munzee.com/m/EeveeFox/1390</t>
  </si>
  <si>
    <t>43.32107302973157</t>
  </si>
  <si>
    <t>21.8962996589745</t>
  </si>
  <si>
    <t>https://www.munzee.com/m/and2470/1023/</t>
  </si>
  <si>
    <t>43.32107302956156</t>
  </si>
  <si>
    <t>21.896497221038544</t>
  </si>
  <si>
    <t>https://www.munzee.com/m/Havenicedayjoe/4479</t>
  </si>
  <si>
    <t>43.321073029391556</t>
  </si>
  <si>
    <t>21.89669478310259</t>
  </si>
  <si>
    <t>https://www.munzee.com/m/Neloras/2090/</t>
  </si>
  <si>
    <t>43.320948556661975</t>
  </si>
  <si>
    <t>21.894817933172135</t>
  </si>
  <si>
    <t>https://www.munzee.com/m/Dazzaf/7328/</t>
  </si>
  <si>
    <t>43.32094855649196</t>
  </si>
  <si>
    <t>21.895015494831455</t>
  </si>
  <si>
    <t>https://www.munzee.com/m/gd/4648/</t>
  </si>
  <si>
    <t>43.32094855632195</t>
  </si>
  <si>
    <t>21.895213056490775</t>
  </si>
  <si>
    <t>https://www.munzee.com/m/MariaBr/5244/</t>
  </si>
  <si>
    <t>43.32094855615195</t>
  </si>
  <si>
    <t>21.895410618150095</t>
  </si>
  <si>
    <t>https://www.munzee.com/m/and2470/383/</t>
  </si>
  <si>
    <t>43.320948555981936</t>
  </si>
  <si>
    <t>21.895608179809415</t>
  </si>
  <si>
    <t>POI Virtual Garden</t>
  </si>
  <si>
    <t>https://www.munzee.com/m/Kumahelion/1696/</t>
  </si>
  <si>
    <t>43.320948555811924</t>
  </si>
  <si>
    <t>21.895805741468735</t>
  </si>
  <si>
    <t>https://www.munzee.com/m/MacickaLizza/139/</t>
  </si>
  <si>
    <t>43.32094855564192</t>
  </si>
  <si>
    <t>21.896003303128055</t>
  </si>
  <si>
    <t>https://www.munzee.com/m/Rikitan/4207/</t>
  </si>
  <si>
    <t>43.32094855547191</t>
  </si>
  <si>
    <t>21.896200864787374</t>
  </si>
  <si>
    <t>https://www.munzee.com/m/Ujio/173/</t>
  </si>
  <si>
    <t>43.3209485553019</t>
  </si>
  <si>
    <t>21.896398426446694</t>
  </si>
  <si>
    <t>https://www.munzee.com/m/Charonovci/2219</t>
  </si>
  <si>
    <t>43.32082408257248</t>
  </si>
  <si>
    <t>21.894719142021927</t>
  </si>
  <si>
    <t>https://www.munzee.com/m/Nicolet/519/</t>
  </si>
  <si>
    <t>43.320824082402474</t>
  </si>
  <si>
    <t>21.89491670327652</t>
  </si>
  <si>
    <t>https://www.munzee.com/m/Kapor24/1079/</t>
  </si>
  <si>
    <t>43.320824082232456</t>
  </si>
  <si>
    <t>21.895114264531117</t>
  </si>
  <si>
    <t>https://www.munzee.com/m/mathew611/931/</t>
  </si>
  <si>
    <t>43.320824082062444</t>
  </si>
  <si>
    <t>21.89531182578571</t>
  </si>
  <si>
    <t>https://www.munzee.com/m/Nicolet/439/</t>
  </si>
  <si>
    <t>43.32082408189243</t>
  </si>
  <si>
    <t>21.895509387040306</t>
  </si>
  <si>
    <t>https://www.munzee.com/m/Kapor24/1081/</t>
  </si>
  <si>
    <t>43.32082408172243</t>
  </si>
  <si>
    <t>21.8957069482949</t>
  </si>
  <si>
    <t>https://www.munzee.com/m/mathew611/1056/</t>
  </si>
  <si>
    <t>43.320824081552416</t>
  </si>
  <si>
    <t>21.895904509549496</t>
  </si>
  <si>
    <t>https://www.munzee.com/m/Nicolet/444/</t>
  </si>
  <si>
    <t>43.320824081382405</t>
  </si>
  <si>
    <t>21.89610207080409</t>
  </si>
  <si>
    <t>https://www.munzee.com/m/Kapor24/963/</t>
  </si>
  <si>
    <t>43.32082408121239</t>
  </si>
  <si>
    <t>21.896299632058685</t>
  </si>
  <si>
    <t>https://www.munzee.com/m/mathew611/1054/</t>
  </si>
  <si>
    <t>43.32082408104239</t>
  </si>
  <si>
    <t>21.89649719331328</t>
  </si>
  <si>
    <t>https://www.munzee.com/m/Nicolet/520/</t>
  </si>
  <si>
    <t>43.3206996083129</t>
  </si>
  <si>
    <t>21.894620351477215</t>
  </si>
  <si>
    <t>https://www.munzee.com/m/EeveeFox/267</t>
  </si>
  <si>
    <t>43.32069960814289</t>
  </si>
  <si>
    <t>21.89481791232697</t>
  </si>
  <si>
    <t>https://www.munzee.com/m/Adushka/727/</t>
  </si>
  <si>
    <t>43.32069960797288</t>
  </si>
  <si>
    <t>21.895015473176727</t>
  </si>
  <si>
    <t>https://www.munzee.com/m/Neloras/933/</t>
  </si>
  <si>
    <t>43.32069960780288</t>
  </si>
  <si>
    <t>21.895213034026483</t>
  </si>
  <si>
    <t>https://www.munzee.com/m/EeveeFox/1332</t>
  </si>
  <si>
    <t>43.32069960763287</t>
  </si>
  <si>
    <t>21.89541059487624</t>
  </si>
  <si>
    <t>https://www.munzee.com/m/Rikitan/4286/</t>
  </si>
  <si>
    <t>43.320699607462856</t>
  </si>
  <si>
    <t>21.895608155725995</t>
  </si>
  <si>
    <t>Virtual Shamrock</t>
  </si>
  <si>
    <t>https://www.munzee.com/m/Neloras/1586/</t>
  </si>
  <si>
    <t>43.32069960729285</t>
  </si>
  <si>
    <t>21.89580571657575</t>
  </si>
  <si>
    <t>https://www.munzee.com/m/EeveeFox/258</t>
  </si>
  <si>
    <t>43.32069960712284</t>
  </si>
  <si>
    <t>21.896003277425507</t>
  </si>
  <si>
    <t>https://www.munzee.com/m/and2470/1024/</t>
  </si>
  <si>
    <t>43.32069960695283</t>
  </si>
  <si>
    <t>21.896200838275263</t>
  </si>
  <si>
    <t>https://www.munzee.com/m/Neloras/1090/</t>
  </si>
  <si>
    <t>43.32069960678282</t>
  </si>
  <si>
    <t>21.89639839912502</t>
  </si>
  <si>
    <t>https://www.munzee.com/m/EeveeFox/1273</t>
  </si>
  <si>
    <t>43.3206996066128</t>
  </si>
  <si>
    <t>21.896595959974775</t>
  </si>
  <si>
    <t>https://www.munzee.com/m/Meganduluth22/899/</t>
  </si>
  <si>
    <t>43.320575134223326</t>
  </si>
  <si>
    <t>21.894521561135434</t>
  </si>
  <si>
    <t>https://www.munzee.com/m/Charonovci/2216</t>
  </si>
  <si>
    <t>43.320575134053314</t>
  </si>
  <si>
    <t>21.894719121580465</t>
  </si>
  <si>
    <t>https://www.munzee.com/m/and2470/1459/</t>
  </si>
  <si>
    <t>43.3205751338833</t>
  </si>
  <si>
    <t>21.894916682025496</t>
  </si>
  <si>
    <t>https://www.munzee.com/m/MacickaLizza/1379</t>
  </si>
  <si>
    <t>43.32057513371329</t>
  </si>
  <si>
    <t>21.895114242470527</t>
  </si>
  <si>
    <t>https://www.munzee.com/m/Charonovci/2218</t>
  </si>
  <si>
    <t>43.32057513354329</t>
  </si>
  <si>
    <t>21.895311802915558</t>
  </si>
  <si>
    <t>https://www.munzee.com/m/EmeraldAngel/4514</t>
  </si>
  <si>
    <t>43.320575133033266</t>
  </si>
  <si>
    <t>21.89590448425065</t>
  </si>
  <si>
    <t>https://www.munzee.com/m/29Februaris/1231/</t>
  </si>
  <si>
    <t>43.320575132863254</t>
  </si>
  <si>
    <t>21.89610204469568</t>
  </si>
  <si>
    <t>https://www.munzee.com/m/Charonovci/2217</t>
  </si>
  <si>
    <t>43.32057513269324</t>
  </si>
  <si>
    <t>21.89629960514071</t>
  </si>
  <si>
    <t>https://www.munzee.com/m/MacickaLizza/1368</t>
  </si>
  <si>
    <t>43.32057513252324</t>
  </si>
  <si>
    <t>21.896497165585743</t>
  </si>
  <si>
    <t>https://www.munzee.com/m/Lanyasummer/6673/</t>
  </si>
  <si>
    <t>43.32057513235323</t>
  </si>
  <si>
    <t>21.896694726030773</t>
  </si>
  <si>
    <t>https://www.munzee.com/m/Rikitan/4214/</t>
  </si>
  <si>
    <t>43.32045065996373</t>
  </si>
  <si>
    <t>21.894422771401878</t>
  </si>
  <si>
    <t>https://www.munzee.com/m/Neloras/1775/</t>
  </si>
  <si>
    <t>43.32045065979372</t>
  </si>
  <si>
    <t>21.894620331442184</t>
  </si>
  <si>
    <t>https://www.munzee.com/m/Kapor24/1083/</t>
  </si>
  <si>
    <t>43.32045065962371</t>
  </si>
  <si>
    <t>21.89481789148249</t>
  </si>
  <si>
    <t>https://www.munzee.com/m/mathew611/1055/</t>
  </si>
  <si>
    <t>43.3204506594537</t>
  </si>
  <si>
    <t>21.895015451522795</t>
  </si>
  <si>
    <t>https://www.munzee.com/m/Nicolet/521/</t>
  </si>
  <si>
    <t>43.32045065894367</t>
  </si>
  <si>
    <t>21.895608131643712</t>
  </si>
  <si>
    <t>https://www.munzee.com/m/Nicolet/518/</t>
  </si>
  <si>
    <t>43.32045065843364</t>
  </si>
  <si>
    <t>21.89620081176463</t>
  </si>
  <si>
    <t>https://www.munzee.com/m/Nicolet/524/</t>
  </si>
  <si>
    <t>43.32045065826363</t>
  </si>
  <si>
    <t>21.896398371804935</t>
  </si>
  <si>
    <t>https://www.munzee.com/m/Kapor24/1080/</t>
  </si>
  <si>
    <t>43.32045065809363</t>
  </si>
  <si>
    <t>21.89659593184524</t>
  </si>
  <si>
    <t>https://www.munzee.com/m/mathew611/1059/</t>
  </si>
  <si>
    <t>43.320450657923615</t>
  </si>
  <si>
    <t>21.896793491885546</t>
  </si>
  <si>
    <t>https://www.munzee.com/m/Neloras/1787/</t>
  </si>
  <si>
    <t>43.32020171042462</t>
  </si>
  <si>
    <t>21.895608107562566</t>
  </si>
  <si>
    <t>https://www.munzee.com/m/mathew611/1025/</t>
  </si>
  <si>
    <t>43.31995276190548</t>
  </si>
  <si>
    <t>21.89560808348142</t>
  </si>
  <si>
    <t>https://www.munzee.com/m/Pronkrug/3647/</t>
  </si>
  <si>
    <t>Japanse 🍁 Maple 🌿 per Munzee Type</t>
  </si>
  <si>
    <t>Total</t>
  </si>
  <si>
    <t>Deployed</t>
  </si>
  <si>
    <t>Reserved</t>
  </si>
  <si>
    <t>Claimed</t>
  </si>
  <si>
    <t>Complete %</t>
  </si>
  <si>
    <t>Munzee Type</t>
  </si>
  <si>
    <t>Group</t>
  </si>
  <si>
    <t>Zee Ops</t>
  </si>
  <si>
    <t>Gaming</t>
  </si>
  <si>
    <t>Elemental</t>
  </si>
  <si>
    <t>Others</t>
  </si>
  <si>
    <t>Virtual</t>
  </si>
  <si>
    <t>Jewel</t>
  </si>
  <si>
    <t>Flat</t>
  </si>
  <si>
    <t>Mystery</t>
  </si>
  <si>
    <t>POI</t>
  </si>
  <si>
    <t>Basic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</si>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</sst>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#,##0.000000"/>
    <numFmt numFmtId="166" formatCode="mmmm d"/>
    <numFmt numFmtId="167" formatCode="d.m."/>
  </numFmts>
  <fonts count="51">
    <font>
      <sz val="10.0"/>
      <color rgb="FF000000"/>
      <name val="Arial"/>
      <scheme val="minor"/>
    </font>
    <font>
      <b/>
      <sz val="18.0"/>
      <color rgb="FFFFFF00"/>
      <name val="Ubuntu"/>
    </font>
    <font>
      <b/>
      <sz val="16.0"/>
      <color rgb="FFFFFF00"/>
      <name val="Ubuntu"/>
    </font>
    <font>
      <sz val="12.0"/>
      <color rgb="FFFFFF00"/>
      <name val="Ubuntu"/>
    </font>
    <font>
      <b/>
      <sz val="12.0"/>
      <color rgb="FFFFFF00"/>
      <name val="Ubuntu"/>
    </font>
    <font>
      <sz val="14.0"/>
      <color rgb="FFFFFF00"/>
      <name val="Ubuntu"/>
    </font>
    <font>
      <b/>
      <u/>
      <sz val="12.0"/>
      <color rgb="FFFFFF00"/>
      <name val="Ubuntu"/>
    </font>
    <font>
      <color rgb="FFFFFF00"/>
      <name val="Ubuntu"/>
    </font>
    <font>
      <b/>
      <sz val="11.0"/>
      <color rgb="FF000000"/>
      <name val="Ubuntu"/>
    </font>
    <font>
      <b/>
      <u/>
      <sz val="11.0"/>
      <color rgb="FF1155CC"/>
      <name val="Ubuntu"/>
    </font>
    <font>
      <sz val="11.0"/>
      <color rgb="FF000000"/>
      <name val="Ubuntu"/>
    </font>
    <font>
      <sz val="10.0"/>
      <color rgb="FF000000"/>
      <name val="Ubuntu"/>
    </font>
    <font>
      <b/>
      <sz val="11.0"/>
      <color rgb="FFFFFFFF"/>
      <name val="Ubuntu"/>
    </font>
    <font>
      <sz val="14.0"/>
      <color rgb="FF000000"/>
      <name val="Ubuntu"/>
    </font>
    <font>
      <sz val="12.0"/>
      <color theme="1"/>
      <name val="Ubuntu"/>
    </font>
    <font>
      <color theme="1"/>
      <name val="Ubuntu"/>
    </font>
    <font>
      <b/>
      <u/>
      <sz val="11.0"/>
      <color rgb="FF1155CC"/>
      <name val="Ubuntu"/>
    </font>
    <font>
      <u/>
      <sz val="9.0"/>
      <color rgb="FF000000"/>
      <name val="Ubuntu"/>
    </font>
    <font>
      <sz val="11.0"/>
      <color rgb="FFFFFFFF"/>
      <name val="Ubuntu"/>
    </font>
    <font>
      <b/>
      <sz val="10.0"/>
      <color rgb="FFFFFFFF"/>
      <name val="Ubuntu"/>
    </font>
    <font/>
    <font>
      <b/>
      <sz val="10.0"/>
      <color rgb="FF000000"/>
      <name val="Ubuntu"/>
    </font>
    <font>
      <b/>
      <sz val="9.0"/>
      <color theme="1"/>
      <name val="Ubuntu"/>
    </font>
    <font>
      <sz val="9.0"/>
      <color theme="1"/>
      <name val="Ubuntu"/>
    </font>
    <font>
      <b/>
      <sz val="9.0"/>
      <color rgb="FF000000"/>
      <name val="Ubuntu"/>
    </font>
    <font>
      <u/>
      <sz val="9.0"/>
      <color rgb="FF1155CC"/>
      <name val="Ubuntu"/>
    </font>
    <font>
      <sz val="9.0"/>
      <color rgb="FF000000"/>
      <name val="Ubuntu"/>
    </font>
    <font>
      <u/>
      <sz val="9.0"/>
      <color rgb="FF1155CC"/>
      <name val="Ubuntu"/>
    </font>
    <font>
      <u/>
      <sz val="9.0"/>
      <color rgb="FF0000FF"/>
      <name val="Ubuntu"/>
    </font>
    <font>
      <u/>
      <sz val="9.0"/>
      <color rgb="FFFF0000"/>
      <name val="Ubuntu"/>
    </font>
    <font>
      <b/>
      <color theme="1"/>
      <name val="Ubuntu"/>
    </font>
    <font>
      <b/>
      <sz val="16.0"/>
      <color rgb="FFFFFF00"/>
      <name val="Roboto mono"/>
    </font>
    <font>
      <b/>
      <sz val="16.0"/>
      <color rgb="FFFFFF00"/>
      <name val="Arial"/>
    </font>
    <font>
      <sz val="16.0"/>
      <color rgb="FFFFFF00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b/>
      <sz val="10.0"/>
      <color rgb="FFFFFFFF"/>
      <name val="Roboto mono"/>
    </font>
    <font>
      <b/>
      <sz val="10.0"/>
      <color rgb="FF000000"/>
      <name val="Roboto mono"/>
    </font>
    <font>
      <sz val="10.0"/>
      <color rgb="FFFFFFFF"/>
      <name val="Roboto mono"/>
    </font>
    <font>
      <sz val="10.0"/>
      <color theme="1"/>
      <name val="Arial"/>
    </font>
    <font>
      <sz val="10.0"/>
      <color rgb="FFFFFFFF"/>
      <name val="Arial"/>
    </font>
    <font>
      <b/>
      <sz val="10.0"/>
      <color theme="1"/>
      <name val="Arial"/>
    </font>
    <font>
      <color theme="1"/>
      <name val="Roboto mono"/>
    </font>
    <font>
      <u/>
      <color rgb="FF1155CC"/>
      <name val="Roboto mono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u/>
      <color rgb="FF0000FF"/>
      <name val="Ubuntu"/>
    </font>
    <font>
      <color rgb="FF000000"/>
      <name val="Ubuntu"/>
    </font>
    <font>
      <u/>
      <color rgb="FF0000FF"/>
      <name val="Ubuntu"/>
    </font>
  </fonts>
  <fills count="2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D966"/>
        <bgColor rgb="FFFFD966"/>
      </patternFill>
    </fill>
    <fill>
      <patternFill patternType="solid">
        <fgColor rgb="FFB45F06"/>
        <bgColor rgb="FFB45F06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45">
    <border/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n">
        <color rgb="FF000000"/>
      </right>
      <bottom style="dotted">
        <color rgb="FF999999"/>
      </bottom>
    </border>
    <border>
      <left style="thin">
        <color rgb="FF000000"/>
      </left>
      <right style="dotted">
        <color rgb="FF666666"/>
      </right>
      <bottom style="thin">
        <color rgb="FF000000"/>
      </bottom>
    </border>
    <border>
      <right style="dotted">
        <color rgb="FF999999"/>
      </right>
      <bottom style="thin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thin">
        <color rgb="FF000000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3" numFmtId="0" xfId="0" applyAlignment="1" applyBorder="1" applyFont="1">
      <alignment horizontal="right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right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center" shrinkToFit="0" vertical="center" wrapText="0"/>
    </xf>
    <xf borderId="1" fillId="2" fontId="5" numFmtId="0" xfId="0" applyAlignment="1" applyBorder="1" applyFont="1">
      <alignment horizontal="right" shrinkToFit="0" vertical="center" wrapText="0"/>
    </xf>
    <xf borderId="0" fillId="2" fontId="7" numFmtId="0" xfId="0" applyFont="1"/>
    <xf borderId="0" fillId="3" fontId="8" numFmtId="0" xfId="0" applyAlignment="1" applyFill="1" applyFont="1">
      <alignment horizontal="center"/>
    </xf>
    <xf borderId="2" fillId="3" fontId="9" numFmtId="0" xfId="0" applyAlignment="1" applyBorder="1" applyFont="1">
      <alignment horizontal="left" readingOrder="0"/>
    </xf>
    <xf borderId="0" fillId="3" fontId="10" numFmtId="0" xfId="0" applyAlignment="1" applyFont="1">
      <alignment horizontal="right"/>
    </xf>
    <xf borderId="0" fillId="3" fontId="11" numFmtId="0" xfId="0" applyAlignment="1" applyFont="1">
      <alignment horizontal="right" vertical="center"/>
    </xf>
    <xf borderId="2" fillId="2" fontId="12" numFmtId="3" xfId="0" applyAlignment="1" applyBorder="1" applyFont="1" applyNumberFormat="1">
      <alignment horizontal="center" vertical="center"/>
    </xf>
    <xf borderId="0" fillId="3" fontId="11" numFmtId="164" xfId="0" applyAlignment="1" applyFont="1" applyNumberFormat="1">
      <alignment horizontal="center" shrinkToFit="0" vertical="center" wrapText="1"/>
    </xf>
    <xf borderId="0" fillId="3" fontId="13" numFmtId="165" xfId="0" applyAlignment="1" applyFont="1" applyNumberFormat="1">
      <alignment horizontal="left" readingOrder="0" shrinkToFit="0" vertical="center" wrapText="1"/>
    </xf>
    <xf borderId="0" fillId="4" fontId="14" numFmtId="165" xfId="0" applyAlignment="1" applyFill="1" applyFont="1" applyNumberFormat="1">
      <alignment horizontal="left" shrinkToFit="0" vertical="center" wrapText="1"/>
    </xf>
    <xf borderId="0" fillId="0" fontId="15" numFmtId="0" xfId="0" applyFont="1"/>
    <xf borderId="3" fillId="3" fontId="16" numFmtId="0" xfId="0" applyAlignment="1" applyBorder="1" applyFont="1">
      <alignment horizontal="left" readingOrder="0"/>
    </xf>
    <xf borderId="3" fillId="5" fontId="10" numFmtId="3" xfId="0" applyAlignment="1" applyBorder="1" applyFill="1" applyFont="1" applyNumberFormat="1">
      <alignment horizontal="center" vertical="center"/>
    </xf>
    <xf borderId="3" fillId="3" fontId="17" numFmtId="0" xfId="0" applyAlignment="1" applyBorder="1" applyFont="1">
      <alignment horizontal="left"/>
    </xf>
    <xf borderId="3" fillId="6" fontId="18" numFmtId="3" xfId="0" applyAlignment="1" applyBorder="1" applyFill="1" applyFont="1" applyNumberFormat="1">
      <alignment horizontal="center" vertical="center"/>
    </xf>
    <xf borderId="0" fillId="3" fontId="12" numFmtId="0" xfId="0" applyAlignment="1" applyFont="1">
      <alignment horizontal="center"/>
    </xf>
    <xf borderId="3" fillId="7" fontId="19" numFmtId="0" xfId="0" applyAlignment="1" applyBorder="1" applyFill="1" applyFont="1">
      <alignment horizontal="center" vertical="bottom"/>
    </xf>
    <xf borderId="0" fillId="3" fontId="10" numFmtId="0" xfId="0" applyAlignment="1" applyFont="1">
      <alignment horizontal="center" vertical="bottom"/>
    </xf>
    <xf borderId="3" fillId="8" fontId="18" numFmtId="3" xfId="0" applyAlignment="1" applyBorder="1" applyFill="1" applyFont="1" applyNumberFormat="1">
      <alignment horizontal="center" vertical="center"/>
    </xf>
    <xf borderId="1" fillId="3" fontId="12" numFmtId="0" xfId="0" applyAlignment="1" applyBorder="1" applyFont="1">
      <alignment horizontal="center"/>
    </xf>
    <xf borderId="4" fillId="7" fontId="19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vertical="center"/>
    </xf>
    <xf borderId="4" fillId="9" fontId="12" numFmtId="3" xfId="0" applyAlignment="1" applyBorder="1" applyFill="1" applyFont="1" applyNumberFormat="1">
      <alignment horizontal="center" vertical="center"/>
    </xf>
    <xf borderId="1" fillId="3" fontId="11" numFmtId="164" xfId="0" applyAlignment="1" applyBorder="1" applyFont="1" applyNumberFormat="1">
      <alignment horizontal="center" shrinkToFit="0" vertical="center" wrapText="1"/>
    </xf>
    <xf borderId="1" fillId="0" fontId="20" numFmtId="0" xfId="0" applyBorder="1" applyFont="1"/>
    <xf borderId="1" fillId="4" fontId="14" numFmtId="165" xfId="0" applyAlignment="1" applyBorder="1" applyFont="1" applyNumberFormat="1">
      <alignment horizontal="left" shrinkToFit="0" vertical="center" wrapText="1"/>
    </xf>
    <xf borderId="5" fillId="9" fontId="12" numFmtId="0" xfId="0" applyAlignment="1" applyBorder="1" applyFont="1">
      <alignment horizontal="center" vertical="center"/>
    </xf>
    <xf borderId="6" fillId="7" fontId="8" numFmtId="0" xfId="0" applyAlignment="1" applyBorder="1" applyFont="1">
      <alignment horizontal="center" vertical="center"/>
    </xf>
    <xf borderId="7" fillId="9" fontId="12" numFmtId="0" xfId="0" applyAlignment="1" applyBorder="1" applyFont="1">
      <alignment horizontal="center" vertical="center"/>
    </xf>
    <xf borderId="8" fillId="9" fontId="12" numFmtId="0" xfId="0" applyAlignment="1" applyBorder="1" applyFont="1">
      <alignment horizontal="center" vertical="center"/>
    </xf>
    <xf borderId="8" fillId="9" fontId="12" numFmtId="165" xfId="0" applyAlignment="1" applyBorder="1" applyFont="1" applyNumberFormat="1">
      <alignment horizontal="center" vertical="center"/>
    </xf>
    <xf borderId="8" fillId="7" fontId="21" numFmtId="0" xfId="0" applyAlignment="1" applyBorder="1" applyFont="1">
      <alignment horizontal="center" vertical="center"/>
    </xf>
    <xf borderId="8" fillId="7" fontId="8" numFmtId="0" xfId="0" applyAlignment="1" applyBorder="1" applyFont="1">
      <alignment horizontal="center" vertical="center"/>
    </xf>
    <xf borderId="8" fillId="2" fontId="12" numFmtId="0" xfId="0" applyAlignment="1" applyBorder="1" applyFont="1">
      <alignment horizontal="center" vertical="center"/>
    </xf>
    <xf borderId="8" fillId="10" fontId="12" numFmtId="0" xfId="0" applyAlignment="1" applyBorder="1" applyFill="1" applyFont="1">
      <alignment horizontal="center" vertical="center"/>
    </xf>
    <xf borderId="8" fillId="11" fontId="12" numFmtId="0" xfId="0" applyAlignment="1" applyBorder="1" applyFill="1" applyFont="1">
      <alignment horizontal="center" vertical="center"/>
    </xf>
    <xf borderId="8" fillId="12" fontId="12" numFmtId="0" xfId="0" applyAlignment="1" applyBorder="1" applyFill="1" applyFont="1">
      <alignment horizontal="center" vertical="center"/>
    </xf>
    <xf borderId="9" fillId="9" fontId="12" numFmtId="0" xfId="0" applyAlignment="1" applyBorder="1" applyFont="1">
      <alignment horizontal="center" vertical="center"/>
    </xf>
    <xf borderId="0" fillId="9" fontId="12" numFmtId="0" xfId="0" applyAlignment="1" applyFont="1">
      <alignment horizontal="center" vertical="center"/>
    </xf>
    <xf borderId="10" fillId="13" fontId="22" numFmtId="0" xfId="0" applyAlignment="1" applyBorder="1" applyFill="1" applyFont="1">
      <alignment horizontal="center" vertical="bottom"/>
    </xf>
    <xf borderId="11" fillId="13" fontId="23" numFmtId="0" xfId="0" applyAlignment="1" applyBorder="1" applyFont="1">
      <alignment vertical="bottom"/>
    </xf>
    <xf borderId="11" fillId="13" fontId="23" numFmtId="0" xfId="0" applyAlignment="1" applyBorder="1" applyFont="1">
      <alignment horizontal="center" vertical="bottom"/>
    </xf>
    <xf borderId="11" fillId="13" fontId="23" numFmtId="4" xfId="0" applyAlignment="1" applyBorder="1" applyFont="1" applyNumberFormat="1">
      <alignment horizontal="center" vertical="bottom"/>
    </xf>
    <xf borderId="11" fillId="14" fontId="23" numFmtId="0" xfId="0" applyAlignment="1" applyBorder="1" applyFill="1" applyFont="1">
      <alignment readingOrder="0" vertical="bottom"/>
    </xf>
    <xf borderId="11" fillId="13" fontId="24" numFmtId="0" xfId="0" applyAlignment="1" applyBorder="1" applyFont="1">
      <alignment vertical="bottom"/>
    </xf>
    <xf borderId="11" fillId="15" fontId="25" numFmtId="0" xfId="0" applyAlignment="1" applyBorder="1" applyFill="1" applyFont="1">
      <alignment horizontal="left" readingOrder="0" vertical="bottom"/>
    </xf>
    <xf borderId="11" fillId="15" fontId="26" numFmtId="0" xfId="0" applyAlignment="1" applyBorder="1" applyFont="1">
      <alignment horizontal="left" readingOrder="0" vertical="bottom"/>
    </xf>
    <xf borderId="11" fillId="13" fontId="23" numFmtId="0" xfId="0" applyAlignment="1" applyBorder="1" applyFont="1">
      <alignment readingOrder="0"/>
    </xf>
    <xf borderId="12" fillId="13" fontId="23" numFmtId="0" xfId="0" applyAlignment="1" applyBorder="1" applyFont="1">
      <alignment vertical="bottom"/>
    </xf>
    <xf borderId="0" fillId="14" fontId="23" numFmtId="0" xfId="0" applyAlignment="1" applyFont="1">
      <alignment vertical="bottom"/>
    </xf>
    <xf borderId="0" fillId="15" fontId="10" numFmtId="0" xfId="0" applyFont="1"/>
    <xf borderId="11" fillId="15" fontId="27" numFmtId="0" xfId="0" applyAlignment="1" applyBorder="1" applyFont="1">
      <alignment horizontal="left" readingOrder="0" vertical="bottom"/>
    </xf>
    <xf borderId="11" fillId="15" fontId="26" numFmtId="0" xfId="0" applyAlignment="1" applyBorder="1" applyFont="1">
      <alignment horizontal="left" vertical="bottom"/>
    </xf>
    <xf borderId="0" fillId="0" fontId="23" numFmtId="0" xfId="0" applyAlignment="1" applyFont="1">
      <alignment vertical="bottom"/>
    </xf>
    <xf borderId="11" fillId="13" fontId="28" numFmtId="0" xfId="0" applyAlignment="1" applyBorder="1" applyFont="1">
      <alignment vertical="bottom"/>
    </xf>
    <xf borderId="11" fillId="15" fontId="29" numFmtId="0" xfId="0" applyAlignment="1" applyBorder="1" applyFont="1">
      <alignment horizontal="left" readingOrder="0" vertical="bottom"/>
    </xf>
    <xf borderId="11" fillId="15" fontId="26" numFmtId="166" xfId="0" applyAlignment="1" applyBorder="1" applyFont="1" applyNumberFormat="1">
      <alignment horizontal="left" vertical="bottom"/>
    </xf>
    <xf borderId="11" fillId="15" fontId="26" numFmtId="167" xfId="0" applyAlignment="1" applyBorder="1" applyFont="1" applyNumberFormat="1">
      <alignment horizontal="left" readingOrder="0" vertical="bottom"/>
    </xf>
    <xf borderId="0" fillId="0" fontId="30" numFmtId="0" xfId="0" applyAlignment="1" applyFont="1">
      <alignment horizontal="center"/>
    </xf>
    <xf borderId="0" fillId="0" fontId="15" numFmtId="4" xfId="0" applyFont="1" applyNumberFormat="1"/>
    <xf borderId="13" fillId="16" fontId="31" numFmtId="0" xfId="0" applyAlignment="1" applyBorder="1" applyFill="1" applyFont="1">
      <alignment horizontal="left" shrinkToFit="0" vertical="center" wrapText="0"/>
    </xf>
    <xf borderId="13" fillId="16" fontId="32" numFmtId="0" xfId="0" applyAlignment="1" applyBorder="1" applyFont="1">
      <alignment horizontal="left" readingOrder="0" shrinkToFit="0" vertical="center" wrapText="0"/>
    </xf>
    <xf borderId="13" fillId="16" fontId="31" numFmtId="0" xfId="0" applyAlignment="1" applyBorder="1" applyFont="1">
      <alignment horizontal="center" shrinkToFit="0" vertical="center" wrapText="0"/>
    </xf>
    <xf borderId="13" fillId="16" fontId="31" numFmtId="4" xfId="0" applyAlignment="1" applyBorder="1" applyFont="1" applyNumberFormat="1">
      <alignment horizontal="center" shrinkToFit="0" vertical="center" wrapText="0"/>
    </xf>
    <xf borderId="13" fillId="16" fontId="33" numFmtId="0" xfId="0" applyBorder="1" applyFont="1"/>
    <xf borderId="0" fillId="17" fontId="34" numFmtId="0" xfId="0" applyFill="1" applyFont="1"/>
    <xf borderId="0" fillId="17" fontId="34" numFmtId="4" xfId="0" applyFont="1" applyNumberFormat="1"/>
    <xf borderId="0" fillId="17" fontId="35" numFmtId="0" xfId="0" applyFont="1"/>
    <xf borderId="0" fillId="17" fontId="35" numFmtId="4" xfId="0" applyFont="1" applyNumberFormat="1"/>
    <xf borderId="0" fillId="17" fontId="36" numFmtId="0" xfId="0" applyAlignment="1" applyFont="1">
      <alignment horizontal="center"/>
    </xf>
    <xf borderId="14" fillId="9" fontId="37" numFmtId="0" xfId="0" applyBorder="1" applyFont="1"/>
    <xf borderId="15" fillId="0" fontId="20" numFmtId="0" xfId="0" applyBorder="1" applyFont="1"/>
    <xf borderId="16" fillId="9" fontId="37" numFmtId="0" xfId="0" applyAlignment="1" applyBorder="1" applyFont="1">
      <alignment horizontal="center" vertical="center"/>
    </xf>
    <xf borderId="16" fillId="18" fontId="37" numFmtId="0" xfId="0" applyAlignment="1" applyBorder="1" applyFill="1" applyFont="1">
      <alignment horizontal="center" vertical="center"/>
    </xf>
    <xf borderId="16" fillId="19" fontId="37" numFmtId="0" xfId="0" applyAlignment="1" applyBorder="1" applyFill="1" applyFont="1">
      <alignment horizontal="center" vertical="center"/>
    </xf>
    <xf borderId="16" fillId="7" fontId="37" numFmtId="0" xfId="0" applyAlignment="1" applyBorder="1" applyFont="1">
      <alignment horizontal="center" vertical="center"/>
    </xf>
    <xf borderId="16" fillId="15" fontId="38" numFmtId="0" xfId="0" applyAlignment="1" applyBorder="1" applyFont="1">
      <alignment horizontal="center" vertical="center"/>
    </xf>
    <xf borderId="17" fillId="9" fontId="37" numFmtId="4" xfId="0" applyAlignment="1" applyBorder="1" applyFont="1" applyNumberFormat="1">
      <alignment horizontal="center" vertical="center"/>
    </xf>
    <xf borderId="0" fillId="17" fontId="36" numFmtId="0" xfId="0" applyFont="1"/>
    <xf borderId="18" fillId="20" fontId="39" numFmtId="0" xfId="0" applyBorder="1" applyFill="1" applyFont="1"/>
    <xf borderId="19" fillId="20" fontId="39" numFmtId="0" xfId="0" applyAlignment="1" applyBorder="1" applyFont="1">
      <alignment horizontal="center" vertical="center"/>
    </xf>
    <xf borderId="20" fillId="20" fontId="39" numFmtId="0" xfId="0" applyAlignment="1" applyBorder="1" applyFont="1">
      <alignment horizontal="center" vertical="center"/>
    </xf>
    <xf borderId="20" fillId="20" fontId="37" numFmtId="0" xfId="0" applyAlignment="1" applyBorder="1" applyFont="1">
      <alignment horizontal="center" vertical="center"/>
    </xf>
    <xf borderId="21" fillId="20" fontId="39" numFmtId="164" xfId="0" applyAlignment="1" applyBorder="1" applyFont="1" applyNumberFormat="1">
      <alignment horizontal="center" vertical="center"/>
    </xf>
    <xf borderId="22" fillId="14" fontId="40" numFmtId="0" xfId="0" applyAlignment="1" applyBorder="1" applyFont="1">
      <alignment readingOrder="0" vertical="bottom"/>
    </xf>
    <xf borderId="23" fillId="17" fontId="40" numFmtId="0" xfId="0" applyAlignment="1" applyBorder="1" applyFont="1">
      <alignment horizontal="center" readingOrder="0" vertical="center"/>
    </xf>
    <xf borderId="24" fillId="17" fontId="35" numFmtId="0" xfId="0" applyAlignment="1" applyBorder="1" applyFont="1">
      <alignment horizontal="center" vertical="center"/>
    </xf>
    <xf borderId="24" fillId="17" fontId="36" numFmtId="0" xfId="0" applyAlignment="1" applyBorder="1" applyFont="1">
      <alignment horizontal="center" vertical="center"/>
    </xf>
    <xf borderId="25" fillId="17" fontId="35" numFmtId="164" xfId="0" applyAlignment="1" applyBorder="1" applyFont="1" applyNumberFormat="1">
      <alignment horizontal="center" vertical="center"/>
    </xf>
    <xf borderId="20" fillId="17" fontId="35" numFmtId="0" xfId="0" applyAlignment="1" applyBorder="1" applyFont="1">
      <alignment horizontal="center" vertical="center"/>
    </xf>
    <xf borderId="20" fillId="17" fontId="36" numFmtId="0" xfId="0" applyAlignment="1" applyBorder="1" applyFont="1">
      <alignment horizontal="center" vertical="center"/>
    </xf>
    <xf borderId="21" fillId="17" fontId="35" numFmtId="164" xfId="0" applyAlignment="1" applyBorder="1" applyFont="1" applyNumberFormat="1">
      <alignment horizontal="center" vertical="center"/>
    </xf>
    <xf borderId="22" fillId="14" fontId="41" numFmtId="0" xfId="0" applyAlignment="1" applyBorder="1" applyFont="1">
      <alignment readingOrder="0" vertical="bottom"/>
    </xf>
    <xf borderId="22" fillId="21" fontId="42" numFmtId="0" xfId="0" applyAlignment="1" applyBorder="1" applyFill="1" applyFont="1">
      <alignment readingOrder="0" vertical="bottom"/>
    </xf>
    <xf borderId="22" fillId="14" fontId="35" numFmtId="0" xfId="0" applyAlignment="1" applyBorder="1" applyFont="1">
      <alignment vertical="bottom"/>
    </xf>
    <xf borderId="23" fillId="17" fontId="35" numFmtId="0" xfId="0" applyAlignment="1" applyBorder="1" applyFont="1">
      <alignment horizontal="center" vertical="center"/>
    </xf>
    <xf borderId="22" fillId="14" fontId="39" numFmtId="0" xfId="0" applyAlignment="1" applyBorder="1" applyFont="1">
      <alignment vertical="bottom"/>
    </xf>
    <xf borderId="26" fillId="14" fontId="35" numFmtId="0" xfId="0" applyAlignment="1" applyBorder="1" applyFont="1">
      <alignment vertical="bottom"/>
    </xf>
    <xf borderId="27" fillId="17" fontId="35" numFmtId="0" xfId="0" applyAlignment="1" applyBorder="1" applyFont="1">
      <alignment horizontal="center" vertical="center"/>
    </xf>
    <xf borderId="28" fillId="17" fontId="35" numFmtId="0" xfId="0" applyAlignment="1" applyBorder="1" applyFont="1">
      <alignment horizontal="center" vertical="center"/>
    </xf>
    <xf borderId="28" fillId="17" fontId="36" numFmtId="0" xfId="0" applyAlignment="1" applyBorder="1" applyFont="1">
      <alignment horizontal="center" vertical="center"/>
    </xf>
    <xf borderId="29" fillId="17" fontId="35" numFmtId="164" xfId="0" applyAlignment="1" applyBorder="1" applyFont="1" applyNumberFormat="1">
      <alignment horizontal="center" vertical="center"/>
    </xf>
    <xf borderId="0" fillId="17" fontId="43" numFmtId="0" xfId="0" applyFont="1"/>
    <xf borderId="0" fillId="17" fontId="44" numFmtId="0" xfId="0" applyFont="1"/>
    <xf borderId="0" fillId="14" fontId="15" numFmtId="0" xfId="0" applyAlignment="1" applyFont="1">
      <alignment vertical="center"/>
    </xf>
    <xf borderId="30" fillId="17" fontId="30" numFmtId="0" xfId="0" applyAlignment="1" applyBorder="1" applyFont="1">
      <alignment horizontal="right" vertical="center"/>
    </xf>
    <xf borderId="30" fillId="17" fontId="30" numFmtId="0" xfId="0" applyAlignment="1" applyBorder="1" applyFont="1">
      <alignment horizontal="center" vertical="center"/>
    </xf>
    <xf borderId="30" fillId="14" fontId="15" numFmtId="0" xfId="0" applyAlignment="1" applyBorder="1" applyFont="1">
      <alignment horizontal="center" vertical="center"/>
    </xf>
    <xf borderId="30" fillId="0" fontId="45" numFmtId="0" xfId="0" applyAlignment="1" applyBorder="1" applyFont="1">
      <alignment shrinkToFit="0" vertical="center" wrapText="0"/>
    </xf>
    <xf borderId="30" fillId="0" fontId="45" numFmtId="0" xfId="0" applyAlignment="1" applyBorder="1" applyFont="1">
      <alignment vertical="center"/>
    </xf>
    <xf borderId="31" fillId="0" fontId="45" numFmtId="0" xfId="0" applyAlignment="1" applyBorder="1" applyFont="1">
      <alignment vertical="center"/>
    </xf>
    <xf borderId="32" fillId="0" fontId="20" numFmtId="0" xfId="0" applyBorder="1" applyFont="1"/>
    <xf borderId="33" fillId="14" fontId="15" numFmtId="0" xfId="0" applyAlignment="1" applyBorder="1" applyFont="1">
      <alignment vertical="center"/>
    </xf>
    <xf borderId="34" fillId="14" fontId="15" numFmtId="0" xfId="0" applyAlignment="1" applyBorder="1" applyFont="1">
      <alignment vertical="center"/>
    </xf>
    <xf borderId="35" fillId="14" fontId="15" numFmtId="0" xfId="0" applyAlignment="1" applyBorder="1" applyFont="1">
      <alignment vertical="center"/>
    </xf>
    <xf borderId="0" fillId="11" fontId="46" numFmtId="0" xfId="0" applyAlignment="1" applyFont="1">
      <alignment horizontal="center" vertical="center"/>
    </xf>
    <xf borderId="35" fillId="0" fontId="20" numFmtId="0" xfId="0" applyBorder="1" applyFont="1"/>
    <xf borderId="33" fillId="0" fontId="20" numFmtId="0" xfId="0" applyBorder="1" applyFont="1"/>
    <xf borderId="36" fillId="0" fontId="20" numFmtId="0" xfId="0" applyBorder="1" applyFont="1"/>
    <xf borderId="35" fillId="14" fontId="47" numFmtId="0" xfId="0" applyAlignment="1" applyBorder="1" applyFont="1">
      <alignment vertical="center"/>
    </xf>
    <xf borderId="37" fillId="11" fontId="46" numFmtId="0" xfId="0" applyAlignment="1" applyBorder="1" applyFont="1">
      <alignment vertical="center"/>
    </xf>
    <xf borderId="36" fillId="11" fontId="46" numFmtId="0" xfId="0" applyAlignment="1" applyBorder="1" applyFont="1">
      <alignment vertical="center"/>
    </xf>
    <xf borderId="36" fillId="11" fontId="46" numFmtId="0" xfId="0" applyAlignment="1" applyBorder="1" applyFont="1">
      <alignment horizontal="center" vertical="center"/>
    </xf>
    <xf borderId="33" fillId="11" fontId="46" numFmtId="0" xfId="0" applyAlignment="1" applyBorder="1" applyFont="1">
      <alignment horizontal="center" vertical="center"/>
    </xf>
    <xf borderId="38" fillId="11" fontId="46" numFmtId="0" xfId="0" applyAlignment="1" applyBorder="1" applyFont="1">
      <alignment horizontal="center" vertical="center"/>
    </xf>
    <xf borderId="39" fillId="0" fontId="15" numFmtId="0" xfId="0" applyAlignment="1" applyBorder="1" applyFont="1">
      <alignment horizontal="right" vertical="center"/>
    </xf>
    <xf borderId="40" fillId="0" fontId="15" numFmtId="0" xfId="0" applyAlignment="1" applyBorder="1" applyFont="1">
      <alignment vertical="center"/>
    </xf>
    <xf borderId="40" fillId="0" fontId="15" numFmtId="0" xfId="0" applyAlignment="1" applyBorder="1" applyFont="1">
      <alignment horizontal="center" vertical="center"/>
    </xf>
    <xf borderId="40" fillId="0" fontId="15" numFmtId="0" xfId="0" applyAlignment="1" applyBorder="1" applyFont="1">
      <alignment horizontal="left" vertical="center"/>
    </xf>
    <xf borderId="41" fillId="0" fontId="15" numFmtId="0" xfId="0" applyAlignment="1" applyBorder="1" applyFont="1">
      <alignment horizontal="center" vertical="center"/>
    </xf>
    <xf borderId="39" fillId="0" fontId="15" numFmtId="0" xfId="0" applyAlignment="1" applyBorder="1" applyFont="1">
      <alignment horizontal="left" vertical="center"/>
    </xf>
    <xf borderId="42" fillId="0" fontId="15" numFmtId="0" xfId="0" applyAlignment="1" applyBorder="1" applyFont="1">
      <alignment horizontal="center" vertical="center"/>
    </xf>
    <xf borderId="41" fillId="0" fontId="48" numFmtId="0" xfId="0" applyAlignment="1" applyBorder="1" applyFont="1">
      <alignment horizontal="center" vertical="center"/>
    </xf>
    <xf borderId="40" fillId="15" fontId="49" numFmtId="0" xfId="0" applyAlignment="1" applyBorder="1" applyFont="1">
      <alignment vertical="center"/>
    </xf>
    <xf borderId="42" fillId="0" fontId="50" numFmtId="0" xfId="0" applyAlignment="1" applyBorder="1" applyFont="1">
      <alignment horizontal="center" vertical="center"/>
    </xf>
    <xf borderId="39" fillId="0" fontId="15" numFmtId="0" xfId="0" applyAlignment="1" applyBorder="1" applyFont="1">
      <alignment vertical="center"/>
    </xf>
    <xf borderId="43" fillId="0" fontId="15" numFmtId="0" xfId="0" applyAlignment="1" applyBorder="1" applyFont="1">
      <alignment vertical="center"/>
    </xf>
    <xf borderId="44" fillId="0" fontId="15" numFmtId="0" xfId="0" applyAlignment="1" applyBorder="1" applyFont="1">
      <alignment vertical="center"/>
    </xf>
    <xf borderId="44" fillId="0" fontId="15" numFmtId="0" xfId="0" applyAlignment="1" applyBorder="1" applyFont="1">
      <alignment horizontal="left" vertical="center"/>
    </xf>
    <xf borderId="36" fillId="0" fontId="15" numFmtId="0" xfId="0" applyAlignment="1" applyBorder="1" applyFont="1">
      <alignment horizontal="center" vertical="center"/>
    </xf>
    <xf borderId="33" fillId="0" fontId="15" numFmtId="0" xfId="0" applyAlignment="1" applyBorder="1" applyFont="1">
      <alignment vertical="center"/>
    </xf>
    <xf borderId="36" fillId="0" fontId="15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</cellXfs>
  <cellStyles count="1">
    <cellStyle xfId="0" name="Normal" builtinId="0"/>
  </cellStyles>
  <dxfs count="51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980000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b/>
        <color rgb="FFE06666"/>
      </font>
      <fill>
        <patternFill patternType="solid">
          <fgColor rgb="FFF4CCCC"/>
          <bgColor rgb="FFF4CCCC"/>
        </patternFill>
      </fill>
      <border/>
    </dxf>
    <dxf>
      <font>
        <b/>
        <color rgb="FFEA9999"/>
      </font>
      <fill>
        <patternFill patternType="solid">
          <fgColor rgb="FFFFFFFF"/>
          <bgColor rgb="FFFFFFFF"/>
        </patternFill>
      </fill>
      <border/>
    </dxf>
    <dxf>
      <font>
        <b/>
        <color rgb="FFA4C2F4"/>
      </font>
      <fill>
        <patternFill patternType="solid">
          <fgColor rgb="FFFFFFFF"/>
          <bgColor rgb="FFFFFFFF"/>
        </patternFill>
      </fill>
      <border/>
    </dxf>
    <dxf>
      <font>
        <b/>
        <color rgb="FF6AA84F"/>
      </font>
      <fill>
        <patternFill patternType="solid">
          <fgColor rgb="FFD9EAD3"/>
          <bgColor rgb="FFD9EAD3"/>
        </patternFill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color rgb="FF6AA84F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1661283152"/>
        <c:axId val="1598576110"/>
      </c:barChart>
      <c:catAx>
        <c:axId val="166128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8576110"/>
      </c:catAx>
      <c:valAx>
        <c:axId val="159857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283152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2857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1714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edsixmix/2614/" TargetMode="External"/><Relationship Id="rId42" Type="http://schemas.openxmlformats.org/officeDocument/2006/relationships/hyperlink" Target="https://www.munzee.com/m/Nicolet/453/" TargetMode="External"/><Relationship Id="rId41" Type="http://schemas.openxmlformats.org/officeDocument/2006/relationships/hyperlink" Target="https://www.munzee.com/m/mathew611/1052/" TargetMode="External"/><Relationship Id="rId44" Type="http://schemas.openxmlformats.org/officeDocument/2006/relationships/hyperlink" Target="https://www.munzee.com/m/georeyna/11823/" TargetMode="External"/><Relationship Id="rId43" Type="http://schemas.openxmlformats.org/officeDocument/2006/relationships/hyperlink" Target="https://www.munzee.com/m/Kapor24/1077/" TargetMode="External"/><Relationship Id="rId46" Type="http://schemas.openxmlformats.org/officeDocument/2006/relationships/hyperlink" Target="https://www.munzee.com/m/BenandJules/4314/" TargetMode="External"/><Relationship Id="rId45" Type="http://schemas.openxmlformats.org/officeDocument/2006/relationships/hyperlink" Target="https://www.munzee.com/m/Neloras/1257/" TargetMode="External"/><Relationship Id="rId107" Type="http://schemas.openxmlformats.org/officeDocument/2006/relationships/hyperlink" Target="https://www.munzee.com/m/Ujio/173/" TargetMode="External"/><Relationship Id="rId106" Type="http://schemas.openxmlformats.org/officeDocument/2006/relationships/hyperlink" Target="https://www.munzee.com/m/Rikitan/4207/" TargetMode="External"/><Relationship Id="rId105" Type="http://schemas.openxmlformats.org/officeDocument/2006/relationships/hyperlink" Target="https://www.munzee.com/m/MacickaLizza/139/" TargetMode="External"/><Relationship Id="rId104" Type="http://schemas.openxmlformats.org/officeDocument/2006/relationships/hyperlink" Target="https://www.munzee.com/m/Kumahelion/1696/" TargetMode="External"/><Relationship Id="rId109" Type="http://schemas.openxmlformats.org/officeDocument/2006/relationships/hyperlink" Target="https://www.munzee.com/m/Nicolet/519/" TargetMode="External"/><Relationship Id="rId108" Type="http://schemas.openxmlformats.org/officeDocument/2006/relationships/hyperlink" Target="https://www.munzee.com/m/Charonovci/2219" TargetMode="External"/><Relationship Id="rId48" Type="http://schemas.openxmlformats.org/officeDocument/2006/relationships/hyperlink" Target="https://www.munzee.com/m/EeveeFox/1405" TargetMode="External"/><Relationship Id="rId47" Type="http://schemas.openxmlformats.org/officeDocument/2006/relationships/hyperlink" Target="https://www.munzee.com/m/and2470/882/" TargetMode="External"/><Relationship Id="rId49" Type="http://schemas.openxmlformats.org/officeDocument/2006/relationships/hyperlink" Target="https://www.munzee.com/m/Neloras/1730/" TargetMode="External"/><Relationship Id="rId103" Type="http://schemas.openxmlformats.org/officeDocument/2006/relationships/hyperlink" Target="https://www.munzee.com/m/and2470/383/" TargetMode="External"/><Relationship Id="rId102" Type="http://schemas.openxmlformats.org/officeDocument/2006/relationships/hyperlink" Target="https://www.munzee.com/m/MariaBr/5244/" TargetMode="External"/><Relationship Id="rId101" Type="http://schemas.openxmlformats.org/officeDocument/2006/relationships/hyperlink" Target="https://www.munzee.com/m/gd/4648/" TargetMode="External"/><Relationship Id="rId100" Type="http://schemas.openxmlformats.org/officeDocument/2006/relationships/hyperlink" Target="https://www.munzee.com/m/Dazzaf/7328/" TargetMode="External"/><Relationship Id="rId31" Type="http://schemas.openxmlformats.org/officeDocument/2006/relationships/hyperlink" Target="https://www.munzee.com/m/piesciuk/2051/" TargetMode="External"/><Relationship Id="rId30" Type="http://schemas.openxmlformats.org/officeDocument/2006/relationships/hyperlink" Target="https://www.munzee.com/m/Neloras/1181/" TargetMode="External"/><Relationship Id="rId33" Type="http://schemas.openxmlformats.org/officeDocument/2006/relationships/hyperlink" Target="https://www.munzee.com/m/Nicolet/380/" TargetMode="External"/><Relationship Id="rId32" Type="http://schemas.openxmlformats.org/officeDocument/2006/relationships/hyperlink" Target="https://www.munzee.com/m/mathew611/1051/" TargetMode="External"/><Relationship Id="rId35" Type="http://schemas.openxmlformats.org/officeDocument/2006/relationships/hyperlink" Target="https://www.munzee.com/m/mathew611/1009/" TargetMode="External"/><Relationship Id="rId34" Type="http://schemas.openxmlformats.org/officeDocument/2006/relationships/hyperlink" Target="https://www.munzee.com/m/Kapor24/1076/" TargetMode="External"/><Relationship Id="rId37" Type="http://schemas.openxmlformats.org/officeDocument/2006/relationships/hyperlink" Target="https://www.munzee.com/m/Kapor24/939/" TargetMode="External"/><Relationship Id="rId36" Type="http://schemas.openxmlformats.org/officeDocument/2006/relationships/hyperlink" Target="https://www.munzee.com/m/Nicolet/265/" TargetMode="External"/><Relationship Id="rId39" Type="http://schemas.openxmlformats.org/officeDocument/2006/relationships/hyperlink" Target="https://www.munzee.com/m/Nicolet/357/" TargetMode="External"/><Relationship Id="rId38" Type="http://schemas.openxmlformats.org/officeDocument/2006/relationships/hyperlink" Target="https://www.munzee.com/m/mathew611/906/" TargetMode="External"/><Relationship Id="rId20" Type="http://schemas.openxmlformats.org/officeDocument/2006/relationships/hyperlink" Target="https://www.munzee.com/m/Neloras/1593/" TargetMode="External"/><Relationship Id="rId22" Type="http://schemas.openxmlformats.org/officeDocument/2006/relationships/hyperlink" Target="https://www.munzee.com/m/EeveeFox/1407/" TargetMode="External"/><Relationship Id="rId21" Type="http://schemas.openxmlformats.org/officeDocument/2006/relationships/hyperlink" Target="https://www.munzee.com/m/Adushka/723/" TargetMode="External"/><Relationship Id="rId24" Type="http://schemas.openxmlformats.org/officeDocument/2006/relationships/hyperlink" Target="https://www.munzee.com/m/and2470/801/" TargetMode="External"/><Relationship Id="rId23" Type="http://schemas.openxmlformats.org/officeDocument/2006/relationships/hyperlink" Target="https://www.munzee.com/m/Neloras/1684/" TargetMode="External"/><Relationship Id="rId129" Type="http://schemas.openxmlformats.org/officeDocument/2006/relationships/hyperlink" Target="https://www.munzee.com/m/Meganduluth22/899/" TargetMode="External"/><Relationship Id="rId128" Type="http://schemas.openxmlformats.org/officeDocument/2006/relationships/hyperlink" Target="https://www.munzee.com/m/EeveeFox/1273" TargetMode="External"/><Relationship Id="rId127" Type="http://schemas.openxmlformats.org/officeDocument/2006/relationships/hyperlink" Target="https://www.munzee.com/m/Neloras/1090/" TargetMode="External"/><Relationship Id="rId126" Type="http://schemas.openxmlformats.org/officeDocument/2006/relationships/hyperlink" Target="https://www.munzee.com/m/and2470/1024/" TargetMode="External"/><Relationship Id="rId26" Type="http://schemas.openxmlformats.org/officeDocument/2006/relationships/hyperlink" Target="https://www.munzee.com/m/29Februaris/1489/admin/" TargetMode="External"/><Relationship Id="rId121" Type="http://schemas.openxmlformats.org/officeDocument/2006/relationships/hyperlink" Target="https://www.munzee.com/m/Neloras/933/" TargetMode="External"/><Relationship Id="rId25" Type="http://schemas.openxmlformats.org/officeDocument/2006/relationships/hyperlink" Target="https://www.munzee.com/m/Rikitan/4208/" TargetMode="External"/><Relationship Id="rId120" Type="http://schemas.openxmlformats.org/officeDocument/2006/relationships/hyperlink" Target="https://www.munzee.com/m/Adushka/727/" TargetMode="External"/><Relationship Id="rId28" Type="http://schemas.openxmlformats.org/officeDocument/2006/relationships/hyperlink" Target="https://www.munzee.com/m/Kumahelion/1673/" TargetMode="External"/><Relationship Id="rId27" Type="http://schemas.openxmlformats.org/officeDocument/2006/relationships/hyperlink" Target="https://www.munzee.com/m/MacickaLizza/1397" TargetMode="External"/><Relationship Id="rId125" Type="http://schemas.openxmlformats.org/officeDocument/2006/relationships/hyperlink" Target="https://www.munzee.com/m/EeveeFox/258" TargetMode="External"/><Relationship Id="rId29" Type="http://schemas.openxmlformats.org/officeDocument/2006/relationships/hyperlink" Target="https://www.munzee.com/m/Rikitan/4285/" TargetMode="External"/><Relationship Id="rId124" Type="http://schemas.openxmlformats.org/officeDocument/2006/relationships/hyperlink" Target="https://www.munzee.com/m/Neloras/1586/" TargetMode="External"/><Relationship Id="rId123" Type="http://schemas.openxmlformats.org/officeDocument/2006/relationships/hyperlink" Target="https://www.munzee.com/m/Rikitan/4286/" TargetMode="External"/><Relationship Id="rId122" Type="http://schemas.openxmlformats.org/officeDocument/2006/relationships/hyperlink" Target="https://www.munzee.com/m/EeveeFox/1332" TargetMode="External"/><Relationship Id="rId95" Type="http://schemas.openxmlformats.org/officeDocument/2006/relationships/hyperlink" Target="https://www.munzee.com/m/Neloras/886/" TargetMode="External"/><Relationship Id="rId94" Type="http://schemas.openxmlformats.org/officeDocument/2006/relationships/hyperlink" Target="https://www.munzee.com/m/georeyna/11620/" TargetMode="External"/><Relationship Id="rId97" Type="http://schemas.openxmlformats.org/officeDocument/2006/relationships/hyperlink" Target="https://www.munzee.com/m/and2470/1023/" TargetMode="External"/><Relationship Id="rId96" Type="http://schemas.openxmlformats.org/officeDocument/2006/relationships/hyperlink" Target="https://www.munzee.com/m/EeveeFox/1390" TargetMode="External"/><Relationship Id="rId11" Type="http://schemas.openxmlformats.org/officeDocument/2006/relationships/hyperlink" Target="https://www.munzee.com/m/Charonovci/2215" TargetMode="External"/><Relationship Id="rId99" Type="http://schemas.openxmlformats.org/officeDocument/2006/relationships/hyperlink" Target="https://www.munzee.com/m/Neloras/2090/" TargetMode="External"/><Relationship Id="rId10" Type="http://schemas.openxmlformats.org/officeDocument/2006/relationships/hyperlink" Target="https://www.munzee.com/m/5Star/7843" TargetMode="External"/><Relationship Id="rId98" Type="http://schemas.openxmlformats.org/officeDocument/2006/relationships/hyperlink" Target="https://www.munzee.com/m/Havenicedayjoe/4479" TargetMode="External"/><Relationship Id="rId13" Type="http://schemas.openxmlformats.org/officeDocument/2006/relationships/hyperlink" Target="https://www.munzee.com/m/TheEvilPoles/5001/" TargetMode="External"/><Relationship Id="rId12" Type="http://schemas.openxmlformats.org/officeDocument/2006/relationships/hyperlink" Target="https://www.munzee.com/m/Mon4ikaCriss/2504/" TargetMode="External"/><Relationship Id="rId91" Type="http://schemas.openxmlformats.org/officeDocument/2006/relationships/hyperlink" Target="https://www.munzee.com/m/Rikitan/3928/" TargetMode="External"/><Relationship Id="rId90" Type="http://schemas.openxmlformats.org/officeDocument/2006/relationships/hyperlink" Target="https://www.munzee.com/m/EeveeFox/1383" TargetMode="External"/><Relationship Id="rId93" Type="http://schemas.openxmlformats.org/officeDocument/2006/relationships/hyperlink" Target="https://www.munzee.com/m/EeveeFox/133" TargetMode="External"/><Relationship Id="rId92" Type="http://schemas.openxmlformats.org/officeDocument/2006/relationships/hyperlink" Target="https://www.munzee.com/m/Neloras/421/" TargetMode="External"/><Relationship Id="rId118" Type="http://schemas.openxmlformats.org/officeDocument/2006/relationships/hyperlink" Target="https://www.munzee.com/m/Nicolet/520/" TargetMode="External"/><Relationship Id="rId117" Type="http://schemas.openxmlformats.org/officeDocument/2006/relationships/hyperlink" Target="https://www.munzee.com/m/mathew611/1054/" TargetMode="External"/><Relationship Id="rId116" Type="http://schemas.openxmlformats.org/officeDocument/2006/relationships/hyperlink" Target="https://www.munzee.com/m/Kapor24/963/" TargetMode="External"/><Relationship Id="rId115" Type="http://schemas.openxmlformats.org/officeDocument/2006/relationships/hyperlink" Target="https://www.munzee.com/m/Nicolet/444/" TargetMode="External"/><Relationship Id="rId119" Type="http://schemas.openxmlformats.org/officeDocument/2006/relationships/hyperlink" Target="https://www.munzee.com/m/EeveeFox/267" TargetMode="External"/><Relationship Id="rId15" Type="http://schemas.openxmlformats.org/officeDocument/2006/relationships/hyperlink" Target="https://www.munzee.com/m/mathew611/894/" TargetMode="External"/><Relationship Id="rId110" Type="http://schemas.openxmlformats.org/officeDocument/2006/relationships/hyperlink" Target="https://www.munzee.com/m/Kapor24/1079/" TargetMode="External"/><Relationship Id="rId14" Type="http://schemas.openxmlformats.org/officeDocument/2006/relationships/hyperlink" Target="https://www.munzee.com/m/Kapor24/1075/" TargetMode="External"/><Relationship Id="rId17" Type="http://schemas.openxmlformats.org/officeDocument/2006/relationships/hyperlink" Target="https://www.munzee.com/m/Kapor24/922/" TargetMode="External"/><Relationship Id="rId16" Type="http://schemas.openxmlformats.org/officeDocument/2006/relationships/hyperlink" Target="https://www.munzee.com/m/Nicolet/6/" TargetMode="External"/><Relationship Id="rId19" Type="http://schemas.openxmlformats.org/officeDocument/2006/relationships/hyperlink" Target="https://www.munzee.com/m/EeveeFox/1406" TargetMode="External"/><Relationship Id="rId114" Type="http://schemas.openxmlformats.org/officeDocument/2006/relationships/hyperlink" Target="https://www.munzee.com/m/mathew611/1056/" TargetMode="External"/><Relationship Id="rId18" Type="http://schemas.openxmlformats.org/officeDocument/2006/relationships/hyperlink" Target="https://www.munzee.com/m/mathew611/1050/" TargetMode="External"/><Relationship Id="rId113" Type="http://schemas.openxmlformats.org/officeDocument/2006/relationships/hyperlink" Target="https://www.munzee.com/m/Kapor24/1081/" TargetMode="External"/><Relationship Id="rId112" Type="http://schemas.openxmlformats.org/officeDocument/2006/relationships/hyperlink" Target="https://www.munzee.com/m/Nicolet/439/" TargetMode="External"/><Relationship Id="rId111" Type="http://schemas.openxmlformats.org/officeDocument/2006/relationships/hyperlink" Target="https://www.munzee.com/m/mathew611/931/" TargetMode="External"/><Relationship Id="rId84" Type="http://schemas.openxmlformats.org/officeDocument/2006/relationships/hyperlink" Target="https://www.munzee.com/m/Nicolet/438/" TargetMode="External"/><Relationship Id="rId83" Type="http://schemas.openxmlformats.org/officeDocument/2006/relationships/hyperlink" Target="https://www.munzee.com/m/mathew611/918/" TargetMode="External"/><Relationship Id="rId86" Type="http://schemas.openxmlformats.org/officeDocument/2006/relationships/hyperlink" Target="https://www.munzee.com/m/mathew611/930/" TargetMode="External"/><Relationship Id="rId85" Type="http://schemas.openxmlformats.org/officeDocument/2006/relationships/hyperlink" Target="https://www.munzee.com/m/Kapor24/954/" TargetMode="External"/><Relationship Id="rId88" Type="http://schemas.openxmlformats.org/officeDocument/2006/relationships/hyperlink" Target="https://www.munzee.com/m/Neloras/2089/" TargetMode="External"/><Relationship Id="rId150" Type="http://schemas.openxmlformats.org/officeDocument/2006/relationships/hyperlink" Target="https://www.munzee.com/m/Pronkrug/3647/" TargetMode="External"/><Relationship Id="rId87" Type="http://schemas.openxmlformats.org/officeDocument/2006/relationships/hyperlink" Target="https://www.munzee.com/m/Nicolet/517/" TargetMode="External"/><Relationship Id="rId89" Type="http://schemas.openxmlformats.org/officeDocument/2006/relationships/hyperlink" Target="https://www.munzee.com/m/and2470/1057/" TargetMode="External"/><Relationship Id="rId80" Type="http://schemas.openxmlformats.org/officeDocument/2006/relationships/hyperlink" Target="https://www.munzee.com/m/mathew611/1053/" TargetMode="External"/><Relationship Id="rId82" Type="http://schemas.openxmlformats.org/officeDocument/2006/relationships/hyperlink" Target="https://www.munzee.com/m/Kapor24/1078/" TargetMode="External"/><Relationship Id="rId81" Type="http://schemas.openxmlformats.org/officeDocument/2006/relationships/hyperlink" Target="https://www.munzee.com/m/Nicolet/399/" TargetMode="External"/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www.munzee.com/map/srxw6nrgs/16.7" TargetMode="External"/><Relationship Id="rId3" Type="http://schemas.openxmlformats.org/officeDocument/2006/relationships/hyperlink" Target="https://tiny.one/JapanseMaple" TargetMode="External"/><Relationship Id="rId149" Type="http://schemas.openxmlformats.org/officeDocument/2006/relationships/hyperlink" Target="https://www.munzee.com/m/mathew611/1025/" TargetMode="External"/><Relationship Id="rId4" Type="http://schemas.openxmlformats.org/officeDocument/2006/relationships/hyperlink" Target="https://www.munzee.com/m/Nicolet/377/" TargetMode="External"/><Relationship Id="rId148" Type="http://schemas.openxmlformats.org/officeDocument/2006/relationships/hyperlink" Target="https://www.munzee.com/m/Neloras/1787/" TargetMode="External"/><Relationship Id="rId9" Type="http://schemas.openxmlformats.org/officeDocument/2006/relationships/hyperlink" Target="https://www.munzee.com/m/and2470/344/" TargetMode="External"/><Relationship Id="rId143" Type="http://schemas.openxmlformats.org/officeDocument/2006/relationships/hyperlink" Target="https://www.munzee.com/m/Nicolet/521/" TargetMode="External"/><Relationship Id="rId142" Type="http://schemas.openxmlformats.org/officeDocument/2006/relationships/hyperlink" Target="https://www.munzee.com/m/mathew611/1055/" TargetMode="External"/><Relationship Id="rId141" Type="http://schemas.openxmlformats.org/officeDocument/2006/relationships/hyperlink" Target="https://www.munzee.com/m/Kapor24/1083/" TargetMode="External"/><Relationship Id="rId140" Type="http://schemas.openxmlformats.org/officeDocument/2006/relationships/hyperlink" Target="https://www.munzee.com/m/Neloras/1775/" TargetMode="External"/><Relationship Id="rId5" Type="http://schemas.openxmlformats.org/officeDocument/2006/relationships/hyperlink" Target="https://www.munzee.com/m/Kapor24/1021/" TargetMode="External"/><Relationship Id="rId147" Type="http://schemas.openxmlformats.org/officeDocument/2006/relationships/hyperlink" Target="https://www.munzee.com/m/mathew611/1059/" TargetMode="External"/><Relationship Id="rId6" Type="http://schemas.openxmlformats.org/officeDocument/2006/relationships/hyperlink" Target="https://www.munzee.com/m/mathew611/929/" TargetMode="External"/><Relationship Id="rId146" Type="http://schemas.openxmlformats.org/officeDocument/2006/relationships/hyperlink" Target="https://www.munzee.com/m/Kapor24/1080/" TargetMode="External"/><Relationship Id="rId7" Type="http://schemas.openxmlformats.org/officeDocument/2006/relationships/hyperlink" Target="https://www.munzee.com/m/Rikitan/4205/" TargetMode="External"/><Relationship Id="rId145" Type="http://schemas.openxmlformats.org/officeDocument/2006/relationships/hyperlink" Target="https://www.munzee.com/m/Nicolet/524/" TargetMode="External"/><Relationship Id="rId8" Type="http://schemas.openxmlformats.org/officeDocument/2006/relationships/hyperlink" Target="https://www.munzee.com/m/Neloras/1797/" TargetMode="External"/><Relationship Id="rId144" Type="http://schemas.openxmlformats.org/officeDocument/2006/relationships/hyperlink" Target="https://www.munzee.com/m/Nicolet/518/" TargetMode="External"/><Relationship Id="rId73" Type="http://schemas.openxmlformats.org/officeDocument/2006/relationships/hyperlink" Target="https://www.munzee.com/m/Charonovci/2189" TargetMode="External"/><Relationship Id="rId72" Type="http://schemas.openxmlformats.org/officeDocument/2006/relationships/hyperlink" Target="https://www.munzee.com/m/Rikitan/4180/" TargetMode="External"/><Relationship Id="rId75" Type="http://schemas.openxmlformats.org/officeDocument/2006/relationships/hyperlink" Target="https://www.munzee.com/m/Nicolet/516/" TargetMode="External"/><Relationship Id="rId74" Type="http://schemas.openxmlformats.org/officeDocument/2006/relationships/hyperlink" Target="https://www.munzee.com/m/MacickaLizza/256" TargetMode="External"/><Relationship Id="rId77" Type="http://schemas.openxmlformats.org/officeDocument/2006/relationships/hyperlink" Target="https://www.munzee.com/m/mathew611/913/" TargetMode="External"/><Relationship Id="rId76" Type="http://schemas.openxmlformats.org/officeDocument/2006/relationships/hyperlink" Target="https://www.munzee.com/m/Kapor24/947/" TargetMode="External"/><Relationship Id="rId79" Type="http://schemas.openxmlformats.org/officeDocument/2006/relationships/hyperlink" Target="https://www.munzee.com/m/Kapor24/950/" TargetMode="External"/><Relationship Id="rId78" Type="http://schemas.openxmlformats.org/officeDocument/2006/relationships/hyperlink" Target="https://www.munzee.com/m/Nicolet/404/" TargetMode="External"/><Relationship Id="rId71" Type="http://schemas.openxmlformats.org/officeDocument/2006/relationships/hyperlink" Target="https://www.munzee.com/m/MacickaLizza/1380" TargetMode="External"/><Relationship Id="rId70" Type="http://schemas.openxmlformats.org/officeDocument/2006/relationships/hyperlink" Target="https://www.munzee.com/m/Charonovci/2192" TargetMode="External"/><Relationship Id="rId139" Type="http://schemas.openxmlformats.org/officeDocument/2006/relationships/hyperlink" Target="https://www.munzee.com/m/Rikitan/4214/" TargetMode="External"/><Relationship Id="rId138" Type="http://schemas.openxmlformats.org/officeDocument/2006/relationships/hyperlink" Target="https://www.munzee.com/m/Lanyasummer/6673/" TargetMode="External"/><Relationship Id="rId137" Type="http://schemas.openxmlformats.org/officeDocument/2006/relationships/hyperlink" Target="https://www.munzee.com/m/MacickaLizza/1368" TargetMode="External"/><Relationship Id="rId132" Type="http://schemas.openxmlformats.org/officeDocument/2006/relationships/hyperlink" Target="https://www.munzee.com/m/MacickaLizza/1379" TargetMode="External"/><Relationship Id="rId131" Type="http://schemas.openxmlformats.org/officeDocument/2006/relationships/hyperlink" Target="https://www.munzee.com/m/and2470/1459/" TargetMode="External"/><Relationship Id="rId130" Type="http://schemas.openxmlformats.org/officeDocument/2006/relationships/hyperlink" Target="https://www.munzee.com/m/Charonovci/2216" TargetMode="External"/><Relationship Id="rId136" Type="http://schemas.openxmlformats.org/officeDocument/2006/relationships/hyperlink" Target="https://www.munzee.com/m/Charonovci/2217" TargetMode="External"/><Relationship Id="rId135" Type="http://schemas.openxmlformats.org/officeDocument/2006/relationships/hyperlink" Target="https://www.munzee.com/m/29Februaris/1231/" TargetMode="External"/><Relationship Id="rId134" Type="http://schemas.openxmlformats.org/officeDocument/2006/relationships/hyperlink" Target="https://www.munzee.com/m/EmeraldAngel/4514" TargetMode="External"/><Relationship Id="rId133" Type="http://schemas.openxmlformats.org/officeDocument/2006/relationships/hyperlink" Target="https://www.munzee.com/m/Charonovci/2218" TargetMode="External"/><Relationship Id="rId62" Type="http://schemas.openxmlformats.org/officeDocument/2006/relationships/hyperlink" Target="https://www.munzee.com/m/MacickaLizza/1395" TargetMode="External"/><Relationship Id="rId61" Type="http://schemas.openxmlformats.org/officeDocument/2006/relationships/hyperlink" Target="https://www.munzee.com/m/Charonovci/2220" TargetMode="External"/><Relationship Id="rId64" Type="http://schemas.openxmlformats.org/officeDocument/2006/relationships/hyperlink" Target="https://www.munzee.com/m/Charonovci/2214" TargetMode="External"/><Relationship Id="rId63" Type="http://schemas.openxmlformats.org/officeDocument/2006/relationships/hyperlink" Target="https://www.munzee.com/m/Arendsoog/13197/" TargetMode="External"/><Relationship Id="rId66" Type="http://schemas.openxmlformats.org/officeDocument/2006/relationships/hyperlink" Target="https://www.munzee.com/m/Arendsoog/11901/" TargetMode="External"/><Relationship Id="rId65" Type="http://schemas.openxmlformats.org/officeDocument/2006/relationships/hyperlink" Target="https://www.munzee.com/m/MacickaLizza/1394" TargetMode="External"/><Relationship Id="rId68" Type="http://schemas.openxmlformats.org/officeDocument/2006/relationships/hyperlink" Target="https://www.munzee.com/m/Rikitan/4211/" TargetMode="External"/><Relationship Id="rId67" Type="http://schemas.openxmlformats.org/officeDocument/2006/relationships/hyperlink" Target="https://www.munzee.com/m/Charonovci/2193" TargetMode="External"/><Relationship Id="rId60" Type="http://schemas.openxmlformats.org/officeDocument/2006/relationships/hyperlink" Target="https://www.munzee.com/m/and2470/890/" TargetMode="External"/><Relationship Id="rId69" Type="http://schemas.openxmlformats.org/officeDocument/2006/relationships/hyperlink" Target="https://www.munzee.com/m/J1Huisman/17617/" TargetMode="External"/><Relationship Id="rId51" Type="http://schemas.openxmlformats.org/officeDocument/2006/relationships/hyperlink" Target="https://www.munzee.com/m/SammIam/2752/admin/" TargetMode="External"/><Relationship Id="rId50" Type="http://schemas.openxmlformats.org/officeDocument/2006/relationships/hyperlink" Target="https://www.munzee.com/m/CambridgeHannons/1808/" TargetMode="External"/><Relationship Id="rId53" Type="http://schemas.openxmlformats.org/officeDocument/2006/relationships/hyperlink" Target="https://www.munzee.com/m/Neloras/420/" TargetMode="External"/><Relationship Id="rId52" Type="http://schemas.openxmlformats.org/officeDocument/2006/relationships/hyperlink" Target="https://www.munzee.com/m/and2470/1004/" TargetMode="External"/><Relationship Id="rId55" Type="http://schemas.openxmlformats.org/officeDocument/2006/relationships/hyperlink" Target="https://www.munzee.com/m/Arendsoog/13420/" TargetMode="External"/><Relationship Id="rId54" Type="http://schemas.openxmlformats.org/officeDocument/2006/relationships/hyperlink" Target="https://www.munzee.com/m/kepke3/2513/" TargetMode="External"/><Relationship Id="rId57" Type="http://schemas.openxmlformats.org/officeDocument/2006/relationships/hyperlink" Target="https://www.munzee.com/m/Neloras/1756/" TargetMode="External"/><Relationship Id="rId56" Type="http://schemas.openxmlformats.org/officeDocument/2006/relationships/hyperlink" Target="https://www.munzee.com/m/Pinkeltje/2206/" TargetMode="External"/><Relationship Id="rId59" Type="http://schemas.openxmlformats.org/officeDocument/2006/relationships/hyperlink" Target="https://www.munzee.com/m/nyboss/15083/" TargetMode="External"/><Relationship Id="rId58" Type="http://schemas.openxmlformats.org/officeDocument/2006/relationships/hyperlink" Target="https://www.munzee.com/m/EeveeFox/1391" TargetMode="External"/><Relationship Id="rId15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tinyurl.com/SKgarden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75"/>
    <col customWidth="1" min="2" max="2" width="33.88"/>
    <col customWidth="1" min="3" max="4" width="4.5"/>
    <col customWidth="1" min="5" max="5" width="17.63"/>
    <col customWidth="1" min="6" max="6" width="18.38"/>
    <col customWidth="1" min="7" max="7" width="16.63"/>
    <col customWidth="1" min="8" max="8" width="13.63"/>
    <col customWidth="1" min="9" max="9" width="34.38"/>
    <col customWidth="1" min="10" max="10" width="16.13"/>
    <col customWidth="1" min="11" max="11" width="8.38"/>
    <col customWidth="1" hidden="1" min="12" max="14" width="7.0"/>
    <col customWidth="1" hidden="1" min="15" max="15" width="8.88"/>
    <col customWidth="1" min="16" max="16" width="11.38"/>
  </cols>
  <sheetData>
    <row r="1" ht="26.25" customHeight="1">
      <c r="A1" s="1"/>
      <c r="B1" s="2" t="s">
        <v>0</v>
      </c>
      <c r="C1" s="3"/>
      <c r="D1" s="3"/>
      <c r="E1" s="4" t="s">
        <v>1</v>
      </c>
      <c r="F1" s="5" t="s">
        <v>2</v>
      </c>
      <c r="G1" s="6"/>
      <c r="H1" s="7"/>
      <c r="I1" s="8" t="s">
        <v>3</v>
      </c>
      <c r="J1" s="9" t="s">
        <v>4</v>
      </c>
      <c r="K1" s="10"/>
      <c r="Q1" s="11"/>
      <c r="R1" s="11"/>
      <c r="S1" s="11"/>
      <c r="T1" s="11"/>
      <c r="U1" s="11"/>
      <c r="V1" s="1">
        <f>sum(V8:V98)</f>
        <v>330</v>
      </c>
      <c r="W1" s="12"/>
      <c r="X1" s="12"/>
      <c r="Y1" s="12"/>
      <c r="Z1" s="12"/>
    </row>
    <row r="2" ht="15.0" customHeight="1">
      <c r="A2" s="13"/>
      <c r="B2" s="14" t="s">
        <v>5</v>
      </c>
      <c r="C2" s="15"/>
      <c r="D2" s="16" t="s">
        <v>6</v>
      </c>
      <c r="E2" s="17">
        <f>sum(L:L)</f>
        <v>0</v>
      </c>
      <c r="F2" s="18">
        <f t="shared" ref="F2:F5" si="1">$E2/$E$6</f>
        <v>0</v>
      </c>
      <c r="G2" s="19" t="s">
        <v>7</v>
      </c>
      <c r="Q2" s="20"/>
      <c r="R2" s="20"/>
      <c r="S2" s="20"/>
      <c r="T2" s="20"/>
      <c r="U2" s="20"/>
      <c r="V2" s="20"/>
      <c r="W2" s="21"/>
      <c r="X2" s="21"/>
      <c r="Y2" s="21"/>
      <c r="Z2" s="21"/>
    </row>
    <row r="3" ht="15.0" customHeight="1">
      <c r="A3" s="13"/>
      <c r="B3" s="22" t="s">
        <v>8</v>
      </c>
      <c r="C3" s="15"/>
      <c r="D3" s="16" t="s">
        <v>9</v>
      </c>
      <c r="E3" s="23">
        <f>sum(M:M)</f>
        <v>0</v>
      </c>
      <c r="F3" s="18">
        <f t="shared" si="1"/>
        <v>0</v>
      </c>
      <c r="Q3" s="20"/>
      <c r="R3" s="20"/>
      <c r="S3" s="20"/>
      <c r="T3" s="20"/>
      <c r="U3" s="20"/>
      <c r="V3" s="20"/>
      <c r="W3" s="21"/>
      <c r="X3" s="21"/>
      <c r="Y3" s="21"/>
      <c r="Z3" s="21"/>
    </row>
    <row r="4" ht="15.0" customHeight="1">
      <c r="A4" s="13"/>
      <c r="B4" s="24" t="str">
        <f>HYPERLINK("http://gardenpainter.ide.sk/paint.php","Created with Gardenpainter")</f>
        <v>Created with Gardenpainter</v>
      </c>
      <c r="C4" s="15"/>
      <c r="D4" s="16" t="s">
        <v>10</v>
      </c>
      <c r="E4" s="25">
        <f>sum(N:N)</f>
        <v>0</v>
      </c>
      <c r="F4" s="18">
        <f t="shared" si="1"/>
        <v>0</v>
      </c>
      <c r="Q4" s="20"/>
      <c r="R4" s="20"/>
      <c r="S4" s="20"/>
      <c r="T4" s="20"/>
      <c r="U4" s="20"/>
      <c r="V4" s="20"/>
      <c r="W4" s="21"/>
      <c r="X4" s="21"/>
      <c r="Y4" s="21"/>
      <c r="Z4" s="21"/>
    </row>
    <row r="5" ht="15.0" customHeight="1">
      <c r="A5" s="26"/>
      <c r="B5" s="27" t="s">
        <v>11</v>
      </c>
      <c r="C5" s="28"/>
      <c r="D5" s="16" t="s">
        <v>12</v>
      </c>
      <c r="E5" s="29">
        <f>countif(K:K,TRUE)</f>
        <v>147</v>
      </c>
      <c r="F5" s="18">
        <f t="shared" si="1"/>
        <v>1</v>
      </c>
      <c r="Q5" s="20"/>
      <c r="R5" s="20"/>
      <c r="S5" s="20"/>
      <c r="T5" s="20"/>
      <c r="U5" s="20"/>
      <c r="V5" s="20"/>
      <c r="W5" s="21"/>
      <c r="X5" s="21"/>
      <c r="Y5" s="21"/>
      <c r="Z5" s="21"/>
    </row>
    <row r="6" ht="15.0" customHeight="1">
      <c r="A6" s="30"/>
      <c r="B6" s="31" t="s">
        <v>13</v>
      </c>
      <c r="C6" s="32"/>
      <c r="D6" s="33" t="s">
        <v>14</v>
      </c>
      <c r="E6" s="34">
        <f>counta(B8:B154)</f>
        <v>147</v>
      </c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7"/>
      <c r="S6" s="37"/>
      <c r="T6" s="37"/>
      <c r="U6" s="37"/>
      <c r="V6" s="37"/>
      <c r="W6" s="21"/>
      <c r="X6" s="21"/>
      <c r="Y6" s="21"/>
      <c r="Z6" s="21"/>
    </row>
    <row r="7" ht="18.0" customHeight="1">
      <c r="A7" s="38" t="s">
        <v>15</v>
      </c>
      <c r="B7" s="39" t="s">
        <v>16</v>
      </c>
      <c r="C7" s="40" t="s">
        <v>17</v>
      </c>
      <c r="D7" s="41" t="s">
        <v>18</v>
      </c>
      <c r="E7" s="42" t="s">
        <v>19</v>
      </c>
      <c r="F7" s="42" t="s">
        <v>20</v>
      </c>
      <c r="G7" s="41" t="s">
        <v>21</v>
      </c>
      <c r="H7" s="41" t="s">
        <v>22</v>
      </c>
      <c r="I7" s="43" t="s">
        <v>23</v>
      </c>
      <c r="J7" s="44" t="s">
        <v>24</v>
      </c>
      <c r="K7" s="41" t="s">
        <v>25</v>
      </c>
      <c r="L7" s="45" t="s">
        <v>26</v>
      </c>
      <c r="M7" s="46" t="s">
        <v>27</v>
      </c>
      <c r="N7" s="47" t="s">
        <v>28</v>
      </c>
      <c r="O7" s="48" t="s">
        <v>29</v>
      </c>
      <c r="P7" s="49" t="s">
        <v>30</v>
      </c>
      <c r="Q7" s="50"/>
      <c r="R7" s="50"/>
      <c r="S7" s="50"/>
      <c r="T7" s="50"/>
      <c r="U7" s="50" t="s">
        <v>31</v>
      </c>
      <c r="V7" s="50" t="s">
        <v>32</v>
      </c>
      <c r="W7" s="21"/>
      <c r="X7" s="21"/>
      <c r="Y7" s="21"/>
      <c r="Z7" s="21"/>
    </row>
    <row r="8" ht="15.0" customHeight="1">
      <c r="A8" s="51">
        <v>1.0</v>
      </c>
      <c r="B8" s="52" t="str">
        <f t="shared" ref="B8:B154" si="2">$B$1&amp;" #"&amp;$A8&amp;" | R"&amp;C8&amp;" - C"&amp;D8</f>
        <v>Japanse 🍁 Maple 🌿 #1 | R1 - C9</v>
      </c>
      <c r="C8" s="53">
        <v>1.0</v>
      </c>
      <c r="D8" s="53">
        <v>9.0</v>
      </c>
      <c r="E8" s="54" t="s">
        <v>33</v>
      </c>
      <c r="F8" s="54" t="s">
        <v>34</v>
      </c>
      <c r="G8" s="55" t="s">
        <v>35</v>
      </c>
      <c r="H8" s="56" t="str">
        <f t="shared" ref="H8:H154" si="3">IF(AND(ISURL(I8),ISTEXT(G8)),U8,IF(ISURL(I8),"&lt; Choose type","Insert URL ▶"))</f>
        <v>Nicolet</v>
      </c>
      <c r="I8" s="57" t="s">
        <v>36</v>
      </c>
      <c r="J8" s="58"/>
      <c r="K8" s="59" t="b">
        <v>1</v>
      </c>
      <c r="L8" s="53">
        <f t="shared" ref="L8:L46" si="4">IF($I8="",1,0)</f>
        <v>0</v>
      </c>
      <c r="M8" s="53">
        <f t="shared" ref="M8:M46" si="5">IF(AND($I8&lt;&gt;"",$H8="Insert URL ▶"),1,0)</f>
        <v>0</v>
      </c>
      <c r="N8" s="53">
        <f t="shared" ref="N8:N46" si="6">IF(K8=TRUE,0,IF(AND($I8&lt;&gt;"",$H8&lt;&gt;"Insert URL ▶"),1,0))</f>
        <v>0</v>
      </c>
      <c r="O8" s="52" t="str">
        <f t="shared" ref="O8:O40" si="7">IF($N8=1,HYPERLINK($I8&amp;"map/?lat="&amp;$E8&amp;"lon="&amp;$F8&amp;"type="&amp;$G8,"Munzee"),"")</f>
        <v/>
      </c>
      <c r="P8" s="60" t="str">
        <f>IFERROR(__xludf.DUMMYFUNCTION("IF($N8=1,IFERROR(IMPORTXML($I8, ""//p[@class='status-date']""), ""Not Loading""),"""")"),"")</f>
        <v/>
      </c>
      <c r="Q8" s="61"/>
      <c r="R8" s="61"/>
      <c r="S8" s="61" t="str">
        <f>IFERROR(__xludf.DUMMYFUNCTION("IF($N8=1,IFERROR(IMPORTXML($I8, ""//span[@class='deployed-at']""), ""Not Loading""),"""")"),"")</f>
        <v/>
      </c>
      <c r="T8" s="61"/>
      <c r="U8" s="61" t="str">
        <f t="shared" ref="U8:U154" si="8">iferror(mid(I8,26,find("/",I8,26)-26),"")</f>
        <v>Nicolet</v>
      </c>
      <c r="V8" s="62">
        <f>IFERROR(__xludf.DUMMYFUNCTION("iferror(VALUE(left(index(IMPORTXML(I10, ""//div[@class='col-lg-2 user-stat stat-green']""),2,1),len(index(IMPORTXML(I10, ""//div[@class='col-lg-2 user-stat stat-green']""),2,1))-8)),0)"),3.0)</f>
        <v>3</v>
      </c>
      <c r="W8" s="21"/>
      <c r="X8" s="21"/>
      <c r="Y8" s="21"/>
      <c r="Z8" s="21"/>
    </row>
    <row r="9" ht="15.0" customHeight="1">
      <c r="A9" s="51">
        <f t="shared" ref="A9:A154" si="9">1+A8</f>
        <v>2</v>
      </c>
      <c r="B9" s="52" t="str">
        <f t="shared" si="2"/>
        <v>Japanse 🍁 Maple 🌿 #2 | R2 - C8</v>
      </c>
      <c r="C9" s="53">
        <v>2.0</v>
      </c>
      <c r="D9" s="53">
        <v>8.0</v>
      </c>
      <c r="E9" s="54" t="s">
        <v>37</v>
      </c>
      <c r="F9" s="54" t="s">
        <v>38</v>
      </c>
      <c r="G9" s="55" t="s">
        <v>39</v>
      </c>
      <c r="H9" s="56" t="str">
        <f t="shared" si="3"/>
        <v>Kapor24</v>
      </c>
      <c r="I9" s="63" t="s">
        <v>40</v>
      </c>
      <c r="J9" s="64"/>
      <c r="K9" s="59" t="b">
        <v>1</v>
      </c>
      <c r="L9" s="53">
        <f t="shared" si="4"/>
        <v>0</v>
      </c>
      <c r="M9" s="53">
        <f t="shared" si="5"/>
        <v>0</v>
      </c>
      <c r="N9" s="53">
        <f t="shared" si="6"/>
        <v>0</v>
      </c>
      <c r="O9" s="52" t="str">
        <f t="shared" si="7"/>
        <v/>
      </c>
      <c r="P9" s="60" t="str">
        <f>IFERROR(__xludf.DUMMYFUNCTION("IF($N9=1,IFERROR(IMPORTXML($I9, ""//p[@class='status-date']""), ""Not Loading""),"""")"),"")</f>
        <v/>
      </c>
      <c r="Q9" s="65"/>
      <c r="R9" s="65"/>
      <c r="S9" s="65"/>
      <c r="T9" s="65"/>
      <c r="U9" s="61" t="str">
        <f t="shared" si="8"/>
        <v>Kapor24</v>
      </c>
      <c r="V9" s="62">
        <f>IFERROR(__xludf.DUMMYFUNCTION("iferror(VALUE(left(index(IMPORTXML(I11, ""//div[@class='col-lg-2 user-stat stat-green']""),2,1),len(index(IMPORTXML(I11, ""//div[@class='col-lg-2 user-stat stat-green']""),2,1))-8)),0)"),3.0)</f>
        <v>3</v>
      </c>
      <c r="W9" s="21"/>
      <c r="X9" s="21"/>
      <c r="Y9" s="21"/>
      <c r="Z9" s="21"/>
    </row>
    <row r="10" ht="15.0" customHeight="1">
      <c r="A10" s="51">
        <f t="shared" si="9"/>
        <v>3</v>
      </c>
      <c r="B10" s="52" t="str">
        <f t="shared" si="2"/>
        <v>Japanse 🍁 Maple 🌿 #3 | R2 - C9</v>
      </c>
      <c r="C10" s="53">
        <v>2.0</v>
      </c>
      <c r="D10" s="53">
        <v>9.0</v>
      </c>
      <c r="E10" s="54" t="s">
        <v>41</v>
      </c>
      <c r="F10" s="54" t="s">
        <v>42</v>
      </c>
      <c r="G10" s="55" t="s">
        <v>39</v>
      </c>
      <c r="H10" s="56" t="str">
        <f t="shared" si="3"/>
        <v>mathew611</v>
      </c>
      <c r="I10" s="63" t="s">
        <v>43</v>
      </c>
      <c r="J10" s="64"/>
      <c r="K10" s="59" t="b">
        <v>1</v>
      </c>
      <c r="L10" s="53">
        <f t="shared" si="4"/>
        <v>0</v>
      </c>
      <c r="M10" s="53">
        <f t="shared" si="5"/>
        <v>0</v>
      </c>
      <c r="N10" s="53">
        <f t="shared" si="6"/>
        <v>0</v>
      </c>
      <c r="O10" s="52" t="str">
        <f t="shared" si="7"/>
        <v/>
      </c>
      <c r="P10" s="60" t="str">
        <f>IFERROR(__xludf.DUMMYFUNCTION("IF($N10=1,IFERROR(IMPORTXML($I10, ""//p[@class='status-date']""), ""Not Loading""),"""")"),"")</f>
        <v/>
      </c>
      <c r="Q10" s="61"/>
      <c r="R10" s="61"/>
      <c r="S10" s="61"/>
      <c r="T10" s="61"/>
      <c r="U10" s="61" t="str">
        <f t="shared" si="8"/>
        <v>mathew611</v>
      </c>
      <c r="V10" s="62">
        <f>IFERROR(__xludf.DUMMYFUNCTION("iferror(VALUE(left(index(IMPORTXML(I12, ""//div[@class='col-lg-2 user-stat stat-green']""),2,1),len(index(IMPORTXML(I12, ""//div[@class='col-lg-2 user-stat stat-green']""),2,1))-8)),0)"),2.0)</f>
        <v>2</v>
      </c>
      <c r="W10" s="21"/>
      <c r="X10" s="21"/>
      <c r="Y10" s="21"/>
      <c r="Z10" s="21"/>
    </row>
    <row r="11" ht="15.0" customHeight="1">
      <c r="A11" s="51">
        <f t="shared" si="9"/>
        <v>4</v>
      </c>
      <c r="B11" s="52" t="str">
        <f t="shared" si="2"/>
        <v>Japanse 🍁 Maple 🌿 #4 | R3 - C8</v>
      </c>
      <c r="C11" s="53">
        <v>3.0</v>
      </c>
      <c r="D11" s="53">
        <v>8.0</v>
      </c>
      <c r="E11" s="54" t="s">
        <v>44</v>
      </c>
      <c r="F11" s="54" t="s">
        <v>45</v>
      </c>
      <c r="G11" s="55" t="s">
        <v>46</v>
      </c>
      <c r="H11" s="56" t="str">
        <f t="shared" si="3"/>
        <v>Rikitan</v>
      </c>
      <c r="I11" s="57" t="s">
        <v>47</v>
      </c>
      <c r="J11" s="64"/>
      <c r="K11" s="59" t="b">
        <v>1</v>
      </c>
      <c r="L11" s="53">
        <f t="shared" si="4"/>
        <v>0</v>
      </c>
      <c r="M11" s="53">
        <f t="shared" si="5"/>
        <v>0</v>
      </c>
      <c r="N11" s="53">
        <f t="shared" si="6"/>
        <v>0</v>
      </c>
      <c r="O11" s="52" t="str">
        <f t="shared" si="7"/>
        <v/>
      </c>
      <c r="P11" s="60" t="str">
        <f>IFERROR(__xludf.DUMMYFUNCTION("IF($N11=1,IFERROR(IMPORTXML($I11, ""//p[@class='status-date']""), ""Not Loading""),"""")"),"")</f>
        <v/>
      </c>
      <c r="Q11" s="65"/>
      <c r="R11" s="65"/>
      <c r="S11" s="65"/>
      <c r="T11" s="65"/>
      <c r="U11" s="61" t="str">
        <f t="shared" si="8"/>
        <v>Rikitan</v>
      </c>
      <c r="V11" s="62">
        <f>IFERROR(__xludf.DUMMYFUNCTION("iferror(VALUE(left(index(IMPORTXML(I13, ""//div[@class='col-lg-2 user-stat stat-green']""),2,1),len(index(IMPORTXML(I13, ""//div[@class='col-lg-2 user-stat stat-green']""),2,1))-8)),0)"),3.0)</f>
        <v>3</v>
      </c>
      <c r="W11" s="21"/>
      <c r="X11" s="21"/>
      <c r="Y11" s="21"/>
      <c r="Z11" s="21"/>
    </row>
    <row r="12" ht="15.0" customHeight="1">
      <c r="A12" s="51">
        <f t="shared" si="9"/>
        <v>5</v>
      </c>
      <c r="B12" s="52" t="str">
        <f t="shared" si="2"/>
        <v>Japanse 🍁 Maple 🌿 #5 | R3 - C9</v>
      </c>
      <c r="C12" s="53">
        <v>3.0</v>
      </c>
      <c r="D12" s="53">
        <v>9.0</v>
      </c>
      <c r="E12" s="54" t="s">
        <v>48</v>
      </c>
      <c r="F12" s="54" t="s">
        <v>49</v>
      </c>
      <c r="G12" s="55" t="s">
        <v>50</v>
      </c>
      <c r="H12" s="56" t="str">
        <f t="shared" si="3"/>
        <v>Neloras</v>
      </c>
      <c r="I12" s="63" t="s">
        <v>51</v>
      </c>
      <c r="J12" s="64"/>
      <c r="K12" s="59" t="b">
        <v>1</v>
      </c>
      <c r="L12" s="53">
        <f t="shared" si="4"/>
        <v>0</v>
      </c>
      <c r="M12" s="53">
        <f t="shared" si="5"/>
        <v>0</v>
      </c>
      <c r="N12" s="53">
        <f t="shared" si="6"/>
        <v>0</v>
      </c>
      <c r="O12" s="52" t="str">
        <f t="shared" si="7"/>
        <v/>
      </c>
      <c r="P12" s="60" t="str">
        <f>IFERROR(__xludf.DUMMYFUNCTION("IF($N12=1,IFERROR(IMPORTXML($I12, ""//p[@class='status-date']""), ""Not Loading""),"""")"),"")</f>
        <v/>
      </c>
      <c r="Q12" s="61"/>
      <c r="R12" s="61"/>
      <c r="S12" s="61"/>
      <c r="T12" s="61"/>
      <c r="U12" s="61" t="str">
        <f t="shared" si="8"/>
        <v>Neloras</v>
      </c>
      <c r="V12" s="62">
        <f>IFERROR(__xludf.DUMMYFUNCTION("iferror(VALUE(left(index(IMPORTXML(I14, ""//div[@class='col-lg-2 user-stat stat-green']""),2,1),len(index(IMPORTXML(I14, ""//div[@class='col-lg-2 user-stat stat-green']""),2,1))-8)),0)"),3.0)</f>
        <v>3</v>
      </c>
      <c r="W12" s="21"/>
      <c r="X12" s="21"/>
      <c r="Y12" s="21"/>
      <c r="Z12" s="21"/>
    </row>
    <row r="13" ht="15.0" customHeight="1">
      <c r="A13" s="51">
        <f t="shared" si="9"/>
        <v>6</v>
      </c>
      <c r="B13" s="52" t="str">
        <f t="shared" si="2"/>
        <v>Japanse 🍁 Maple 🌿 #6 | R3 - C10</v>
      </c>
      <c r="C13" s="53">
        <v>3.0</v>
      </c>
      <c r="D13" s="53">
        <v>10.0</v>
      </c>
      <c r="E13" s="54" t="s">
        <v>52</v>
      </c>
      <c r="F13" s="54" t="s">
        <v>53</v>
      </c>
      <c r="G13" s="55" t="s">
        <v>46</v>
      </c>
      <c r="H13" s="56" t="str">
        <f t="shared" si="3"/>
        <v>and2470</v>
      </c>
      <c r="I13" s="63" t="s">
        <v>54</v>
      </c>
      <c r="J13" s="64"/>
      <c r="K13" s="59" t="b">
        <v>1</v>
      </c>
      <c r="L13" s="53">
        <f t="shared" si="4"/>
        <v>0</v>
      </c>
      <c r="M13" s="53">
        <f t="shared" si="5"/>
        <v>0</v>
      </c>
      <c r="N13" s="53">
        <f t="shared" si="6"/>
        <v>0</v>
      </c>
      <c r="O13" s="52" t="str">
        <f t="shared" si="7"/>
        <v/>
      </c>
      <c r="P13" s="60" t="str">
        <f>IFERROR(__xludf.DUMMYFUNCTION("IF($N13=1,IFERROR(IMPORTXML($I13, ""//p[@class='status-date']""), ""Not Loading""),"""")"),"")</f>
        <v/>
      </c>
      <c r="Q13" s="65"/>
      <c r="R13" s="65"/>
      <c r="S13" s="65"/>
      <c r="T13" s="65"/>
      <c r="U13" s="61" t="str">
        <f t="shared" si="8"/>
        <v>and2470</v>
      </c>
      <c r="V13" s="62">
        <f>IFERROR(__xludf.DUMMYFUNCTION("iferror(VALUE(left(index(IMPORTXML(I15, ""//div[@class='col-lg-2 user-stat stat-green']""),2,1),len(index(IMPORTXML(I15, ""//div[@class='col-lg-2 user-stat stat-green']""),2,1))-8)),0)"),8.0)</f>
        <v>8</v>
      </c>
      <c r="W13" s="21"/>
      <c r="X13" s="21"/>
      <c r="Y13" s="21"/>
      <c r="Z13" s="21"/>
    </row>
    <row r="14" ht="15.0" customHeight="1">
      <c r="A14" s="51">
        <f t="shared" si="9"/>
        <v>7</v>
      </c>
      <c r="B14" s="52" t="str">
        <f t="shared" si="2"/>
        <v>Japanse 🍁 Maple 🌿 #7 | R4 - C7</v>
      </c>
      <c r="C14" s="53">
        <v>4.0</v>
      </c>
      <c r="D14" s="53">
        <v>7.0</v>
      </c>
      <c r="E14" s="54" t="s">
        <v>55</v>
      </c>
      <c r="F14" s="54" t="s">
        <v>56</v>
      </c>
      <c r="G14" s="55" t="s">
        <v>39</v>
      </c>
      <c r="H14" s="56" t="str">
        <f t="shared" si="3"/>
        <v>5Star</v>
      </c>
      <c r="I14" s="63" t="s">
        <v>57</v>
      </c>
      <c r="J14" s="64"/>
      <c r="K14" s="59" t="b">
        <v>1</v>
      </c>
      <c r="L14" s="53">
        <f t="shared" si="4"/>
        <v>0</v>
      </c>
      <c r="M14" s="53">
        <f t="shared" si="5"/>
        <v>0</v>
      </c>
      <c r="N14" s="53">
        <f t="shared" si="6"/>
        <v>0</v>
      </c>
      <c r="O14" s="52" t="str">
        <f t="shared" si="7"/>
        <v/>
      </c>
      <c r="P14" s="60" t="str">
        <f>IFERROR(__xludf.DUMMYFUNCTION("IF($N14=1,IFERROR(IMPORTXML($I14, ""//p[@class='status-date']""), ""Not Loading""),"""")"),"")</f>
        <v/>
      </c>
      <c r="Q14" s="61"/>
      <c r="R14" s="61"/>
      <c r="S14" s="61"/>
      <c r="T14" s="61"/>
      <c r="U14" s="61" t="str">
        <f t="shared" si="8"/>
        <v>5Star</v>
      </c>
      <c r="V14" s="62">
        <f>IFERROR(__xludf.DUMMYFUNCTION("iferror(VALUE(left(index(IMPORTXML(I16, ""//div[@class='col-lg-2 user-stat stat-green']""),2,1),len(index(IMPORTXML(I16, ""//div[@class='col-lg-2 user-stat stat-green']""),2,1))-8)),0)"),0.0)</f>
        <v>0</v>
      </c>
      <c r="W14" s="21"/>
      <c r="X14" s="21"/>
      <c r="Y14" s="21"/>
      <c r="Z14" s="21"/>
    </row>
    <row r="15" ht="15.0" customHeight="1">
      <c r="A15" s="51">
        <f t="shared" si="9"/>
        <v>8</v>
      </c>
      <c r="B15" s="52" t="str">
        <f t="shared" si="2"/>
        <v>Japanse 🍁 Maple 🌿 #8 | R4 - C8</v>
      </c>
      <c r="C15" s="53">
        <v>4.0</v>
      </c>
      <c r="D15" s="53">
        <v>8.0</v>
      </c>
      <c r="E15" s="54" t="s">
        <v>58</v>
      </c>
      <c r="F15" s="54" t="s">
        <v>59</v>
      </c>
      <c r="G15" s="55" t="s">
        <v>60</v>
      </c>
      <c r="H15" s="56" t="str">
        <f t="shared" si="3"/>
        <v>Charonovci</v>
      </c>
      <c r="I15" s="63" t="s">
        <v>61</v>
      </c>
      <c r="J15" s="64"/>
      <c r="K15" s="59" t="b">
        <v>1</v>
      </c>
      <c r="L15" s="53">
        <f t="shared" si="4"/>
        <v>0</v>
      </c>
      <c r="M15" s="53">
        <f t="shared" si="5"/>
        <v>0</v>
      </c>
      <c r="N15" s="53">
        <f t="shared" si="6"/>
        <v>0</v>
      </c>
      <c r="O15" s="52" t="str">
        <f t="shared" si="7"/>
        <v/>
      </c>
      <c r="P15" s="60" t="str">
        <f>IFERROR(__xludf.DUMMYFUNCTION("IF($N15=1,IFERROR(IMPORTXML($I15, ""//p[@class='status-date']""), ""Not Loading""),"""")"),"")</f>
        <v/>
      </c>
      <c r="Q15" s="65"/>
      <c r="R15" s="65"/>
      <c r="S15" s="65"/>
      <c r="T15" s="65"/>
      <c r="U15" s="61" t="str">
        <f t="shared" si="8"/>
        <v>Charonovci</v>
      </c>
      <c r="V15" s="62">
        <f>IFERROR(__xludf.DUMMYFUNCTION("iferror(VALUE(left(index(IMPORTXML(I17, ""//div[@class='col-lg-2 user-stat stat-green']""),2,1),len(index(IMPORTXML(I17, ""//div[@class='col-lg-2 user-stat stat-green']""),2,1))-8)),0)"),3.0)</f>
        <v>3</v>
      </c>
      <c r="W15" s="21"/>
      <c r="X15" s="21"/>
      <c r="Y15" s="21"/>
      <c r="Z15" s="21"/>
    </row>
    <row r="16" ht="15.0" customHeight="1">
      <c r="A16" s="51">
        <f t="shared" si="9"/>
        <v>9</v>
      </c>
      <c r="B16" s="52" t="str">
        <f t="shared" si="2"/>
        <v>Japanse 🍁 Maple 🌿 #9 | R4 - C9</v>
      </c>
      <c r="C16" s="53">
        <v>4.0</v>
      </c>
      <c r="D16" s="53">
        <v>9.0</v>
      </c>
      <c r="E16" s="54" t="s">
        <v>62</v>
      </c>
      <c r="F16" s="54" t="s">
        <v>63</v>
      </c>
      <c r="G16" s="55" t="s">
        <v>64</v>
      </c>
      <c r="H16" s="56" t="str">
        <f t="shared" si="3"/>
        <v>Mon4ikaCriss</v>
      </c>
      <c r="I16" s="63" t="s">
        <v>65</v>
      </c>
      <c r="J16" s="64"/>
      <c r="K16" s="59" t="b">
        <v>1</v>
      </c>
      <c r="L16" s="53">
        <f t="shared" si="4"/>
        <v>0</v>
      </c>
      <c r="M16" s="53">
        <f t="shared" si="5"/>
        <v>0</v>
      </c>
      <c r="N16" s="53">
        <f t="shared" si="6"/>
        <v>0</v>
      </c>
      <c r="O16" s="52" t="str">
        <f t="shared" si="7"/>
        <v/>
      </c>
      <c r="P16" s="60" t="str">
        <f>IFERROR(__xludf.DUMMYFUNCTION("IF($N16=1,IFERROR(IMPORTXML($I16, ""//p[@class='status-date']""), ""Not Loading""),"""")"),"")</f>
        <v/>
      </c>
      <c r="Q16" s="61"/>
      <c r="R16" s="61"/>
      <c r="S16" s="61"/>
      <c r="T16" s="61"/>
      <c r="U16" s="61" t="str">
        <f t="shared" si="8"/>
        <v>Mon4ikaCriss</v>
      </c>
      <c r="V16" s="62">
        <f>IFERROR(__xludf.DUMMYFUNCTION("iferror(VALUE(left(index(IMPORTXML(I18, ""//div[@class='col-lg-2 user-stat stat-green']""),2,1),len(index(IMPORTXML(I18, ""//div[@class='col-lg-2 user-stat stat-green']""),2,1))-8)),0)"),3.0)</f>
        <v>3</v>
      </c>
      <c r="W16" s="21"/>
      <c r="X16" s="21"/>
      <c r="Y16" s="21"/>
      <c r="Z16" s="21"/>
    </row>
    <row r="17" ht="15.0" customHeight="1">
      <c r="A17" s="51">
        <f t="shared" si="9"/>
        <v>10</v>
      </c>
      <c r="B17" s="52" t="str">
        <f t="shared" si="2"/>
        <v>Japanse 🍁 Maple 🌿 #10 | R4 - C10</v>
      </c>
      <c r="C17" s="53">
        <v>4.0</v>
      </c>
      <c r="D17" s="53">
        <v>10.0</v>
      </c>
      <c r="E17" s="54" t="s">
        <v>66</v>
      </c>
      <c r="F17" s="54" t="s">
        <v>67</v>
      </c>
      <c r="G17" s="55" t="s">
        <v>39</v>
      </c>
      <c r="H17" s="56" t="str">
        <f t="shared" si="3"/>
        <v>TheEvilPoles</v>
      </c>
      <c r="I17" s="63" t="s">
        <v>68</v>
      </c>
      <c r="J17" s="64"/>
      <c r="K17" s="59" t="b">
        <v>1</v>
      </c>
      <c r="L17" s="53">
        <f t="shared" si="4"/>
        <v>0</v>
      </c>
      <c r="M17" s="53">
        <f t="shared" si="5"/>
        <v>0</v>
      </c>
      <c r="N17" s="53">
        <f t="shared" si="6"/>
        <v>0</v>
      </c>
      <c r="O17" s="52" t="str">
        <f t="shared" si="7"/>
        <v/>
      </c>
      <c r="P17" s="60" t="str">
        <f>IFERROR(__xludf.DUMMYFUNCTION("IF($N17=1,IFERROR(IMPORTXML($I17, ""//p[@class='status-date']""), ""Not Loading""),"""")"),"")</f>
        <v/>
      </c>
      <c r="Q17" s="65"/>
      <c r="R17" s="65"/>
      <c r="S17" s="65"/>
      <c r="T17" s="65"/>
      <c r="U17" s="61" t="str">
        <f t="shared" si="8"/>
        <v>TheEvilPoles</v>
      </c>
      <c r="V17" s="62">
        <f>IFERROR(__xludf.DUMMYFUNCTION("iferror(VALUE(left(index(IMPORTXML(I19, ""//div[@class='col-lg-2 user-stat stat-green']""),2,1),len(index(IMPORTXML(I19, ""//div[@class='col-lg-2 user-stat stat-green']""),2,1))-8)),0)"),7.0)</f>
        <v>7</v>
      </c>
      <c r="W17" s="21"/>
      <c r="X17" s="21"/>
      <c r="Y17" s="21"/>
      <c r="Z17" s="21"/>
    </row>
    <row r="18" ht="15.0" customHeight="1">
      <c r="A18" s="51">
        <f t="shared" si="9"/>
        <v>11</v>
      </c>
      <c r="B18" s="52" t="str">
        <f t="shared" si="2"/>
        <v>Japanse 🍁 Maple 🌿 #11 | R5 - C7</v>
      </c>
      <c r="C18" s="53">
        <v>5.0</v>
      </c>
      <c r="D18" s="53">
        <v>7.0</v>
      </c>
      <c r="E18" s="54" t="s">
        <v>69</v>
      </c>
      <c r="F18" s="54" t="s">
        <v>70</v>
      </c>
      <c r="G18" s="55" t="s">
        <v>46</v>
      </c>
      <c r="H18" s="56" t="str">
        <f t="shared" si="3"/>
        <v>Kapor24</v>
      </c>
      <c r="I18" s="63" t="s">
        <v>71</v>
      </c>
      <c r="J18" s="64"/>
      <c r="K18" s="59" t="b">
        <v>1</v>
      </c>
      <c r="L18" s="53">
        <f t="shared" si="4"/>
        <v>0</v>
      </c>
      <c r="M18" s="53">
        <f t="shared" si="5"/>
        <v>0</v>
      </c>
      <c r="N18" s="53">
        <f t="shared" si="6"/>
        <v>0</v>
      </c>
      <c r="O18" s="52" t="str">
        <f t="shared" si="7"/>
        <v/>
      </c>
      <c r="P18" s="60" t="str">
        <f>IFERROR(__xludf.DUMMYFUNCTION("IF($N18=1,IFERROR(IMPORTXML($I18, ""//p[@class='status-date']""), ""Not Loading""),"""")"),"")</f>
        <v/>
      </c>
      <c r="Q18" s="61"/>
      <c r="R18" s="61"/>
      <c r="S18" s="61"/>
      <c r="T18" s="61"/>
      <c r="U18" s="61" t="str">
        <f t="shared" si="8"/>
        <v>Kapor24</v>
      </c>
      <c r="V18" s="62">
        <f>IFERROR(__xludf.DUMMYFUNCTION("iferror(VALUE(left(index(IMPORTXML(I20, ""//div[@class='col-lg-2 user-stat stat-green']""),2,1),len(index(IMPORTXML(I20, ""//div[@class='col-lg-2 user-stat stat-green']""),2,1))-8)),0)"),2.0)</f>
        <v>2</v>
      </c>
      <c r="W18" s="21"/>
      <c r="X18" s="21"/>
      <c r="Y18" s="21"/>
      <c r="Z18" s="21"/>
    </row>
    <row r="19" ht="15.0" customHeight="1">
      <c r="A19" s="51">
        <f t="shared" si="9"/>
        <v>12</v>
      </c>
      <c r="B19" s="52" t="str">
        <f t="shared" si="2"/>
        <v>Japanse 🍁 Maple 🌿 #12 | R5 - C8</v>
      </c>
      <c r="C19" s="53">
        <v>5.0</v>
      </c>
      <c r="D19" s="53">
        <v>8.0</v>
      </c>
      <c r="E19" s="54" t="s">
        <v>72</v>
      </c>
      <c r="F19" s="54" t="s">
        <v>73</v>
      </c>
      <c r="G19" s="55" t="s">
        <v>60</v>
      </c>
      <c r="H19" s="56" t="str">
        <f t="shared" si="3"/>
        <v>mathew611</v>
      </c>
      <c r="I19" s="63" t="s">
        <v>74</v>
      </c>
      <c r="J19" s="64"/>
      <c r="K19" s="59" t="b">
        <v>1</v>
      </c>
      <c r="L19" s="53">
        <f t="shared" si="4"/>
        <v>0</v>
      </c>
      <c r="M19" s="53">
        <f t="shared" si="5"/>
        <v>0</v>
      </c>
      <c r="N19" s="53">
        <f t="shared" si="6"/>
        <v>0</v>
      </c>
      <c r="O19" s="52" t="str">
        <f t="shared" si="7"/>
        <v/>
      </c>
      <c r="P19" s="60" t="str">
        <f>IFERROR(__xludf.DUMMYFUNCTION("IF($N19=1,IFERROR(IMPORTXML($I19, ""//p[@class='status-date']""), ""Not Loading""),"""")"),"")</f>
        <v/>
      </c>
      <c r="Q19" s="65"/>
      <c r="R19" s="65"/>
      <c r="S19" s="65"/>
      <c r="T19" s="65"/>
      <c r="U19" s="61" t="str">
        <f t="shared" si="8"/>
        <v>mathew611</v>
      </c>
      <c r="V19" s="62">
        <f>IFERROR(__xludf.DUMMYFUNCTION("iferror(VALUE(left(index(IMPORTXML(I21, ""//div[@class='col-lg-2 user-stat stat-green']""),2,1),len(index(IMPORTXML(I21, ""//div[@class='col-lg-2 user-stat stat-green']""),2,1))-8)),0)"),9.0)</f>
        <v>9</v>
      </c>
      <c r="W19" s="21"/>
      <c r="X19" s="21"/>
      <c r="Y19" s="21"/>
      <c r="Z19" s="21"/>
    </row>
    <row r="20" ht="15.0" customHeight="1">
      <c r="A20" s="51">
        <f t="shared" si="9"/>
        <v>13</v>
      </c>
      <c r="B20" s="52" t="str">
        <f t="shared" si="2"/>
        <v>Japanse 🍁 Maple 🌿 #13 | R5 - C9</v>
      </c>
      <c r="C20" s="53">
        <v>5.0</v>
      </c>
      <c r="D20" s="53">
        <v>9.0</v>
      </c>
      <c r="E20" s="54" t="s">
        <v>75</v>
      </c>
      <c r="F20" s="54" t="s">
        <v>76</v>
      </c>
      <c r="G20" s="55" t="s">
        <v>77</v>
      </c>
      <c r="H20" s="56" t="str">
        <f t="shared" si="3"/>
        <v>Nicolet</v>
      </c>
      <c r="I20" s="63" t="s">
        <v>78</v>
      </c>
      <c r="J20" s="58"/>
      <c r="K20" s="59" t="b">
        <v>1</v>
      </c>
      <c r="L20" s="53">
        <f t="shared" si="4"/>
        <v>0</v>
      </c>
      <c r="M20" s="53">
        <f t="shared" si="5"/>
        <v>0</v>
      </c>
      <c r="N20" s="53">
        <f t="shared" si="6"/>
        <v>0</v>
      </c>
      <c r="O20" s="52" t="str">
        <f t="shared" si="7"/>
        <v/>
      </c>
      <c r="P20" s="60" t="str">
        <f>IFERROR(__xludf.DUMMYFUNCTION("IF($N20=1,IFERROR(IMPORTXML($I20, ""//p[@class='status-date']""), ""Not Loading""),"""")"),"")</f>
        <v/>
      </c>
      <c r="Q20" s="61"/>
      <c r="R20" s="61"/>
      <c r="S20" s="61"/>
      <c r="T20" s="61"/>
      <c r="U20" s="61" t="str">
        <f t="shared" si="8"/>
        <v>Nicolet</v>
      </c>
      <c r="V20" s="62">
        <f>IFERROR(__xludf.DUMMYFUNCTION("iferror(VALUE(left(index(IMPORTXML(I22, ""//div[@class='col-lg-2 user-stat stat-green']""),2,1),len(index(IMPORTXML(I22, ""//div[@class='col-lg-2 user-stat stat-green']""),2,1))-8)),0)"),3.0)</f>
        <v>3</v>
      </c>
      <c r="W20" s="21"/>
      <c r="X20" s="21"/>
      <c r="Y20" s="21"/>
      <c r="Z20" s="21"/>
    </row>
    <row r="21" ht="15.0" customHeight="1">
      <c r="A21" s="51">
        <f t="shared" si="9"/>
        <v>14</v>
      </c>
      <c r="B21" s="52" t="str">
        <f t="shared" si="2"/>
        <v>Japanse 🍁 Maple 🌿 #14 | R5 - C10</v>
      </c>
      <c r="C21" s="53">
        <v>5.0</v>
      </c>
      <c r="D21" s="53">
        <v>10.0</v>
      </c>
      <c r="E21" s="54" t="s">
        <v>79</v>
      </c>
      <c r="F21" s="54" t="s">
        <v>80</v>
      </c>
      <c r="G21" s="55" t="s">
        <v>64</v>
      </c>
      <c r="H21" s="56" t="str">
        <f t="shared" si="3"/>
        <v>Kapor24</v>
      </c>
      <c r="I21" s="63" t="s">
        <v>81</v>
      </c>
      <c r="J21" s="64"/>
      <c r="K21" s="59" t="b">
        <v>1</v>
      </c>
      <c r="L21" s="53">
        <f t="shared" si="4"/>
        <v>0</v>
      </c>
      <c r="M21" s="53">
        <f t="shared" si="5"/>
        <v>0</v>
      </c>
      <c r="N21" s="53">
        <f t="shared" si="6"/>
        <v>0</v>
      </c>
      <c r="O21" s="52" t="str">
        <f t="shared" si="7"/>
        <v/>
      </c>
      <c r="P21" s="60" t="str">
        <f>IFERROR(__xludf.DUMMYFUNCTION("IF($N21=1,IFERROR(IMPORTXML($I21, ""//p[@class='status-date']""), ""Not Loading""),"""")"),"")</f>
        <v/>
      </c>
      <c r="Q21" s="65"/>
      <c r="R21" s="65"/>
      <c r="S21" s="65"/>
      <c r="T21" s="65"/>
      <c r="U21" s="61" t="str">
        <f t="shared" si="8"/>
        <v>Kapor24</v>
      </c>
      <c r="V21" s="62">
        <f>IFERROR(__xludf.DUMMYFUNCTION("iferror(VALUE(left(index(IMPORTXML(I23, ""//div[@class='col-lg-2 user-stat stat-green']""),2,1),len(index(IMPORTXML(I23, ""//div[@class='col-lg-2 user-stat stat-green']""),2,1))-8)),0)"),3.0)</f>
        <v>3</v>
      </c>
      <c r="W21" s="21"/>
      <c r="X21" s="21"/>
      <c r="Y21" s="21"/>
      <c r="Z21" s="21"/>
    </row>
    <row r="22" ht="15.0" customHeight="1">
      <c r="A22" s="51">
        <f t="shared" si="9"/>
        <v>15</v>
      </c>
      <c r="B22" s="52" t="str">
        <f t="shared" si="2"/>
        <v>Japanse 🍁 Maple 🌿 #15 | R5 - C11</v>
      </c>
      <c r="C22" s="53">
        <v>5.0</v>
      </c>
      <c r="D22" s="53">
        <v>11.0</v>
      </c>
      <c r="E22" s="54" t="s">
        <v>82</v>
      </c>
      <c r="F22" s="54" t="s">
        <v>83</v>
      </c>
      <c r="G22" s="55" t="s">
        <v>46</v>
      </c>
      <c r="H22" s="56" t="str">
        <f t="shared" si="3"/>
        <v>mathew611</v>
      </c>
      <c r="I22" s="63" t="s">
        <v>84</v>
      </c>
      <c r="J22" s="64"/>
      <c r="K22" s="59" t="b">
        <v>1</v>
      </c>
      <c r="L22" s="53">
        <f t="shared" si="4"/>
        <v>0</v>
      </c>
      <c r="M22" s="53">
        <f t="shared" si="5"/>
        <v>0</v>
      </c>
      <c r="N22" s="53">
        <f t="shared" si="6"/>
        <v>0</v>
      </c>
      <c r="O22" s="52" t="str">
        <f t="shared" si="7"/>
        <v/>
      </c>
      <c r="P22" s="60" t="str">
        <f>IFERROR(__xludf.DUMMYFUNCTION("IF($N22=1,IFERROR(IMPORTXML($I22, ""//p[@class='status-date']""), ""Not Loading""),"""")"),"")</f>
        <v/>
      </c>
      <c r="Q22" s="61"/>
      <c r="R22" s="61"/>
      <c r="S22" s="61"/>
      <c r="T22" s="61"/>
      <c r="U22" s="61" t="str">
        <f t="shared" si="8"/>
        <v>mathew611</v>
      </c>
      <c r="V22" s="62">
        <f>IFERROR(__xludf.DUMMYFUNCTION("iferror(VALUE(left(index(IMPORTXML(I24, ""//div[@class='col-lg-2 user-stat stat-green']""),2,1),len(index(IMPORTXML(I24, ""//div[@class='col-lg-2 user-stat stat-green']""),2,1))-8)),0)"),7.0)</f>
        <v>7</v>
      </c>
      <c r="W22" s="21"/>
      <c r="X22" s="21"/>
      <c r="Y22" s="21"/>
      <c r="Z22" s="21"/>
    </row>
    <row r="23" ht="15.0" customHeight="1">
      <c r="A23" s="51">
        <f t="shared" si="9"/>
        <v>16</v>
      </c>
      <c r="B23" s="52" t="str">
        <f t="shared" si="2"/>
        <v>Japanse 🍁 Maple 🌿 #16 | R6 - C6</v>
      </c>
      <c r="C23" s="53">
        <v>6.0</v>
      </c>
      <c r="D23" s="53">
        <v>6.0</v>
      </c>
      <c r="E23" s="54" t="s">
        <v>85</v>
      </c>
      <c r="F23" s="54" t="s">
        <v>86</v>
      </c>
      <c r="G23" s="55" t="s">
        <v>39</v>
      </c>
      <c r="H23" s="56" t="str">
        <f t="shared" si="3"/>
        <v>EeveeFox</v>
      </c>
      <c r="I23" s="63" t="s">
        <v>87</v>
      </c>
      <c r="J23" s="64"/>
      <c r="K23" s="59" t="b">
        <v>1</v>
      </c>
      <c r="L23" s="53">
        <f t="shared" si="4"/>
        <v>0</v>
      </c>
      <c r="M23" s="53">
        <f t="shared" si="5"/>
        <v>0</v>
      </c>
      <c r="N23" s="53">
        <f t="shared" si="6"/>
        <v>0</v>
      </c>
      <c r="O23" s="52" t="str">
        <f t="shared" si="7"/>
        <v/>
      </c>
      <c r="P23" s="60" t="str">
        <f>IFERROR(__xludf.DUMMYFUNCTION("IF($N23=1,IFERROR(IMPORTXML($I23, ""//p[@class='status-date']""), ""Not Loading""),"""")"),"")</f>
        <v/>
      </c>
      <c r="Q23" s="65"/>
      <c r="R23" s="65"/>
      <c r="S23" s="65"/>
      <c r="T23" s="65"/>
      <c r="U23" s="61" t="str">
        <f t="shared" si="8"/>
        <v>EeveeFox</v>
      </c>
      <c r="V23" s="62">
        <f>IFERROR(__xludf.DUMMYFUNCTION("iferror(VALUE(left(index(IMPORTXML(I25, ""//div[@class='col-lg-2 user-stat stat-green']""),2,1),len(index(IMPORTXML(I25, ""//div[@class='col-lg-2 user-stat stat-green']""),2,1))-8)),0)"),9.0)</f>
        <v>9</v>
      </c>
      <c r="W23" s="21"/>
      <c r="X23" s="21"/>
      <c r="Y23" s="21"/>
      <c r="Z23" s="21"/>
    </row>
    <row r="24" ht="15.0" customHeight="1">
      <c r="A24" s="51">
        <f t="shared" si="9"/>
        <v>17</v>
      </c>
      <c r="B24" s="52" t="str">
        <f t="shared" si="2"/>
        <v>Japanse 🍁 Maple 🌿 #17 | R6 - C7</v>
      </c>
      <c r="C24" s="53">
        <v>6.0</v>
      </c>
      <c r="D24" s="53">
        <v>7.0</v>
      </c>
      <c r="E24" s="54" t="s">
        <v>88</v>
      </c>
      <c r="F24" s="54" t="s">
        <v>89</v>
      </c>
      <c r="G24" s="55" t="s">
        <v>60</v>
      </c>
      <c r="H24" s="56" t="str">
        <f t="shared" si="3"/>
        <v>Neloras</v>
      </c>
      <c r="I24" s="63" t="s">
        <v>90</v>
      </c>
      <c r="J24" s="64"/>
      <c r="K24" s="59" t="b">
        <v>1</v>
      </c>
      <c r="L24" s="53">
        <f t="shared" si="4"/>
        <v>0</v>
      </c>
      <c r="M24" s="53">
        <f t="shared" si="5"/>
        <v>0</v>
      </c>
      <c r="N24" s="53">
        <f t="shared" si="6"/>
        <v>0</v>
      </c>
      <c r="O24" s="52" t="str">
        <f t="shared" si="7"/>
        <v/>
      </c>
      <c r="P24" s="60" t="str">
        <f>IFERROR(__xludf.DUMMYFUNCTION("IF($N24=1,IFERROR(IMPORTXML($I24, ""//p[@class='status-date']""), ""Not Loading""),"""")"),"")</f>
        <v/>
      </c>
      <c r="Q24" s="61"/>
      <c r="R24" s="61"/>
      <c r="S24" s="61"/>
      <c r="T24" s="61"/>
      <c r="U24" s="61" t="str">
        <f t="shared" si="8"/>
        <v>Neloras</v>
      </c>
      <c r="V24" s="62">
        <f>IFERROR(__xludf.DUMMYFUNCTION("iferror(VALUE(left(index(IMPORTXML(I26, ""//div[@class='col-lg-2 user-stat stat-green']""),2,1),len(index(IMPORTXML(I26, ""//div[@class='col-lg-2 user-stat stat-green']""),2,1))-8)),0)"),9.0)</f>
        <v>9</v>
      </c>
      <c r="W24" s="21"/>
      <c r="X24" s="21"/>
      <c r="Y24" s="21"/>
      <c r="Z24" s="21"/>
    </row>
    <row r="25" ht="15.0" customHeight="1">
      <c r="A25" s="51">
        <f t="shared" si="9"/>
        <v>18</v>
      </c>
      <c r="B25" s="52" t="str">
        <f t="shared" si="2"/>
        <v>Japanse 🍁 Maple 🌿 #18 | R6 - C8</v>
      </c>
      <c r="C25" s="53">
        <v>6.0</v>
      </c>
      <c r="D25" s="53">
        <v>8.0</v>
      </c>
      <c r="E25" s="54" t="s">
        <v>91</v>
      </c>
      <c r="F25" s="54" t="s">
        <v>92</v>
      </c>
      <c r="G25" s="55" t="s">
        <v>60</v>
      </c>
      <c r="H25" s="56" t="str">
        <f t="shared" si="3"/>
        <v>Adushka</v>
      </c>
      <c r="I25" s="57" t="s">
        <v>93</v>
      </c>
      <c r="J25" s="64"/>
      <c r="K25" s="59" t="b">
        <v>1</v>
      </c>
      <c r="L25" s="53">
        <f t="shared" si="4"/>
        <v>0</v>
      </c>
      <c r="M25" s="53">
        <f t="shared" si="5"/>
        <v>0</v>
      </c>
      <c r="N25" s="53">
        <f t="shared" si="6"/>
        <v>0</v>
      </c>
      <c r="O25" s="52" t="str">
        <f t="shared" si="7"/>
        <v/>
      </c>
      <c r="P25" s="60" t="str">
        <f>IFERROR(__xludf.DUMMYFUNCTION("IF($N25=1,IFERROR(IMPORTXML($I25, ""//p[@class='status-date']""), ""Not Loading""),"""")"),"")</f>
        <v/>
      </c>
      <c r="Q25" s="65"/>
      <c r="R25" s="65"/>
      <c r="S25" s="65"/>
      <c r="T25" s="65"/>
      <c r="U25" s="61" t="str">
        <f t="shared" si="8"/>
        <v>Adushka</v>
      </c>
      <c r="V25" s="62">
        <f>IFERROR(__xludf.DUMMYFUNCTION("iferror(VALUE(left(index(IMPORTXML(I27, ""//div[@class='col-lg-2 user-stat stat-green']""),2,1),len(index(IMPORTXML(I27, ""//div[@class='col-lg-2 user-stat stat-green']""),2,1))-8)),0)"),7.0)</f>
        <v>7</v>
      </c>
      <c r="W25" s="21"/>
      <c r="X25" s="21"/>
      <c r="Y25" s="21"/>
      <c r="Z25" s="21"/>
    </row>
    <row r="26" ht="15.0" customHeight="1">
      <c r="A26" s="51">
        <f t="shared" si="9"/>
        <v>19</v>
      </c>
      <c r="B26" s="52" t="str">
        <f t="shared" si="2"/>
        <v>Japanse 🍁 Maple 🌿 #19 | R6 - C9</v>
      </c>
      <c r="C26" s="53">
        <v>6.0</v>
      </c>
      <c r="D26" s="53">
        <v>9.0</v>
      </c>
      <c r="E26" s="54" t="s">
        <v>94</v>
      </c>
      <c r="F26" s="54" t="s">
        <v>95</v>
      </c>
      <c r="G26" s="55" t="s">
        <v>64</v>
      </c>
      <c r="H26" s="56" t="str">
        <f t="shared" si="3"/>
        <v>EeveeFox</v>
      </c>
      <c r="I26" s="63" t="s">
        <v>96</v>
      </c>
      <c r="J26" s="64"/>
      <c r="K26" s="59" t="b">
        <v>1</v>
      </c>
      <c r="L26" s="53">
        <f t="shared" si="4"/>
        <v>0</v>
      </c>
      <c r="M26" s="53">
        <f t="shared" si="5"/>
        <v>0</v>
      </c>
      <c r="N26" s="53">
        <f t="shared" si="6"/>
        <v>0</v>
      </c>
      <c r="O26" s="52" t="str">
        <f t="shared" si="7"/>
        <v/>
      </c>
      <c r="P26" s="60" t="str">
        <f>IFERROR(__xludf.DUMMYFUNCTION("IF($N26=1,IFERROR(IMPORTXML($I26, ""//p[@class='status-date']""), ""Not Loading""),"""")"),"")</f>
        <v/>
      </c>
      <c r="Q26" s="61"/>
      <c r="R26" s="61"/>
      <c r="S26" s="61"/>
      <c r="T26" s="61"/>
      <c r="U26" s="61" t="str">
        <f t="shared" si="8"/>
        <v>EeveeFox</v>
      </c>
      <c r="V26" s="62">
        <f>IFERROR(__xludf.DUMMYFUNCTION("iferror(VALUE(left(index(IMPORTXML(I28, ""//div[@class='col-lg-2 user-stat stat-green']""),2,1),len(index(IMPORTXML(I28, ""//div[@class='col-lg-2 user-stat stat-green']""),2,1))-8)),0)"),3.0)</f>
        <v>3</v>
      </c>
      <c r="W26" s="21"/>
      <c r="X26" s="21"/>
      <c r="Y26" s="21"/>
      <c r="Z26" s="21"/>
    </row>
    <row r="27" ht="15.0" customHeight="1">
      <c r="A27" s="51">
        <f t="shared" si="9"/>
        <v>20</v>
      </c>
      <c r="B27" s="52" t="str">
        <f t="shared" si="2"/>
        <v>Japanse 🍁 Maple 🌿 #20 | R6 - C10</v>
      </c>
      <c r="C27" s="53">
        <v>6.0</v>
      </c>
      <c r="D27" s="53">
        <v>10.0</v>
      </c>
      <c r="E27" s="54" t="s">
        <v>97</v>
      </c>
      <c r="F27" s="54" t="s">
        <v>98</v>
      </c>
      <c r="G27" s="55" t="s">
        <v>64</v>
      </c>
      <c r="H27" s="56" t="str">
        <f t="shared" si="3"/>
        <v>Neloras</v>
      </c>
      <c r="I27" s="63" t="s">
        <v>99</v>
      </c>
      <c r="J27" s="64"/>
      <c r="K27" s="59" t="b">
        <v>1</v>
      </c>
      <c r="L27" s="53">
        <f t="shared" si="4"/>
        <v>0</v>
      </c>
      <c r="M27" s="53">
        <f t="shared" si="5"/>
        <v>0</v>
      </c>
      <c r="N27" s="53">
        <f t="shared" si="6"/>
        <v>0</v>
      </c>
      <c r="O27" s="52" t="str">
        <f t="shared" si="7"/>
        <v/>
      </c>
      <c r="P27" s="60" t="str">
        <f>IFERROR(__xludf.DUMMYFUNCTION("IF($N27=1,IFERROR(IMPORTXML($I27, ""//p[@class='status-date']""), ""Not Loading""),"""")"),"")</f>
        <v/>
      </c>
      <c r="Q27" s="65"/>
      <c r="R27" s="65"/>
      <c r="S27" s="65"/>
      <c r="T27" s="65"/>
      <c r="U27" s="61" t="str">
        <f t="shared" si="8"/>
        <v>Neloras</v>
      </c>
      <c r="V27" s="62">
        <f>IFERROR(__xludf.DUMMYFUNCTION("iferror(VALUE(left(index(IMPORTXML(I29, ""//div[@class='col-lg-2 user-stat stat-green']""),2,1),len(index(IMPORTXML(I29, ""//div[@class='col-lg-2 user-stat stat-green']""),2,1))-8)),0)"),2.0)</f>
        <v>2</v>
      </c>
      <c r="W27" s="21"/>
      <c r="X27" s="21"/>
      <c r="Y27" s="21"/>
      <c r="Z27" s="21"/>
    </row>
    <row r="28" ht="15.0" customHeight="1">
      <c r="A28" s="51">
        <f t="shared" si="9"/>
        <v>21</v>
      </c>
      <c r="B28" s="52" t="str">
        <f t="shared" si="2"/>
        <v>Japanse 🍁 Maple 🌿 #21 | R6 - C11</v>
      </c>
      <c r="C28" s="53">
        <v>6.0</v>
      </c>
      <c r="D28" s="53">
        <v>11.0</v>
      </c>
      <c r="E28" s="54" t="s">
        <v>100</v>
      </c>
      <c r="F28" s="54" t="s">
        <v>101</v>
      </c>
      <c r="G28" s="55" t="s">
        <v>39</v>
      </c>
      <c r="H28" s="56" t="str">
        <f t="shared" si="3"/>
        <v>and2470</v>
      </c>
      <c r="I28" s="63" t="s">
        <v>102</v>
      </c>
      <c r="J28" s="64"/>
      <c r="K28" s="59" t="b">
        <v>1</v>
      </c>
      <c r="L28" s="53">
        <f t="shared" si="4"/>
        <v>0</v>
      </c>
      <c r="M28" s="53">
        <f t="shared" si="5"/>
        <v>0</v>
      </c>
      <c r="N28" s="53">
        <f t="shared" si="6"/>
        <v>0</v>
      </c>
      <c r="O28" s="52" t="str">
        <f t="shared" si="7"/>
        <v/>
      </c>
      <c r="P28" s="60" t="str">
        <f>IFERROR(__xludf.DUMMYFUNCTION("IF($N28=1,IFERROR(IMPORTXML($I28, ""//p[@class='status-date']""), ""Not Loading""),"""")"),"")</f>
        <v/>
      </c>
      <c r="Q28" s="61"/>
      <c r="R28" s="61"/>
      <c r="S28" s="61"/>
      <c r="T28" s="61"/>
      <c r="U28" s="61" t="str">
        <f t="shared" si="8"/>
        <v>and2470</v>
      </c>
      <c r="V28" s="62">
        <f>IFERROR(__xludf.DUMMYFUNCTION("iferror(VALUE(left(index(IMPORTXML(I30, ""//div[@class='col-lg-2 user-stat stat-green']""),2,1),len(index(IMPORTXML(I30, ""//div[@class='col-lg-2 user-stat stat-green']""),2,1))-8)),0)"),7.0)</f>
        <v>7</v>
      </c>
      <c r="W28" s="21"/>
      <c r="X28" s="21"/>
      <c r="Y28" s="21"/>
      <c r="Z28" s="21"/>
    </row>
    <row r="29" ht="15.0" customHeight="1">
      <c r="A29" s="51">
        <f t="shared" si="9"/>
        <v>22</v>
      </c>
      <c r="B29" s="52" t="str">
        <f t="shared" si="2"/>
        <v>Japanse 🍁 Maple 🌿 #22 | R7 - C7</v>
      </c>
      <c r="C29" s="53">
        <v>7.0</v>
      </c>
      <c r="D29" s="53">
        <v>7.0</v>
      </c>
      <c r="E29" s="54" t="s">
        <v>103</v>
      </c>
      <c r="F29" s="54" t="s">
        <v>104</v>
      </c>
      <c r="G29" s="55" t="s">
        <v>46</v>
      </c>
      <c r="H29" s="56" t="str">
        <f t="shared" si="3"/>
        <v>Rikitan</v>
      </c>
      <c r="I29" s="57" t="s">
        <v>105</v>
      </c>
      <c r="J29" s="64"/>
      <c r="K29" s="59" t="b">
        <v>1</v>
      </c>
      <c r="L29" s="53">
        <f t="shared" si="4"/>
        <v>0</v>
      </c>
      <c r="M29" s="53">
        <f t="shared" si="5"/>
        <v>0</v>
      </c>
      <c r="N29" s="53">
        <f t="shared" si="6"/>
        <v>0</v>
      </c>
      <c r="O29" s="52" t="str">
        <f t="shared" si="7"/>
        <v/>
      </c>
      <c r="P29" s="60" t="str">
        <f>IFERROR(__xludf.DUMMYFUNCTION("IF($N29=1,IFERROR(IMPORTXML($I29, ""//p[@class='status-date']""), ""Not Loading""),"""")"),"")</f>
        <v/>
      </c>
      <c r="Q29" s="65"/>
      <c r="R29" s="65"/>
      <c r="S29" s="65"/>
      <c r="T29" s="65"/>
      <c r="U29" s="61" t="str">
        <f t="shared" si="8"/>
        <v>Rikitan</v>
      </c>
      <c r="V29" s="62">
        <f>IFERROR(__xludf.DUMMYFUNCTION("iferror(VALUE(left(index(IMPORTXML(I31, ""//div[@class='col-lg-2 user-stat stat-green']""),2,1),len(index(IMPORTXML(I31, ""//div[@class='col-lg-2 user-stat stat-green']""),2,1))-8)),0)"),3.0)</f>
        <v>3</v>
      </c>
      <c r="W29" s="21"/>
      <c r="X29" s="21"/>
      <c r="Y29" s="21"/>
      <c r="Z29" s="21"/>
    </row>
    <row r="30" ht="15.0" customHeight="1">
      <c r="A30" s="51">
        <f t="shared" si="9"/>
        <v>23</v>
      </c>
      <c r="B30" s="52" t="str">
        <f t="shared" si="2"/>
        <v>Japanse 🍁 Maple 🌿 #23 | R7 - C8</v>
      </c>
      <c r="C30" s="53">
        <v>7.0</v>
      </c>
      <c r="D30" s="53">
        <v>8.0</v>
      </c>
      <c r="E30" s="54" t="s">
        <v>106</v>
      </c>
      <c r="F30" s="54" t="s">
        <v>107</v>
      </c>
      <c r="G30" s="55" t="s">
        <v>60</v>
      </c>
      <c r="H30" s="56" t="str">
        <f t="shared" si="3"/>
        <v>29Februaris</v>
      </c>
      <c r="I30" s="57" t="s">
        <v>108</v>
      </c>
      <c r="J30" s="64"/>
      <c r="K30" s="59" t="b">
        <v>1</v>
      </c>
      <c r="L30" s="53">
        <f t="shared" si="4"/>
        <v>0</v>
      </c>
      <c r="M30" s="53">
        <f t="shared" si="5"/>
        <v>0</v>
      </c>
      <c r="N30" s="53">
        <f t="shared" si="6"/>
        <v>0</v>
      </c>
      <c r="O30" s="52" t="str">
        <f t="shared" si="7"/>
        <v/>
      </c>
      <c r="P30" s="60" t="str">
        <f>IFERROR(__xludf.DUMMYFUNCTION("IF($N30=1,IFERROR(IMPORTXML($I30, ""//p[@class='status-date']""), ""Not Loading""),"""")"),"")</f>
        <v/>
      </c>
      <c r="Q30" s="61"/>
      <c r="R30" s="61"/>
      <c r="S30" s="61"/>
      <c r="T30" s="61"/>
      <c r="U30" s="61" t="str">
        <f t="shared" si="8"/>
        <v>29Februaris</v>
      </c>
      <c r="V30" s="62">
        <f>IFERROR(__xludf.DUMMYFUNCTION("iferror(VALUE(left(index(IMPORTXML(I32, ""//div[@class='col-lg-2 user-stat stat-green']""),2,1),len(index(IMPORTXML(I32, ""//div[@class='col-lg-2 user-stat stat-green']""),2,1))-8)),0)"),9.0)</f>
        <v>9</v>
      </c>
      <c r="W30" s="21"/>
      <c r="X30" s="21"/>
      <c r="Y30" s="21"/>
      <c r="Z30" s="21"/>
    </row>
    <row r="31" ht="15.0" customHeight="1">
      <c r="A31" s="51">
        <f t="shared" si="9"/>
        <v>24</v>
      </c>
      <c r="B31" s="52" t="str">
        <f t="shared" si="2"/>
        <v>Japanse 🍁 Maple 🌿 #24 | R7 - C9</v>
      </c>
      <c r="C31" s="53">
        <v>7.0</v>
      </c>
      <c r="D31" s="53">
        <v>9.0</v>
      </c>
      <c r="E31" s="54" t="s">
        <v>109</v>
      </c>
      <c r="F31" s="54" t="s">
        <v>110</v>
      </c>
      <c r="G31" s="55" t="s">
        <v>111</v>
      </c>
      <c r="H31" s="56" t="str">
        <f t="shared" si="3"/>
        <v>MacickaLizza</v>
      </c>
      <c r="I31" s="57" t="s">
        <v>112</v>
      </c>
      <c r="J31" s="64"/>
      <c r="K31" s="59" t="b">
        <v>1</v>
      </c>
      <c r="L31" s="53">
        <f t="shared" si="4"/>
        <v>0</v>
      </c>
      <c r="M31" s="53">
        <f t="shared" si="5"/>
        <v>0</v>
      </c>
      <c r="N31" s="53">
        <f t="shared" si="6"/>
        <v>0</v>
      </c>
      <c r="O31" s="52" t="str">
        <f t="shared" si="7"/>
        <v/>
      </c>
      <c r="P31" s="60" t="str">
        <f>IFERROR(__xludf.DUMMYFUNCTION("IF($N31=1,IFERROR(IMPORTXML($I31, ""//p[@class='status-date']""), ""Not Loading""),"""")"),"")</f>
        <v/>
      </c>
      <c r="Q31" s="65"/>
      <c r="R31" s="65"/>
      <c r="S31" s="65"/>
      <c r="T31" s="65"/>
      <c r="U31" s="61" t="str">
        <f t="shared" si="8"/>
        <v>MacickaLizza</v>
      </c>
      <c r="V31" s="62">
        <f>IFERROR(__xludf.DUMMYFUNCTION("iferror(VALUE(left(index(IMPORTXML(I33, ""//div[@class='col-lg-2 user-stat stat-green']""),2,1),len(index(IMPORTXML(I33, ""//div[@class='col-lg-2 user-stat stat-green']""),2,1))-8)),0)"),3.0)</f>
        <v>3</v>
      </c>
      <c r="W31" s="21"/>
      <c r="X31" s="21"/>
      <c r="Y31" s="21"/>
      <c r="Z31" s="21"/>
    </row>
    <row r="32" ht="15.0" customHeight="1">
      <c r="A32" s="51">
        <f t="shared" si="9"/>
        <v>25</v>
      </c>
      <c r="B32" s="52" t="str">
        <f t="shared" si="2"/>
        <v>Japanse 🍁 Maple 🌿 #25 | R7 - C10</v>
      </c>
      <c r="C32" s="53">
        <v>7.0</v>
      </c>
      <c r="D32" s="53">
        <v>10.0</v>
      </c>
      <c r="E32" s="54" t="s">
        <v>113</v>
      </c>
      <c r="F32" s="54" t="s">
        <v>114</v>
      </c>
      <c r="G32" s="55" t="s">
        <v>64</v>
      </c>
      <c r="H32" s="56" t="str">
        <f t="shared" si="3"/>
        <v>Kumahelion</v>
      </c>
      <c r="I32" s="63" t="s">
        <v>115</v>
      </c>
      <c r="J32" s="64"/>
      <c r="K32" s="59" t="b">
        <v>1</v>
      </c>
      <c r="L32" s="53">
        <f t="shared" si="4"/>
        <v>0</v>
      </c>
      <c r="M32" s="53">
        <f t="shared" si="5"/>
        <v>0</v>
      </c>
      <c r="N32" s="53">
        <f t="shared" si="6"/>
        <v>0</v>
      </c>
      <c r="O32" s="52" t="str">
        <f t="shared" si="7"/>
        <v/>
      </c>
      <c r="P32" s="60" t="str">
        <f>IFERROR(__xludf.DUMMYFUNCTION("IF($N32=1,IFERROR(IMPORTXML($I32, ""//p[@class='status-date']""), ""Not Loading""),"""")"),"")</f>
        <v/>
      </c>
      <c r="Q32" s="61"/>
      <c r="R32" s="61"/>
      <c r="S32" s="61"/>
      <c r="T32" s="61"/>
      <c r="U32" s="61" t="str">
        <f t="shared" si="8"/>
        <v>Kumahelion</v>
      </c>
      <c r="V32" s="62">
        <f>IFERROR(__xludf.DUMMYFUNCTION("iferror(VALUE(left(index(IMPORTXML(I34, ""//div[@class='col-lg-2 user-stat stat-green']""),2,1),len(index(IMPORTXML(I34, ""//div[@class='col-lg-2 user-stat stat-green']""),2,1))-8)),0)"),1.0)</f>
        <v>1</v>
      </c>
      <c r="W32" s="21"/>
      <c r="X32" s="21"/>
      <c r="Y32" s="21"/>
      <c r="Z32" s="21"/>
    </row>
    <row r="33" ht="15.0" customHeight="1">
      <c r="A33" s="51">
        <f t="shared" si="9"/>
        <v>26</v>
      </c>
      <c r="B33" s="52" t="str">
        <f t="shared" si="2"/>
        <v>Japanse 🍁 Maple 🌿 #26 | R7 - C11</v>
      </c>
      <c r="C33" s="53">
        <v>7.0</v>
      </c>
      <c r="D33" s="53">
        <v>11.0</v>
      </c>
      <c r="E33" s="54" t="s">
        <v>116</v>
      </c>
      <c r="F33" s="54" t="s">
        <v>117</v>
      </c>
      <c r="G33" s="55" t="s">
        <v>46</v>
      </c>
      <c r="H33" s="56" t="str">
        <f t="shared" si="3"/>
        <v>Rikitan</v>
      </c>
      <c r="I33" s="57" t="s">
        <v>118</v>
      </c>
      <c r="J33" s="64"/>
      <c r="K33" s="59" t="b">
        <v>1</v>
      </c>
      <c r="L33" s="53">
        <f t="shared" si="4"/>
        <v>0</v>
      </c>
      <c r="M33" s="53">
        <f t="shared" si="5"/>
        <v>0</v>
      </c>
      <c r="N33" s="53">
        <f t="shared" si="6"/>
        <v>0</v>
      </c>
      <c r="O33" s="52" t="str">
        <f t="shared" si="7"/>
        <v/>
      </c>
      <c r="P33" s="60" t="str">
        <f>IFERROR(__xludf.DUMMYFUNCTION("IF($N33=1,IFERROR(IMPORTXML($I33, ""//p[@class='status-date']""), ""Not Loading""),"""")"),"")</f>
        <v/>
      </c>
      <c r="Q33" s="65"/>
      <c r="R33" s="65"/>
      <c r="S33" s="65"/>
      <c r="T33" s="65"/>
      <c r="U33" s="61" t="str">
        <f t="shared" si="8"/>
        <v>Rikitan</v>
      </c>
      <c r="V33" s="62">
        <f>IFERROR(__xludf.DUMMYFUNCTION("iferror(VALUE(left(index(IMPORTXML(I35, ""//div[@class='col-lg-2 user-stat stat-green']""),2,1),len(index(IMPORTXML(I35, ""//div[@class='col-lg-2 user-stat stat-green']""),2,1))-8)),0)"),2.0)</f>
        <v>2</v>
      </c>
      <c r="W33" s="21"/>
      <c r="X33" s="21"/>
      <c r="Y33" s="21"/>
      <c r="Z33" s="21"/>
    </row>
    <row r="34" ht="15.0" customHeight="1">
      <c r="A34" s="51">
        <f t="shared" si="9"/>
        <v>27</v>
      </c>
      <c r="B34" s="52" t="str">
        <f t="shared" si="2"/>
        <v>Japanse 🍁 Maple 🌿 #27 | R8 - C1</v>
      </c>
      <c r="C34" s="53">
        <v>8.0</v>
      </c>
      <c r="D34" s="53">
        <v>1.0</v>
      </c>
      <c r="E34" s="54" t="s">
        <v>119</v>
      </c>
      <c r="F34" s="54" t="s">
        <v>120</v>
      </c>
      <c r="G34" s="55" t="s">
        <v>35</v>
      </c>
      <c r="H34" s="56" t="str">
        <f t="shared" si="3"/>
        <v>Neloras</v>
      </c>
      <c r="I34" s="63" t="s">
        <v>121</v>
      </c>
      <c r="J34" s="64"/>
      <c r="K34" s="59" t="b">
        <v>1</v>
      </c>
      <c r="L34" s="53">
        <f t="shared" si="4"/>
        <v>0</v>
      </c>
      <c r="M34" s="53">
        <f t="shared" si="5"/>
        <v>0</v>
      </c>
      <c r="N34" s="53">
        <f t="shared" si="6"/>
        <v>0</v>
      </c>
      <c r="O34" s="52" t="str">
        <f t="shared" si="7"/>
        <v/>
      </c>
      <c r="P34" s="60" t="str">
        <f>IFERROR(__xludf.DUMMYFUNCTION("IF($N34=1,IFERROR(IMPORTXML($I34, ""//p[@class='status-date']""), ""Not Loading""),"""")"),"")</f>
        <v/>
      </c>
      <c r="Q34" s="61"/>
      <c r="R34" s="61"/>
      <c r="S34" s="61"/>
      <c r="T34" s="61"/>
      <c r="U34" s="61" t="str">
        <f t="shared" si="8"/>
        <v>Neloras</v>
      </c>
      <c r="V34" s="62">
        <f>IFERROR(__xludf.DUMMYFUNCTION("iferror(VALUE(left(index(IMPORTXML(I36, ""//div[@class='col-lg-2 user-stat stat-green']""),2,1),len(index(IMPORTXML(I36, ""//div[@class='col-lg-2 user-stat stat-green']""),2,1))-8)),0)"),2.0)</f>
        <v>2</v>
      </c>
      <c r="W34" s="21"/>
      <c r="X34" s="21"/>
      <c r="Y34" s="21"/>
      <c r="Z34" s="21"/>
    </row>
    <row r="35" ht="15.0" customHeight="1">
      <c r="A35" s="51">
        <f t="shared" si="9"/>
        <v>28</v>
      </c>
      <c r="B35" s="52" t="str">
        <f t="shared" si="2"/>
        <v>Japanse 🍁 Maple 🌿 #28 | R8 - C2</v>
      </c>
      <c r="C35" s="53">
        <v>8.0</v>
      </c>
      <c r="D35" s="53">
        <v>2.0</v>
      </c>
      <c r="E35" s="54" t="s">
        <v>122</v>
      </c>
      <c r="F35" s="54" t="s">
        <v>123</v>
      </c>
      <c r="G35" s="55" t="s">
        <v>39</v>
      </c>
      <c r="H35" s="56" t="str">
        <f t="shared" si="3"/>
        <v>piesciuk</v>
      </c>
      <c r="I35" s="63" t="s">
        <v>124</v>
      </c>
      <c r="J35" s="58"/>
      <c r="K35" s="59" t="b">
        <v>1</v>
      </c>
      <c r="L35" s="53">
        <f t="shared" si="4"/>
        <v>0</v>
      </c>
      <c r="M35" s="53">
        <f t="shared" si="5"/>
        <v>0</v>
      </c>
      <c r="N35" s="53">
        <f t="shared" si="6"/>
        <v>0</v>
      </c>
      <c r="O35" s="52" t="str">
        <f t="shared" si="7"/>
        <v/>
      </c>
      <c r="P35" s="60" t="str">
        <f>IFERROR(__xludf.DUMMYFUNCTION("IF($N35=1,IFERROR(IMPORTXML($I35, ""//p[@class='status-date']""), ""Not Loading""),"""")"),"")</f>
        <v/>
      </c>
      <c r="Q35" s="65"/>
      <c r="R35" s="65"/>
      <c r="S35" s="65"/>
      <c r="T35" s="65"/>
      <c r="U35" s="61" t="str">
        <f t="shared" si="8"/>
        <v>piesciuk</v>
      </c>
      <c r="V35" s="62">
        <f>IFERROR(__xludf.DUMMYFUNCTION("iferror(VALUE(left(index(IMPORTXML(I37, ""//div[@class='col-lg-2 user-stat stat-green']""),2,1),len(index(IMPORTXML(I37, ""//div[@class='col-lg-2 user-stat stat-green']""),2,1))-8)),0)"),1.0)</f>
        <v>1</v>
      </c>
      <c r="W35" s="21"/>
      <c r="X35" s="21"/>
      <c r="Y35" s="21"/>
      <c r="Z35" s="21"/>
    </row>
    <row r="36" ht="15.0" customHeight="1">
      <c r="A36" s="51">
        <f t="shared" si="9"/>
        <v>29</v>
      </c>
      <c r="B36" s="52" t="str">
        <f t="shared" si="2"/>
        <v>Japanse 🍁 Maple 🌿 #29 | R8 - C3</v>
      </c>
      <c r="C36" s="53">
        <v>8.0</v>
      </c>
      <c r="D36" s="53">
        <v>3.0</v>
      </c>
      <c r="E36" s="54" t="s">
        <v>125</v>
      </c>
      <c r="F36" s="54" t="s">
        <v>126</v>
      </c>
      <c r="G36" s="55" t="s">
        <v>46</v>
      </c>
      <c r="H36" s="56" t="str">
        <f t="shared" si="3"/>
        <v>mathew611</v>
      </c>
      <c r="I36" s="63" t="s">
        <v>127</v>
      </c>
      <c r="J36" s="64"/>
      <c r="K36" s="59" t="b">
        <v>1</v>
      </c>
      <c r="L36" s="53">
        <f t="shared" si="4"/>
        <v>0</v>
      </c>
      <c r="M36" s="53">
        <f t="shared" si="5"/>
        <v>0</v>
      </c>
      <c r="N36" s="53">
        <f t="shared" si="6"/>
        <v>0</v>
      </c>
      <c r="O36" s="52" t="str">
        <f t="shared" si="7"/>
        <v/>
      </c>
      <c r="P36" s="60" t="str">
        <f>IFERROR(__xludf.DUMMYFUNCTION("IF($N36=1,IFERROR(IMPORTXML($I36, ""//p[@class='status-date']""), ""Not Loading""),"""")"),"")</f>
        <v/>
      </c>
      <c r="Q36" s="61"/>
      <c r="R36" s="61"/>
      <c r="S36" s="61"/>
      <c r="T36" s="61"/>
      <c r="U36" s="61" t="str">
        <f t="shared" si="8"/>
        <v>mathew611</v>
      </c>
      <c r="V36" s="62">
        <f>IFERROR(__xludf.DUMMYFUNCTION("iferror(VALUE(left(index(IMPORTXML(I38, ""//div[@class='col-lg-2 user-stat stat-green']""),2,1),len(index(IMPORTXML(I38, ""//div[@class='col-lg-2 user-stat stat-green']""),2,1))-8)),0)"),2.0)</f>
        <v>2</v>
      </c>
      <c r="W36" s="21"/>
      <c r="X36" s="21"/>
      <c r="Y36" s="21"/>
      <c r="Z36" s="21"/>
    </row>
    <row r="37" ht="15.0" customHeight="1">
      <c r="A37" s="51">
        <f t="shared" si="9"/>
        <v>30</v>
      </c>
      <c r="B37" s="52" t="str">
        <f t="shared" si="2"/>
        <v>Japanse 🍁 Maple 🌿 #30 | R8 - C4</v>
      </c>
      <c r="C37" s="53">
        <v>8.0</v>
      </c>
      <c r="D37" s="53">
        <v>4.0</v>
      </c>
      <c r="E37" s="54" t="s">
        <v>128</v>
      </c>
      <c r="F37" s="54" t="s">
        <v>129</v>
      </c>
      <c r="G37" s="55" t="s">
        <v>39</v>
      </c>
      <c r="H37" s="56" t="str">
        <f t="shared" si="3"/>
        <v>Nicolet</v>
      </c>
      <c r="I37" s="63" t="s">
        <v>130</v>
      </c>
      <c r="J37" s="64"/>
      <c r="K37" s="59" t="b">
        <v>1</v>
      </c>
      <c r="L37" s="53">
        <f t="shared" si="4"/>
        <v>0</v>
      </c>
      <c r="M37" s="53">
        <f t="shared" si="5"/>
        <v>0</v>
      </c>
      <c r="N37" s="53">
        <f t="shared" si="6"/>
        <v>0</v>
      </c>
      <c r="O37" s="52" t="str">
        <f t="shared" si="7"/>
        <v/>
      </c>
      <c r="P37" s="60" t="str">
        <f>IFERROR(__xludf.DUMMYFUNCTION("IF($N37=1,IFERROR(IMPORTXML($I37, ""//p[@class='status-date']""), ""Not Loading""),"""")"),"")</f>
        <v/>
      </c>
      <c r="Q37" s="65"/>
      <c r="R37" s="65"/>
      <c r="S37" s="65"/>
      <c r="T37" s="65"/>
      <c r="U37" s="61" t="str">
        <f t="shared" si="8"/>
        <v>Nicolet</v>
      </c>
      <c r="V37" s="62">
        <f>IFERROR(__xludf.DUMMYFUNCTION("iferror(VALUE(left(index(IMPORTXML(I39, ""//div[@class='col-lg-2 user-stat stat-green']""),2,1),len(index(IMPORTXML(I39, ""//div[@class='col-lg-2 user-stat stat-green']""),2,1))-8)),0)"),2.0)</f>
        <v>2</v>
      </c>
      <c r="W37" s="21"/>
      <c r="X37" s="21"/>
      <c r="Y37" s="21"/>
      <c r="Z37" s="21"/>
    </row>
    <row r="38" ht="15.0" customHeight="1">
      <c r="A38" s="51">
        <f t="shared" si="9"/>
        <v>31</v>
      </c>
      <c r="B38" s="52" t="str">
        <f t="shared" si="2"/>
        <v>Japanse 🍁 Maple 🌿 #31 | R8 - C5</v>
      </c>
      <c r="C38" s="53">
        <v>8.0</v>
      </c>
      <c r="D38" s="53">
        <v>5.0</v>
      </c>
      <c r="E38" s="54" t="s">
        <v>131</v>
      </c>
      <c r="F38" s="54" t="s">
        <v>132</v>
      </c>
      <c r="G38" s="55" t="s">
        <v>46</v>
      </c>
      <c r="H38" s="56" t="str">
        <f t="shared" si="3"/>
        <v>Kapor24</v>
      </c>
      <c r="I38" s="63" t="s">
        <v>133</v>
      </c>
      <c r="J38" s="64"/>
      <c r="K38" s="59" t="b">
        <v>1</v>
      </c>
      <c r="L38" s="53">
        <f t="shared" si="4"/>
        <v>0</v>
      </c>
      <c r="M38" s="53">
        <f t="shared" si="5"/>
        <v>0</v>
      </c>
      <c r="N38" s="53">
        <f t="shared" si="6"/>
        <v>0</v>
      </c>
      <c r="O38" s="52" t="str">
        <f t="shared" si="7"/>
        <v/>
      </c>
      <c r="P38" s="60" t="str">
        <f>IFERROR(__xludf.DUMMYFUNCTION("IF($N38=1,IFERROR(IMPORTXML($I38, ""//p[@class='status-date']""), ""Not Loading""),"""")"),"")</f>
        <v/>
      </c>
      <c r="Q38" s="61"/>
      <c r="R38" s="61"/>
      <c r="S38" s="61"/>
      <c r="T38" s="61"/>
      <c r="U38" s="61" t="str">
        <f t="shared" si="8"/>
        <v>Kapor24</v>
      </c>
      <c r="V38" s="62">
        <f>IFERROR(__xludf.DUMMYFUNCTION("iferror(VALUE(left(index(IMPORTXML(I40, ""//div[@class='col-lg-2 user-stat stat-green']""),2,1),len(index(IMPORTXML(I40, ""//div[@class='col-lg-2 user-stat stat-green']""),2,1))-8)),0)"),8.0)</f>
        <v>8</v>
      </c>
      <c r="W38" s="21"/>
      <c r="X38" s="21"/>
      <c r="Y38" s="21"/>
      <c r="Z38" s="21"/>
    </row>
    <row r="39" ht="15.0" customHeight="1">
      <c r="A39" s="51">
        <f t="shared" si="9"/>
        <v>32</v>
      </c>
      <c r="B39" s="52" t="str">
        <f t="shared" si="2"/>
        <v>Japanse 🍁 Maple 🌿 #32 | R8 - C6</v>
      </c>
      <c r="C39" s="53">
        <v>8.0</v>
      </c>
      <c r="D39" s="53">
        <v>6.0</v>
      </c>
      <c r="E39" s="54" t="s">
        <v>134</v>
      </c>
      <c r="F39" s="54" t="s">
        <v>135</v>
      </c>
      <c r="G39" s="55" t="s">
        <v>39</v>
      </c>
      <c r="H39" s="56" t="str">
        <f t="shared" si="3"/>
        <v>mathew611</v>
      </c>
      <c r="I39" s="63" t="s">
        <v>136</v>
      </c>
      <c r="J39" s="64"/>
      <c r="K39" s="59" t="b">
        <v>1</v>
      </c>
      <c r="L39" s="53">
        <f t="shared" si="4"/>
        <v>0</v>
      </c>
      <c r="M39" s="53">
        <f t="shared" si="5"/>
        <v>0</v>
      </c>
      <c r="N39" s="53">
        <f t="shared" si="6"/>
        <v>0</v>
      </c>
      <c r="O39" s="52" t="str">
        <f t="shared" si="7"/>
        <v/>
      </c>
      <c r="P39" s="60" t="str">
        <f>IFERROR(__xludf.DUMMYFUNCTION("IF($N39=1,IFERROR(IMPORTXML($I39, ""//p[@class='status-date']""), ""Not Loading""),"""")"),"")</f>
        <v/>
      </c>
      <c r="Q39" s="65"/>
      <c r="R39" s="65"/>
      <c r="S39" s="65"/>
      <c r="T39" s="65"/>
      <c r="U39" s="61" t="str">
        <f t="shared" si="8"/>
        <v>mathew611</v>
      </c>
      <c r="V39" s="62">
        <f>IFERROR(__xludf.DUMMYFUNCTION("iferror(VALUE(left(index(IMPORTXML(I41, ""//div[@class='col-lg-2 user-stat stat-green']""),2,1),len(index(IMPORTXML(I41, ""//div[@class='col-lg-2 user-stat stat-green']""),2,1))-8)),0)"),6.0)</f>
        <v>6</v>
      </c>
      <c r="W39" s="21"/>
      <c r="X39" s="21"/>
      <c r="Y39" s="21"/>
      <c r="Z39" s="21"/>
    </row>
    <row r="40" ht="15.0" customHeight="1">
      <c r="A40" s="51">
        <f t="shared" si="9"/>
        <v>33</v>
      </c>
      <c r="B40" s="52" t="str">
        <f t="shared" si="2"/>
        <v>Japanse 🍁 Maple 🌿 #33 | R8 - C7</v>
      </c>
      <c r="C40" s="53">
        <v>8.0</v>
      </c>
      <c r="D40" s="53">
        <v>7.0</v>
      </c>
      <c r="E40" s="54" t="s">
        <v>137</v>
      </c>
      <c r="F40" s="54" t="s">
        <v>138</v>
      </c>
      <c r="G40" s="55" t="s">
        <v>60</v>
      </c>
      <c r="H40" s="56" t="str">
        <f t="shared" si="3"/>
        <v>Nicolet</v>
      </c>
      <c r="I40" s="63" t="s">
        <v>139</v>
      </c>
      <c r="J40" s="64"/>
      <c r="K40" s="59" t="b">
        <v>1</v>
      </c>
      <c r="L40" s="53">
        <f t="shared" si="4"/>
        <v>0</v>
      </c>
      <c r="M40" s="53">
        <f t="shared" si="5"/>
        <v>0</v>
      </c>
      <c r="N40" s="53">
        <f t="shared" si="6"/>
        <v>0</v>
      </c>
      <c r="O40" s="52" t="str">
        <f t="shared" si="7"/>
        <v/>
      </c>
      <c r="P40" s="60" t="str">
        <f>IFERROR(__xludf.DUMMYFUNCTION("IF($N40=1,IFERROR(IMPORTXML($I40, ""//p[@class='status-date']""), ""Not Loading""),"""")"),"")</f>
        <v/>
      </c>
      <c r="Q40" s="61"/>
      <c r="R40" s="61"/>
      <c r="S40" s="61"/>
      <c r="T40" s="61"/>
      <c r="U40" s="61" t="str">
        <f t="shared" si="8"/>
        <v>Nicolet</v>
      </c>
      <c r="V40" s="62">
        <f>IFERROR(__xludf.DUMMYFUNCTION("iferror(VALUE(left(index(IMPORTXML(I42, ""//div[@class='col-lg-2 user-stat stat-green']""),2,1),len(index(IMPORTXML(I42, ""//div[@class='col-lg-2 user-stat stat-green']""),2,1))-8)),0)"),8.0)</f>
        <v>8</v>
      </c>
      <c r="W40" s="21"/>
      <c r="X40" s="21"/>
      <c r="Y40" s="21"/>
      <c r="Z40" s="21"/>
    </row>
    <row r="41" ht="15.0" customHeight="1">
      <c r="A41" s="51">
        <f t="shared" si="9"/>
        <v>34</v>
      </c>
      <c r="B41" s="52" t="str">
        <f t="shared" si="2"/>
        <v>Japanse 🍁 Maple 🌿 #34 | R8 - C8</v>
      </c>
      <c r="C41" s="53">
        <v>8.0</v>
      </c>
      <c r="D41" s="53">
        <v>8.0</v>
      </c>
      <c r="E41" s="54" t="s">
        <v>140</v>
      </c>
      <c r="F41" s="54" t="s">
        <v>141</v>
      </c>
      <c r="G41" s="55" t="s">
        <v>60</v>
      </c>
      <c r="H41" s="56" t="str">
        <f t="shared" si="3"/>
        <v>Kapor24</v>
      </c>
      <c r="I41" s="63" t="s">
        <v>142</v>
      </c>
      <c r="J41" s="64"/>
      <c r="K41" s="59" t="b">
        <v>1</v>
      </c>
      <c r="L41" s="53">
        <f t="shared" si="4"/>
        <v>0</v>
      </c>
      <c r="M41" s="53">
        <f t="shared" si="5"/>
        <v>0</v>
      </c>
      <c r="N41" s="53">
        <f t="shared" si="6"/>
        <v>0</v>
      </c>
      <c r="O41" s="52" t="str">
        <f t="shared" ref="O41:O42" si="10">IF($N41=1,HYPERLINK($I49&amp;"map/?lat="&amp;$E41&amp;"lon="&amp;$F41&amp;"type="&amp;$G41,"Munzee"),"")</f>
        <v/>
      </c>
      <c r="P41" s="60" t="str">
        <f>IFERROR(__xludf.DUMMYFUNCTION("IF($N41=1,IFERROR(IMPORTXML($I49, ""//p[@class='status-date']""), ""Not Loading""),"""")"),"")</f>
        <v/>
      </c>
      <c r="Q41" s="65"/>
      <c r="R41" s="65"/>
      <c r="S41" s="65"/>
      <c r="T41" s="65"/>
      <c r="U41" s="61" t="str">
        <f t="shared" si="8"/>
        <v>Kapor24</v>
      </c>
      <c r="V41" s="62">
        <f>IFERROR(__xludf.DUMMYFUNCTION("iferror(VALUE(left(index(IMPORTXML(I43, ""//div[@class='col-lg-2 user-stat stat-green']""),2,1),len(index(IMPORTXML(I43, ""//div[@class='col-lg-2 user-stat stat-green']""),2,1))-8)),0)"),7.0)</f>
        <v>7</v>
      </c>
      <c r="W41" s="21"/>
      <c r="X41" s="21"/>
      <c r="Y41" s="21"/>
      <c r="Z41" s="21"/>
    </row>
    <row r="42" ht="15.0" customHeight="1">
      <c r="A42" s="51">
        <f t="shared" si="9"/>
        <v>35</v>
      </c>
      <c r="B42" s="52" t="str">
        <f t="shared" si="2"/>
        <v>Japanse 🍁 Maple 🌿 #35 | R8 - C9</v>
      </c>
      <c r="C42" s="53">
        <v>8.0</v>
      </c>
      <c r="D42" s="53">
        <v>9.0</v>
      </c>
      <c r="E42" s="54" t="s">
        <v>143</v>
      </c>
      <c r="F42" s="54" t="s">
        <v>144</v>
      </c>
      <c r="G42" s="55" t="s">
        <v>64</v>
      </c>
      <c r="H42" s="56" t="str">
        <f t="shared" si="3"/>
        <v>mathew611</v>
      </c>
      <c r="I42" s="63" t="s">
        <v>145</v>
      </c>
      <c r="J42" s="64"/>
      <c r="K42" s="59" t="b">
        <v>1</v>
      </c>
      <c r="L42" s="53">
        <f t="shared" si="4"/>
        <v>0</v>
      </c>
      <c r="M42" s="53">
        <f t="shared" si="5"/>
        <v>0</v>
      </c>
      <c r="N42" s="53">
        <f t="shared" si="6"/>
        <v>0</v>
      </c>
      <c r="O42" s="66" t="str">
        <f t="shared" si="10"/>
        <v/>
      </c>
      <c r="P42" s="60" t="str">
        <f>IFERROR(__xludf.DUMMYFUNCTION("IF($N42=1,IFERROR(IMPORTXML($I50, ""//p[@class='status-date']""), ""Not Loading""),"""")"),"")</f>
        <v/>
      </c>
      <c r="Q42" s="61"/>
      <c r="R42" s="61"/>
      <c r="S42" s="61"/>
      <c r="T42" s="61"/>
      <c r="U42" s="61" t="str">
        <f t="shared" si="8"/>
        <v>mathew611</v>
      </c>
      <c r="V42" s="62">
        <f>IFERROR(__xludf.DUMMYFUNCTION("iferror(VALUE(left(index(IMPORTXML(I44, ""//div[@class='col-lg-2 user-stat stat-green']""),2,1),len(index(IMPORTXML(I44, ""//div[@class='col-lg-2 user-stat stat-green']""),2,1))-8)),0)"),2.0)</f>
        <v>2</v>
      </c>
      <c r="W42" s="21"/>
      <c r="X42" s="21"/>
      <c r="Y42" s="21"/>
      <c r="Z42" s="21"/>
    </row>
    <row r="43" ht="15.0" customHeight="1">
      <c r="A43" s="51">
        <f t="shared" si="9"/>
        <v>36</v>
      </c>
      <c r="B43" s="52" t="str">
        <f t="shared" si="2"/>
        <v>Japanse 🍁 Maple 🌿 #36 | R8 - C10</v>
      </c>
      <c r="C43" s="53">
        <v>8.0</v>
      </c>
      <c r="D43" s="53">
        <v>10.0</v>
      </c>
      <c r="E43" s="54" t="s">
        <v>146</v>
      </c>
      <c r="F43" s="54" t="s">
        <v>147</v>
      </c>
      <c r="G43" s="55" t="s">
        <v>64</v>
      </c>
      <c r="H43" s="56" t="str">
        <f t="shared" si="3"/>
        <v>Nicolet</v>
      </c>
      <c r="I43" s="63" t="s">
        <v>148</v>
      </c>
      <c r="J43" s="64"/>
      <c r="K43" s="59" t="b">
        <v>1</v>
      </c>
      <c r="L43" s="53">
        <f t="shared" si="4"/>
        <v>0</v>
      </c>
      <c r="M43" s="53">
        <f t="shared" si="5"/>
        <v>0</v>
      </c>
      <c r="N43" s="53">
        <f t="shared" si="6"/>
        <v>0</v>
      </c>
      <c r="O43" s="52" t="str">
        <f t="shared" ref="O43:O46" si="11">IF($N43=1,HYPERLINK($I43&amp;"map/?lat="&amp;$E43&amp;"lon="&amp;$F43&amp;"type="&amp;$G43,"Munzee"),"")</f>
        <v/>
      </c>
      <c r="P43" s="60" t="str">
        <f>IFERROR(__xludf.DUMMYFUNCTION("IF($N43=1,IFERROR(IMPORTXML($I43, ""//p[@class='status-date']""), ""Not Loading""),"""")"),"")</f>
        <v/>
      </c>
      <c r="Q43" s="65"/>
      <c r="R43" s="65"/>
      <c r="S43" s="65"/>
      <c r="T43" s="65"/>
      <c r="U43" s="61" t="str">
        <f t="shared" si="8"/>
        <v>Nicolet</v>
      </c>
      <c r="V43" s="62">
        <f>IFERROR(__xludf.DUMMYFUNCTION("iferror(VALUE(left(index(IMPORTXML(I45, ""//div[@class='col-lg-2 user-stat stat-green']""),2,1),len(index(IMPORTXML(I45, ""//div[@class='col-lg-2 user-stat stat-green']""),2,1))-8)),0)"),2.0)</f>
        <v>2</v>
      </c>
      <c r="W43" s="21"/>
      <c r="X43" s="21"/>
      <c r="Y43" s="21"/>
      <c r="Z43" s="21"/>
    </row>
    <row r="44" ht="15.0" customHeight="1">
      <c r="A44" s="51">
        <f t="shared" si="9"/>
        <v>37</v>
      </c>
      <c r="B44" s="52" t="str">
        <f t="shared" si="2"/>
        <v>Japanse 🍁 Maple 🌿 #37 | R8 - C11</v>
      </c>
      <c r="C44" s="53">
        <v>8.0</v>
      </c>
      <c r="D44" s="53">
        <v>11.0</v>
      </c>
      <c r="E44" s="54" t="s">
        <v>149</v>
      </c>
      <c r="F44" s="54" t="s">
        <v>150</v>
      </c>
      <c r="G44" s="55" t="s">
        <v>39</v>
      </c>
      <c r="H44" s="56" t="str">
        <f t="shared" si="3"/>
        <v>Redsixmix</v>
      </c>
      <c r="I44" s="63" t="s">
        <v>151</v>
      </c>
      <c r="J44" s="58"/>
      <c r="K44" s="59" t="b">
        <v>1</v>
      </c>
      <c r="L44" s="53">
        <f t="shared" si="4"/>
        <v>0</v>
      </c>
      <c r="M44" s="53">
        <f t="shared" si="5"/>
        <v>0</v>
      </c>
      <c r="N44" s="53">
        <f t="shared" si="6"/>
        <v>0</v>
      </c>
      <c r="O44" s="52" t="str">
        <f t="shared" si="11"/>
        <v/>
      </c>
      <c r="P44" s="60" t="str">
        <f>IFERROR(__xludf.DUMMYFUNCTION("IF($N44=1,IFERROR(IMPORTXML($I44, ""//p[@class='status-date']""), ""Not Loading""),"""")"),"")</f>
        <v/>
      </c>
      <c r="Q44" s="61"/>
      <c r="R44" s="61"/>
      <c r="S44" s="61"/>
      <c r="T44" s="61"/>
      <c r="U44" s="61" t="str">
        <f t="shared" si="8"/>
        <v>Redsixmix</v>
      </c>
      <c r="V44" s="62">
        <f>IFERROR(__xludf.DUMMYFUNCTION("iferror(VALUE(left(index(IMPORTXML(I46, ""//div[@class='col-lg-2 user-stat stat-green']""),2,1),len(index(IMPORTXML(I46, ""//div[@class='col-lg-2 user-stat stat-green']""),2,1))-8)),0)"),1.0)</f>
        <v>1</v>
      </c>
      <c r="W44" s="21"/>
      <c r="X44" s="21"/>
      <c r="Y44" s="21"/>
      <c r="Z44" s="21"/>
    </row>
    <row r="45" ht="15.0" customHeight="1">
      <c r="A45" s="51">
        <f t="shared" si="9"/>
        <v>38</v>
      </c>
      <c r="B45" s="52" t="str">
        <f t="shared" si="2"/>
        <v>Japanse 🍁 Maple 🌿 #38 | R8 - C12</v>
      </c>
      <c r="C45" s="53">
        <v>8.0</v>
      </c>
      <c r="D45" s="53">
        <v>12.0</v>
      </c>
      <c r="E45" s="54" t="s">
        <v>152</v>
      </c>
      <c r="F45" s="54" t="s">
        <v>153</v>
      </c>
      <c r="G45" s="55" t="s">
        <v>46</v>
      </c>
      <c r="H45" s="56" t="str">
        <f t="shared" si="3"/>
        <v>mathew611</v>
      </c>
      <c r="I45" s="63" t="s">
        <v>154</v>
      </c>
      <c r="J45" s="64"/>
      <c r="K45" s="59" t="b">
        <v>1</v>
      </c>
      <c r="L45" s="53">
        <f t="shared" si="4"/>
        <v>0</v>
      </c>
      <c r="M45" s="53">
        <f t="shared" si="5"/>
        <v>0</v>
      </c>
      <c r="N45" s="53">
        <f t="shared" si="6"/>
        <v>0</v>
      </c>
      <c r="O45" s="52" t="str">
        <f t="shared" si="11"/>
        <v/>
      </c>
      <c r="P45" s="60" t="str">
        <f>IFERROR(__xludf.DUMMYFUNCTION("IF($N45=1,IFERROR(IMPORTXML($I45, ""//p[@class='status-date']""), ""Not Loading""),"""")"),"")</f>
        <v/>
      </c>
      <c r="Q45" s="65"/>
      <c r="R45" s="65"/>
      <c r="S45" s="65"/>
      <c r="T45" s="65"/>
      <c r="U45" s="61" t="str">
        <f t="shared" si="8"/>
        <v>mathew611</v>
      </c>
      <c r="V45" s="62">
        <f>IFERROR(__xludf.DUMMYFUNCTION("iferror(VALUE(left(index(IMPORTXML(I47, ""//div[@class='col-lg-2 user-stat stat-green']""),2,1),len(index(IMPORTXML(I47, ""//div[@class='col-lg-2 user-stat stat-green']""),2,1))-8)),0)"),2.0)</f>
        <v>2</v>
      </c>
      <c r="W45" s="21"/>
      <c r="X45" s="21"/>
      <c r="Y45" s="21"/>
      <c r="Z45" s="21"/>
    </row>
    <row r="46" ht="15.0" customHeight="1">
      <c r="A46" s="51">
        <f t="shared" si="9"/>
        <v>39</v>
      </c>
      <c r="B46" s="52" t="str">
        <f t="shared" si="2"/>
        <v>Japanse 🍁 Maple 🌿 #39 | R8 - C13</v>
      </c>
      <c r="C46" s="53">
        <v>8.0</v>
      </c>
      <c r="D46" s="53">
        <v>13.0</v>
      </c>
      <c r="E46" s="54" t="s">
        <v>155</v>
      </c>
      <c r="F46" s="54" t="s">
        <v>156</v>
      </c>
      <c r="G46" s="55" t="s">
        <v>39</v>
      </c>
      <c r="H46" s="56" t="str">
        <f t="shared" si="3"/>
        <v>Nicolet</v>
      </c>
      <c r="I46" s="63" t="s">
        <v>157</v>
      </c>
      <c r="J46" s="64"/>
      <c r="K46" s="59" t="b">
        <v>1</v>
      </c>
      <c r="L46" s="53">
        <f t="shared" si="4"/>
        <v>0</v>
      </c>
      <c r="M46" s="53">
        <f t="shared" si="5"/>
        <v>0</v>
      </c>
      <c r="N46" s="53">
        <f t="shared" si="6"/>
        <v>0</v>
      </c>
      <c r="O46" s="52" t="str">
        <f t="shared" si="11"/>
        <v/>
      </c>
      <c r="P46" s="60" t="str">
        <f>IFERROR(__xludf.DUMMYFUNCTION("IF($N46=1,IFERROR(IMPORTXML($I46, ""//p[@class='status-date']""), ""Not Loading""),"""")"),"")</f>
        <v/>
      </c>
      <c r="Q46" s="61"/>
      <c r="R46" s="61"/>
      <c r="S46" s="61"/>
      <c r="T46" s="61"/>
      <c r="U46" s="61" t="str">
        <f t="shared" si="8"/>
        <v>Nicolet</v>
      </c>
      <c r="V46" s="62">
        <f>IFERROR(__xludf.DUMMYFUNCTION("iferror(VALUE(left(index(IMPORTXML(I48, ""//div[@class='col-lg-2 user-stat stat-green']""),2,1),len(index(IMPORTXML(I48, ""//div[@class='col-lg-2 user-stat stat-green']""),2,1))-8)),0)"),2.0)</f>
        <v>2</v>
      </c>
      <c r="W46" s="21"/>
      <c r="X46" s="21"/>
      <c r="Y46" s="21"/>
      <c r="Z46" s="21"/>
    </row>
    <row r="47" ht="15.0" customHeight="1">
      <c r="A47" s="51">
        <f t="shared" si="9"/>
        <v>40</v>
      </c>
      <c r="B47" s="52" t="str">
        <f t="shared" si="2"/>
        <v>Japanse 🍁 Maple 🌿 #40 | R8 - C14</v>
      </c>
      <c r="C47" s="53">
        <v>8.0</v>
      </c>
      <c r="D47" s="53">
        <v>14.0</v>
      </c>
      <c r="E47" s="54" t="s">
        <v>158</v>
      </c>
      <c r="F47" s="54" t="s">
        <v>159</v>
      </c>
      <c r="G47" s="55" t="s">
        <v>46</v>
      </c>
      <c r="H47" s="56" t="str">
        <f t="shared" si="3"/>
        <v>Kapor24</v>
      </c>
      <c r="I47" s="63" t="s">
        <v>160</v>
      </c>
      <c r="J47" s="58"/>
      <c r="K47" s="59" t="b">
        <v>1</v>
      </c>
      <c r="L47" s="53">
        <f>IF($I42="",1,0)</f>
        <v>0</v>
      </c>
      <c r="M47" s="53">
        <f>IF(AND($I42&lt;&gt;"",$H47="Insert URL ▶"),1,0)</f>
        <v>0</v>
      </c>
      <c r="N47" s="53">
        <f>IF(K47=TRUE,0,IF(AND($I42&lt;&gt;"",$H47&lt;&gt;"Insert URL ▶"),1,0))</f>
        <v>0</v>
      </c>
      <c r="O47" s="52" t="str">
        <f>IF($N47=1,HYPERLINK($I42&amp;"map/?lat="&amp;$E47&amp;"lon="&amp;$F47&amp;"type="&amp;$G47,"Munzee"),"")</f>
        <v/>
      </c>
      <c r="P47" s="60" t="str">
        <f>IFERROR(__xludf.DUMMYFUNCTION("IF($N47=1,IFERROR(IMPORTXML($I42, ""//p[@class='status-date']""), ""Not Loading""),"""")"),"")</f>
        <v/>
      </c>
      <c r="Q47" s="65"/>
      <c r="R47" s="65"/>
      <c r="S47" s="65"/>
      <c r="T47" s="65"/>
      <c r="U47" s="61" t="str">
        <f t="shared" si="8"/>
        <v>Kapor24</v>
      </c>
      <c r="V47" s="62">
        <f>IFERROR(__xludf.DUMMYFUNCTION("iferror(VALUE(left(index(IMPORTXML(I49, ""//div[@class='col-lg-2 user-stat stat-green']""),2,1),len(index(IMPORTXML(I49, ""//div[@class='col-lg-2 user-stat stat-green']""),2,1))-8)),0)"),1.0)</f>
        <v>1</v>
      </c>
      <c r="W47" s="21"/>
      <c r="X47" s="21"/>
      <c r="Y47" s="21"/>
      <c r="Z47" s="21"/>
    </row>
    <row r="48" ht="15.0" customHeight="1">
      <c r="A48" s="51">
        <f t="shared" si="9"/>
        <v>41</v>
      </c>
      <c r="B48" s="52" t="str">
        <f t="shared" si="2"/>
        <v>Japanse 🍁 Maple 🌿 #41 | R8 - C15</v>
      </c>
      <c r="C48" s="53">
        <v>8.0</v>
      </c>
      <c r="D48" s="53">
        <v>15.0</v>
      </c>
      <c r="E48" s="54" t="s">
        <v>161</v>
      </c>
      <c r="F48" s="54" t="s">
        <v>162</v>
      </c>
      <c r="G48" s="55" t="s">
        <v>39</v>
      </c>
      <c r="H48" s="56" t="str">
        <f t="shared" si="3"/>
        <v>georeyna</v>
      </c>
      <c r="I48" s="63" t="s">
        <v>163</v>
      </c>
      <c r="J48" s="58"/>
      <c r="K48" s="59" t="b">
        <v>1</v>
      </c>
      <c r="L48" s="53">
        <f t="shared" ref="L48:L154" si="12">IF($I48="",1,0)</f>
        <v>0</v>
      </c>
      <c r="M48" s="53">
        <f t="shared" ref="M48:M154" si="13">IF(AND($I48&lt;&gt;"",$H48="Insert URL ▶"),1,0)</f>
        <v>0</v>
      </c>
      <c r="N48" s="53">
        <f t="shared" ref="N48:N154" si="14">IF(K48=TRUE,0,IF(AND($I48&lt;&gt;"",$H48&lt;&gt;"Insert URL ▶"),1,0))</f>
        <v>0</v>
      </c>
      <c r="O48" s="66" t="str">
        <f>IF($N48=1,HYPERLINK($I48&amp;"map/?lat="&amp;$E48&amp;"lon="&amp;$F48&amp;"type="&amp;$G48,"Munzee"),"")</f>
        <v/>
      </c>
      <c r="P48" s="60" t="str">
        <f>IFERROR(__xludf.DUMMYFUNCTION("IF($N48=1,IFERROR(IMPORTXML($I48, ""//p[@class='status-date']""), ""Not Loading""),"""")"),"")</f>
        <v/>
      </c>
      <c r="Q48" s="61"/>
      <c r="R48" s="61"/>
      <c r="S48" s="61"/>
      <c r="T48" s="61"/>
      <c r="U48" s="61" t="str">
        <f t="shared" si="8"/>
        <v>georeyna</v>
      </c>
      <c r="V48" s="62">
        <f>IFERROR(__xludf.DUMMYFUNCTION("iferror(VALUE(left(index(IMPORTXML(I50, ""//div[@class='col-lg-2 user-stat stat-green']""),2,1),len(index(IMPORTXML(I50, ""//div[@class='col-lg-2 user-stat stat-green']""),2,1))-8)),0)"),2.0)</f>
        <v>2</v>
      </c>
      <c r="W48" s="21"/>
      <c r="X48" s="21"/>
      <c r="Y48" s="21"/>
      <c r="Z48" s="21"/>
    </row>
    <row r="49" ht="15.0" customHeight="1">
      <c r="A49" s="51">
        <f t="shared" si="9"/>
        <v>42</v>
      </c>
      <c r="B49" s="52" t="str">
        <f t="shared" si="2"/>
        <v>Japanse 🍁 Maple 🌿 #42 | R8 - C16</v>
      </c>
      <c r="C49" s="53">
        <v>8.0</v>
      </c>
      <c r="D49" s="53">
        <v>16.0</v>
      </c>
      <c r="E49" s="54" t="s">
        <v>164</v>
      </c>
      <c r="F49" s="54" t="s">
        <v>165</v>
      </c>
      <c r="G49" s="55" t="s">
        <v>35</v>
      </c>
      <c r="H49" s="56" t="str">
        <f t="shared" si="3"/>
        <v>Neloras</v>
      </c>
      <c r="I49" s="63" t="s">
        <v>166</v>
      </c>
      <c r="J49" s="64"/>
      <c r="K49" s="59" t="b">
        <v>1</v>
      </c>
      <c r="L49" s="53">
        <f t="shared" si="12"/>
        <v>0</v>
      </c>
      <c r="M49" s="53">
        <f t="shared" si="13"/>
        <v>0</v>
      </c>
      <c r="N49" s="53">
        <f t="shared" si="14"/>
        <v>0</v>
      </c>
      <c r="O49" s="52" t="str">
        <f>IF($N49=1,HYPERLINK(#REF!&amp;"map/?lat="&amp;$E49&amp;"lon="&amp;$F49&amp;"type="&amp;$G49,"Munzee"),"")</f>
        <v/>
      </c>
      <c r="P49" s="60" t="str">
        <f>IFERROR(__xludf.DUMMYFUNCTION("IF($N49=1,IFERROR(IMPORTXML(#REF!, ""//p[@class='status-date']""), ""Not Loading""),"""")"),"")</f>
        <v/>
      </c>
      <c r="Q49" s="65"/>
      <c r="R49" s="65"/>
      <c r="S49" s="65"/>
      <c r="T49" s="65"/>
      <c r="U49" s="61" t="str">
        <f t="shared" si="8"/>
        <v>Neloras</v>
      </c>
      <c r="V49" s="62">
        <f>IFERROR(__xludf.DUMMYFUNCTION("iferror(VALUE(left(index(IMPORTXML(I51, ""//div[@class='col-lg-2 user-stat stat-green']""),2,1),len(index(IMPORTXML(I51, ""//div[@class='col-lg-2 user-stat stat-green']""),2,1))-8)),0)"),2.0)</f>
        <v>2</v>
      </c>
      <c r="W49" s="21"/>
      <c r="X49" s="21"/>
      <c r="Y49" s="21"/>
      <c r="Z49" s="21"/>
    </row>
    <row r="50" ht="15.0" customHeight="1">
      <c r="A50" s="51">
        <f t="shared" si="9"/>
        <v>43</v>
      </c>
      <c r="B50" s="52" t="str">
        <f t="shared" si="2"/>
        <v>Japanse 🍁 Maple 🌿 #43 | R9 - C2</v>
      </c>
      <c r="C50" s="53">
        <v>9.0</v>
      </c>
      <c r="D50" s="53">
        <v>2.0</v>
      </c>
      <c r="E50" s="54" t="s">
        <v>167</v>
      </c>
      <c r="F50" s="54" t="s">
        <v>168</v>
      </c>
      <c r="G50" s="55" t="s">
        <v>39</v>
      </c>
      <c r="H50" s="56" t="str">
        <f t="shared" si="3"/>
        <v>BenandJules</v>
      </c>
      <c r="I50" s="63" t="s">
        <v>169</v>
      </c>
      <c r="J50" s="64"/>
      <c r="K50" s="59" t="b">
        <v>1</v>
      </c>
      <c r="L50" s="53">
        <f t="shared" si="12"/>
        <v>0</v>
      </c>
      <c r="M50" s="53">
        <f t="shared" si="13"/>
        <v>0</v>
      </c>
      <c r="N50" s="53">
        <f t="shared" si="14"/>
        <v>0</v>
      </c>
      <c r="O50" s="52" t="str">
        <f t="shared" ref="O50:O154" si="15">IF($N50=1,HYPERLINK($I50&amp;"map/?lat="&amp;$E50&amp;"lon="&amp;$F50&amp;"type="&amp;$G50,"Munzee"),"")</f>
        <v/>
      </c>
      <c r="P50" s="60" t="str">
        <f>IFERROR(__xludf.DUMMYFUNCTION("IF($N50=1,IFERROR(IMPORTXML($I50, ""//p[@class='status-date']""), ""Not Loading""),"""")"),"")</f>
        <v/>
      </c>
      <c r="Q50" s="61"/>
      <c r="R50" s="61"/>
      <c r="S50" s="61"/>
      <c r="T50" s="61"/>
      <c r="U50" s="61" t="str">
        <f t="shared" si="8"/>
        <v>BenandJules</v>
      </c>
      <c r="V50" s="62">
        <f>IFERROR(__xludf.DUMMYFUNCTION("iferror(VALUE(left(index(IMPORTXML(I52, ""//div[@class='col-lg-2 user-stat stat-green']""),2,1),len(index(IMPORTXML(I52, ""//div[@class='col-lg-2 user-stat stat-green']""),2,1))-8)),0)"),4.0)</f>
        <v>4</v>
      </c>
      <c r="W50" s="21"/>
      <c r="X50" s="21"/>
      <c r="Y50" s="21"/>
      <c r="Z50" s="21"/>
    </row>
    <row r="51" ht="15.0" customHeight="1">
      <c r="A51" s="51">
        <f t="shared" si="9"/>
        <v>44</v>
      </c>
      <c r="B51" s="52" t="str">
        <f t="shared" si="2"/>
        <v>Japanse 🍁 Maple 🌿 #44 | R9 - C3</v>
      </c>
      <c r="C51" s="53">
        <v>9.0</v>
      </c>
      <c r="D51" s="53">
        <v>3.0</v>
      </c>
      <c r="E51" s="54" t="s">
        <v>170</v>
      </c>
      <c r="F51" s="54" t="s">
        <v>171</v>
      </c>
      <c r="G51" s="55" t="s">
        <v>50</v>
      </c>
      <c r="H51" s="56" t="str">
        <f t="shared" si="3"/>
        <v>and2470</v>
      </c>
      <c r="I51" s="57" t="s">
        <v>172</v>
      </c>
      <c r="J51" s="64"/>
      <c r="K51" s="59" t="b">
        <v>1</v>
      </c>
      <c r="L51" s="53">
        <f t="shared" si="12"/>
        <v>0</v>
      </c>
      <c r="M51" s="53">
        <f t="shared" si="13"/>
        <v>0</v>
      </c>
      <c r="N51" s="53">
        <f t="shared" si="14"/>
        <v>0</v>
      </c>
      <c r="O51" s="52" t="str">
        <f t="shared" si="15"/>
        <v/>
      </c>
      <c r="P51" s="60" t="str">
        <f>IFERROR(__xludf.DUMMYFUNCTION("IF($N51=1,IFERROR(IMPORTXML($I51, ""//p[@class='status-date']""), ""Not Loading""),"""")"),"")</f>
        <v/>
      </c>
      <c r="Q51" s="65"/>
      <c r="R51" s="65"/>
      <c r="S51" s="65"/>
      <c r="T51" s="65"/>
      <c r="U51" s="61" t="str">
        <f t="shared" si="8"/>
        <v>and2470</v>
      </c>
      <c r="V51" s="62">
        <f>IFERROR(__xludf.DUMMYFUNCTION("iferror(VALUE(left(index(IMPORTXML(I53, ""//div[@class='col-lg-2 user-stat stat-green']""),2,1),len(index(IMPORTXML(I53, ""//div[@class='col-lg-2 user-stat stat-green']""),2,1))-8)),0)"),2.0)</f>
        <v>2</v>
      </c>
      <c r="W51" s="21"/>
      <c r="X51" s="21"/>
      <c r="Y51" s="21"/>
      <c r="Z51" s="21"/>
    </row>
    <row r="52" ht="15.0" customHeight="1">
      <c r="A52" s="51">
        <f t="shared" si="9"/>
        <v>45</v>
      </c>
      <c r="B52" s="52" t="str">
        <f t="shared" si="2"/>
        <v>Japanse 🍁 Maple 🌿 #45 | R9 - C4</v>
      </c>
      <c r="C52" s="53">
        <v>9.0</v>
      </c>
      <c r="D52" s="53">
        <v>4.0</v>
      </c>
      <c r="E52" s="54" t="s">
        <v>173</v>
      </c>
      <c r="F52" s="54" t="s">
        <v>174</v>
      </c>
      <c r="G52" s="55" t="s">
        <v>60</v>
      </c>
      <c r="H52" s="56" t="str">
        <f t="shared" si="3"/>
        <v>EeveeFox</v>
      </c>
      <c r="I52" s="63" t="s">
        <v>175</v>
      </c>
      <c r="J52" s="64"/>
      <c r="K52" s="59" t="b">
        <v>1</v>
      </c>
      <c r="L52" s="53">
        <f t="shared" si="12"/>
        <v>0</v>
      </c>
      <c r="M52" s="53">
        <f t="shared" si="13"/>
        <v>0</v>
      </c>
      <c r="N52" s="53">
        <f t="shared" si="14"/>
        <v>0</v>
      </c>
      <c r="O52" s="52" t="str">
        <f t="shared" si="15"/>
        <v/>
      </c>
      <c r="P52" s="60" t="str">
        <f>IFERROR(__xludf.DUMMYFUNCTION("IF($N52=1,IFERROR(IMPORTXML($I52, ""//p[@class='status-date']""), ""Not Loading""),"""")"),"")</f>
        <v/>
      </c>
      <c r="Q52" s="61"/>
      <c r="R52" s="61"/>
      <c r="S52" s="61"/>
      <c r="T52" s="61"/>
      <c r="U52" s="61" t="str">
        <f t="shared" si="8"/>
        <v>EeveeFox</v>
      </c>
      <c r="V52" s="62">
        <f>IFERROR(__xludf.DUMMYFUNCTION("iferror(VALUE(left(index(IMPORTXML(I54, ""//div[@class='col-lg-2 user-stat stat-green']""),2,1),len(index(IMPORTXML(I54, ""//div[@class='col-lg-2 user-stat stat-green']""),2,1))-8)),0)"),2.0)</f>
        <v>2</v>
      </c>
      <c r="W52" s="21"/>
      <c r="X52" s="21"/>
      <c r="Y52" s="21"/>
      <c r="Z52" s="21"/>
    </row>
    <row r="53" ht="15.0" customHeight="1">
      <c r="A53" s="51">
        <f t="shared" si="9"/>
        <v>46</v>
      </c>
      <c r="B53" s="52" t="str">
        <f t="shared" si="2"/>
        <v>Japanse 🍁 Maple 🌿 #46 | R9 - C5</v>
      </c>
      <c r="C53" s="53">
        <v>9.0</v>
      </c>
      <c r="D53" s="53">
        <v>5.0</v>
      </c>
      <c r="E53" s="54" t="s">
        <v>176</v>
      </c>
      <c r="F53" s="54" t="s">
        <v>177</v>
      </c>
      <c r="G53" s="55" t="s">
        <v>60</v>
      </c>
      <c r="H53" s="56" t="str">
        <f t="shared" si="3"/>
        <v>Neloras</v>
      </c>
      <c r="I53" s="63" t="s">
        <v>178</v>
      </c>
      <c r="J53" s="64"/>
      <c r="K53" s="59" t="b">
        <v>1</v>
      </c>
      <c r="L53" s="53">
        <f t="shared" si="12"/>
        <v>0</v>
      </c>
      <c r="M53" s="53">
        <f t="shared" si="13"/>
        <v>0</v>
      </c>
      <c r="N53" s="53">
        <f t="shared" si="14"/>
        <v>0</v>
      </c>
      <c r="O53" s="66" t="str">
        <f t="shared" si="15"/>
        <v/>
      </c>
      <c r="P53" s="60" t="str">
        <f>IFERROR(__xludf.DUMMYFUNCTION("IF($N53=1,IFERROR(IMPORTXML($I53, ""//p[@class='status-date']""), ""Not Loading""),"""")"),"")</f>
        <v/>
      </c>
      <c r="Q53" s="65"/>
      <c r="R53" s="65"/>
      <c r="S53" s="65"/>
      <c r="T53" s="65"/>
      <c r="U53" s="61" t="str">
        <f t="shared" si="8"/>
        <v>Neloras</v>
      </c>
      <c r="V53" s="62">
        <f>IFERROR(__xludf.DUMMYFUNCTION("iferror(VALUE(left(index(IMPORTXML(I55, ""//div[@class='col-lg-2 user-stat stat-green']""),2,1),len(index(IMPORTXML(I55, ""//div[@class='col-lg-2 user-stat stat-green']""),2,1))-8)),0)"),2.0)</f>
        <v>2</v>
      </c>
      <c r="W53" s="21"/>
      <c r="X53" s="21"/>
      <c r="Y53" s="21"/>
      <c r="Z53" s="21"/>
    </row>
    <row r="54" ht="15.0" customHeight="1">
      <c r="A54" s="51">
        <f t="shared" si="9"/>
        <v>47</v>
      </c>
      <c r="B54" s="52" t="str">
        <f t="shared" si="2"/>
        <v>Japanse 🍁 Maple 🌿 #47 | R9 - C6</v>
      </c>
      <c r="C54" s="53">
        <v>9.0</v>
      </c>
      <c r="D54" s="53">
        <v>6.0</v>
      </c>
      <c r="E54" s="54" t="s">
        <v>179</v>
      </c>
      <c r="F54" s="54" t="s">
        <v>180</v>
      </c>
      <c r="G54" s="55" t="s">
        <v>39</v>
      </c>
      <c r="H54" s="56" t="str">
        <f t="shared" si="3"/>
        <v>CambridgeHannons</v>
      </c>
      <c r="I54" s="67" t="s">
        <v>181</v>
      </c>
      <c r="J54" s="58"/>
      <c r="K54" s="59" t="b">
        <v>1</v>
      </c>
      <c r="L54" s="53">
        <f t="shared" si="12"/>
        <v>0</v>
      </c>
      <c r="M54" s="53">
        <f t="shared" si="13"/>
        <v>0</v>
      </c>
      <c r="N54" s="53">
        <f t="shared" si="14"/>
        <v>0</v>
      </c>
      <c r="O54" s="66" t="str">
        <f t="shared" si="15"/>
        <v/>
      </c>
      <c r="P54" s="60" t="str">
        <f>IFERROR(__xludf.DUMMYFUNCTION("IF($N54=1,IFERROR(IMPORTXML($I54, ""//p[@class='status-date']""), ""Not Loading""),"""")"),"")</f>
        <v/>
      </c>
      <c r="Q54" s="61"/>
      <c r="R54" s="61"/>
      <c r="S54" s="61"/>
      <c r="T54" s="61"/>
      <c r="U54" s="61" t="str">
        <f t="shared" si="8"/>
        <v>CambridgeHannons</v>
      </c>
      <c r="V54" s="62">
        <f>IFERROR(__xludf.DUMMYFUNCTION("iferror(VALUE(left(index(IMPORTXML(I56, ""//div[@class='col-lg-2 user-stat stat-green']""),2,1),len(index(IMPORTXML(I56, ""//div[@class='col-lg-2 user-stat stat-green']""),2,1))-8)),0)"),7.0)</f>
        <v>7</v>
      </c>
      <c r="W54" s="21"/>
      <c r="X54" s="21"/>
      <c r="Y54" s="21"/>
      <c r="Z54" s="21"/>
    </row>
    <row r="55" ht="15.0" customHeight="1">
      <c r="A55" s="51">
        <f t="shared" si="9"/>
        <v>48</v>
      </c>
      <c r="B55" s="52" t="str">
        <f t="shared" si="2"/>
        <v>Japanse 🍁 Maple 🌿 #48 | R9 - C7</v>
      </c>
      <c r="C55" s="53">
        <v>9.0</v>
      </c>
      <c r="D55" s="53">
        <v>7.0</v>
      </c>
      <c r="E55" s="54" t="s">
        <v>182</v>
      </c>
      <c r="F55" s="54" t="s">
        <v>183</v>
      </c>
      <c r="G55" s="55" t="s">
        <v>46</v>
      </c>
      <c r="H55" s="56" t="str">
        <f t="shared" si="3"/>
        <v>SammIam</v>
      </c>
      <c r="I55" s="57" t="s">
        <v>184</v>
      </c>
      <c r="J55" s="64"/>
      <c r="K55" s="59" t="b">
        <v>1</v>
      </c>
      <c r="L55" s="53">
        <f t="shared" si="12"/>
        <v>0</v>
      </c>
      <c r="M55" s="53">
        <f t="shared" si="13"/>
        <v>0</v>
      </c>
      <c r="N55" s="53">
        <f t="shared" si="14"/>
        <v>0</v>
      </c>
      <c r="O55" s="52" t="str">
        <f t="shared" si="15"/>
        <v/>
      </c>
      <c r="P55" s="60" t="str">
        <f>IFERROR(__xludf.DUMMYFUNCTION("IF($N55=1,IFERROR(IMPORTXML($I55, ""//p[@class='status-date']""), ""Not Loading""),"""")"),"")</f>
        <v/>
      </c>
      <c r="Q55" s="65"/>
      <c r="R55" s="65"/>
      <c r="S55" s="65"/>
      <c r="T55" s="65"/>
      <c r="U55" s="61" t="str">
        <f t="shared" si="8"/>
        <v>SammIam</v>
      </c>
      <c r="V55" s="62">
        <f>IFERROR(__xludf.DUMMYFUNCTION("iferror(VALUE(left(index(IMPORTXML(I57, ""//div[@class='col-lg-2 user-stat stat-green']""),2,1),len(index(IMPORTXML(I57, ""//div[@class='col-lg-2 user-stat stat-green']""),2,1))-8)),0)"),1.0)</f>
        <v>1</v>
      </c>
      <c r="W55" s="21"/>
      <c r="X55" s="21"/>
      <c r="Y55" s="21"/>
      <c r="Z55" s="21"/>
    </row>
    <row r="56" ht="15.0" customHeight="1">
      <c r="A56" s="51">
        <f t="shared" si="9"/>
        <v>49</v>
      </c>
      <c r="B56" s="52" t="str">
        <f t="shared" si="2"/>
        <v>Japanse 🍁 Maple 🌿 #49 | R9 - C8</v>
      </c>
      <c r="C56" s="53">
        <v>9.0</v>
      </c>
      <c r="D56" s="53">
        <v>8.0</v>
      </c>
      <c r="E56" s="54" t="s">
        <v>185</v>
      </c>
      <c r="F56" s="54" t="s">
        <v>186</v>
      </c>
      <c r="G56" s="55" t="s">
        <v>60</v>
      </c>
      <c r="H56" s="56" t="str">
        <f t="shared" si="3"/>
        <v>and2470</v>
      </c>
      <c r="I56" s="63" t="s">
        <v>187</v>
      </c>
      <c r="J56" s="64"/>
      <c r="K56" s="59" t="b">
        <v>1</v>
      </c>
      <c r="L56" s="53">
        <f t="shared" si="12"/>
        <v>0</v>
      </c>
      <c r="M56" s="53">
        <f t="shared" si="13"/>
        <v>0</v>
      </c>
      <c r="N56" s="53">
        <f t="shared" si="14"/>
        <v>0</v>
      </c>
      <c r="O56" s="52" t="str">
        <f t="shared" si="15"/>
        <v/>
      </c>
      <c r="P56" s="60" t="str">
        <f>IFERROR(__xludf.DUMMYFUNCTION("IF($N56=1,IFERROR(IMPORTXML($I56, ""//p[@class='status-date']""), ""Not Loading""),"""")"),"")</f>
        <v/>
      </c>
      <c r="Q56" s="61"/>
      <c r="R56" s="61"/>
      <c r="S56" s="61"/>
      <c r="T56" s="61"/>
      <c r="U56" s="61" t="str">
        <f t="shared" si="8"/>
        <v>and2470</v>
      </c>
      <c r="V56" s="62">
        <f>IFERROR(__xludf.DUMMYFUNCTION("iferror(VALUE(left(index(IMPORTXML(I58, ""//div[@class='col-lg-2 user-stat stat-green']""),2,1),len(index(IMPORTXML(I58, ""//div[@class='col-lg-2 user-stat stat-green']""),2,1))-8)),0)"),7.0)</f>
        <v>7</v>
      </c>
      <c r="W56" s="21"/>
      <c r="X56" s="21"/>
      <c r="Y56" s="21"/>
      <c r="Z56" s="21"/>
    </row>
    <row r="57" ht="15.0" customHeight="1">
      <c r="A57" s="51">
        <f t="shared" si="9"/>
        <v>50</v>
      </c>
      <c r="B57" s="52" t="str">
        <f t="shared" si="2"/>
        <v>Japanse 🍁 Maple 🌿 #50 | R9 - C9</v>
      </c>
      <c r="C57" s="53">
        <v>9.0</v>
      </c>
      <c r="D57" s="53">
        <v>9.0</v>
      </c>
      <c r="E57" s="54" t="s">
        <v>188</v>
      </c>
      <c r="F57" s="54" t="s">
        <v>189</v>
      </c>
      <c r="G57" s="55" t="s">
        <v>77</v>
      </c>
      <c r="H57" s="56" t="str">
        <f t="shared" si="3"/>
        <v>Neloras</v>
      </c>
      <c r="I57" s="63" t="s">
        <v>190</v>
      </c>
      <c r="J57" s="64"/>
      <c r="K57" s="59" t="b">
        <v>1</v>
      </c>
      <c r="L57" s="53">
        <f t="shared" si="12"/>
        <v>0</v>
      </c>
      <c r="M57" s="53">
        <f t="shared" si="13"/>
        <v>0</v>
      </c>
      <c r="N57" s="53">
        <f t="shared" si="14"/>
        <v>0</v>
      </c>
      <c r="O57" s="52" t="str">
        <f t="shared" si="15"/>
        <v/>
      </c>
      <c r="P57" s="60" t="str">
        <f>IFERROR(__xludf.DUMMYFUNCTION("IF($N57=1,IFERROR(IMPORTXML($I57, ""//p[@class='status-date']""), ""Not Loading""),"""")"),"")</f>
        <v/>
      </c>
      <c r="Q57" s="65"/>
      <c r="R57" s="65"/>
      <c r="S57" s="65"/>
      <c r="T57" s="65"/>
      <c r="U57" s="61" t="str">
        <f t="shared" si="8"/>
        <v>Neloras</v>
      </c>
      <c r="V57" s="62">
        <f>IFERROR(__xludf.DUMMYFUNCTION("iferror(VALUE(left(index(IMPORTXML(I59, ""//div[@class='col-lg-2 user-stat stat-green']""),2,1),len(index(IMPORTXML(I59, ""//div[@class='col-lg-2 user-stat stat-green']""),2,1))-8)),0)"),2.0)</f>
        <v>2</v>
      </c>
      <c r="W57" s="21"/>
      <c r="X57" s="21"/>
      <c r="Y57" s="21"/>
      <c r="Z57" s="21"/>
    </row>
    <row r="58" ht="15.0" customHeight="1">
      <c r="A58" s="51">
        <f t="shared" si="9"/>
        <v>51</v>
      </c>
      <c r="B58" s="52" t="str">
        <f t="shared" si="2"/>
        <v>Japanse 🍁 Maple 🌿 #51 | R9 - C10</v>
      </c>
      <c r="C58" s="53">
        <v>9.0</v>
      </c>
      <c r="D58" s="53">
        <v>10.0</v>
      </c>
      <c r="E58" s="54" t="s">
        <v>191</v>
      </c>
      <c r="F58" s="54" t="s">
        <v>192</v>
      </c>
      <c r="G58" s="55" t="s">
        <v>64</v>
      </c>
      <c r="H58" s="56" t="str">
        <f t="shared" si="3"/>
        <v>kepke3</v>
      </c>
      <c r="I58" s="63" t="s">
        <v>193</v>
      </c>
      <c r="J58" s="64"/>
      <c r="K58" s="59" t="b">
        <v>1</v>
      </c>
      <c r="L58" s="53">
        <f t="shared" si="12"/>
        <v>0</v>
      </c>
      <c r="M58" s="53">
        <f t="shared" si="13"/>
        <v>0</v>
      </c>
      <c r="N58" s="53">
        <f t="shared" si="14"/>
        <v>0</v>
      </c>
      <c r="O58" s="66" t="str">
        <f t="shared" si="15"/>
        <v/>
      </c>
      <c r="P58" s="60" t="str">
        <f>IFERROR(__xludf.DUMMYFUNCTION("IF($N58=1,IFERROR(IMPORTXML($I58, ""//p[@class='status-date']""), ""Not Loading""),"""")"),"")</f>
        <v/>
      </c>
      <c r="Q58" s="61"/>
      <c r="R58" s="61"/>
      <c r="S58" s="61"/>
      <c r="T58" s="61"/>
      <c r="U58" s="61" t="str">
        <f t="shared" si="8"/>
        <v>kepke3</v>
      </c>
      <c r="V58" s="62">
        <f>IFERROR(__xludf.DUMMYFUNCTION("iferror(VALUE(left(index(IMPORTXML(I60, ""//div[@class='col-lg-2 user-stat stat-green']""),2,1),len(index(IMPORTXML(I60, ""//div[@class='col-lg-2 user-stat stat-green']""),2,1))-8)),0)"),2.0)</f>
        <v>2</v>
      </c>
      <c r="W58" s="21"/>
      <c r="X58" s="21"/>
      <c r="Y58" s="21"/>
      <c r="Z58" s="21"/>
    </row>
    <row r="59" ht="15.0" customHeight="1">
      <c r="A59" s="51">
        <f t="shared" si="9"/>
        <v>52</v>
      </c>
      <c r="B59" s="52" t="str">
        <f t="shared" si="2"/>
        <v>Japanse 🍁 Maple 🌿 #52 | R9 - C11</v>
      </c>
      <c r="C59" s="53">
        <v>9.0</v>
      </c>
      <c r="D59" s="53">
        <v>11.0</v>
      </c>
      <c r="E59" s="54" t="s">
        <v>194</v>
      </c>
      <c r="F59" s="54" t="s">
        <v>195</v>
      </c>
      <c r="G59" s="55" t="s">
        <v>46</v>
      </c>
      <c r="H59" s="56" t="str">
        <f t="shared" si="3"/>
        <v>Arendsoog</v>
      </c>
      <c r="I59" s="63" t="s">
        <v>196</v>
      </c>
      <c r="J59" s="64"/>
      <c r="K59" s="59" t="b">
        <v>1</v>
      </c>
      <c r="L59" s="53">
        <f t="shared" si="12"/>
        <v>0</v>
      </c>
      <c r="M59" s="53">
        <f t="shared" si="13"/>
        <v>0</v>
      </c>
      <c r="N59" s="53">
        <f t="shared" si="14"/>
        <v>0</v>
      </c>
      <c r="O59" s="66" t="str">
        <f t="shared" si="15"/>
        <v/>
      </c>
      <c r="P59" s="60" t="str">
        <f>IFERROR(__xludf.DUMMYFUNCTION("IF($N59=1,IFERROR(IMPORTXML($I59, ""//p[@class='status-date']""), ""Not Loading""),"""")"),"")</f>
        <v/>
      </c>
      <c r="Q59" s="65"/>
      <c r="R59" s="65"/>
      <c r="S59" s="65"/>
      <c r="T59" s="65"/>
      <c r="U59" s="61" t="str">
        <f t="shared" si="8"/>
        <v>Arendsoog</v>
      </c>
      <c r="V59" s="62">
        <f>IFERROR(__xludf.DUMMYFUNCTION("iferror(VALUE(left(index(IMPORTXML(I61, ""//div[@class='col-lg-2 user-stat stat-green']""),2,1),len(index(IMPORTXML(I61, ""//div[@class='col-lg-2 user-stat stat-green']""),2,1))-8)),0)"),4.0)</f>
        <v>4</v>
      </c>
      <c r="W59" s="21"/>
      <c r="X59" s="21"/>
      <c r="Y59" s="21"/>
      <c r="Z59" s="21"/>
    </row>
    <row r="60" ht="15.0" customHeight="1">
      <c r="A60" s="51">
        <f t="shared" si="9"/>
        <v>53</v>
      </c>
      <c r="B60" s="52" t="str">
        <f t="shared" si="2"/>
        <v>Japanse 🍁 Maple 🌿 #53 | R9 - C12</v>
      </c>
      <c r="C60" s="53">
        <v>9.0</v>
      </c>
      <c r="D60" s="53">
        <v>12.0</v>
      </c>
      <c r="E60" s="54" t="s">
        <v>197</v>
      </c>
      <c r="F60" s="54" t="s">
        <v>198</v>
      </c>
      <c r="G60" s="55" t="s">
        <v>39</v>
      </c>
      <c r="H60" s="56" t="str">
        <f t="shared" si="3"/>
        <v>Pinkeltje</v>
      </c>
      <c r="I60" s="57" t="s">
        <v>199</v>
      </c>
      <c r="J60" s="58"/>
      <c r="K60" s="59" t="b">
        <v>1</v>
      </c>
      <c r="L60" s="53">
        <f t="shared" si="12"/>
        <v>0</v>
      </c>
      <c r="M60" s="53">
        <f t="shared" si="13"/>
        <v>0</v>
      </c>
      <c r="N60" s="53">
        <f t="shared" si="14"/>
        <v>0</v>
      </c>
      <c r="O60" s="52" t="str">
        <f t="shared" si="15"/>
        <v/>
      </c>
      <c r="P60" s="60" t="str">
        <f>IFERROR(__xludf.DUMMYFUNCTION("IF($N60=1,IFERROR(IMPORTXML($I60, ""//p[@class='status-date']""), ""Not Loading""),"""")"),"")</f>
        <v/>
      </c>
      <c r="Q60" s="61"/>
      <c r="R60" s="61"/>
      <c r="S60" s="61"/>
      <c r="T60" s="61"/>
      <c r="U60" s="61" t="str">
        <f t="shared" si="8"/>
        <v>Pinkeltje</v>
      </c>
      <c r="V60" s="62">
        <f>IFERROR(__xludf.DUMMYFUNCTION("iferror(VALUE(left(index(IMPORTXML(I62, ""//div[@class='col-lg-2 user-stat stat-green']""),2,1),len(index(IMPORTXML(I62, ""//div[@class='col-lg-2 user-stat stat-green']""),2,1))-8)),0)"),4.0)</f>
        <v>4</v>
      </c>
      <c r="W60" s="21"/>
      <c r="X60" s="21"/>
      <c r="Y60" s="21"/>
      <c r="Z60" s="21"/>
    </row>
    <row r="61" ht="15.0" customHeight="1">
      <c r="A61" s="51">
        <f t="shared" si="9"/>
        <v>54</v>
      </c>
      <c r="B61" s="52" t="str">
        <f t="shared" si="2"/>
        <v>Japanse 🍁 Maple 🌿 #54 | R9 - C13</v>
      </c>
      <c r="C61" s="53">
        <v>9.0</v>
      </c>
      <c r="D61" s="53">
        <v>13.0</v>
      </c>
      <c r="E61" s="54" t="s">
        <v>200</v>
      </c>
      <c r="F61" s="54" t="s">
        <v>201</v>
      </c>
      <c r="G61" s="55" t="s">
        <v>64</v>
      </c>
      <c r="H61" s="56" t="str">
        <f t="shared" si="3"/>
        <v>Neloras</v>
      </c>
      <c r="I61" s="63" t="s">
        <v>202</v>
      </c>
      <c r="J61" s="64"/>
      <c r="K61" s="59" t="b">
        <v>1</v>
      </c>
      <c r="L61" s="53">
        <f t="shared" si="12"/>
        <v>0</v>
      </c>
      <c r="M61" s="53">
        <f t="shared" si="13"/>
        <v>0</v>
      </c>
      <c r="N61" s="53">
        <f t="shared" si="14"/>
        <v>0</v>
      </c>
      <c r="O61" s="52" t="str">
        <f t="shared" si="15"/>
        <v/>
      </c>
      <c r="P61" s="60" t="str">
        <f>IFERROR(__xludf.DUMMYFUNCTION("IF($N61=1,IFERROR(IMPORTXML($I61, ""//p[@class='status-date']""), ""Not Loading""),"""")"),"")</f>
        <v/>
      </c>
      <c r="Q61" s="65"/>
      <c r="R61" s="65"/>
      <c r="S61" s="65"/>
      <c r="T61" s="65"/>
      <c r="U61" s="61" t="str">
        <f t="shared" si="8"/>
        <v>Neloras</v>
      </c>
      <c r="V61" s="62">
        <f>IFERROR(__xludf.DUMMYFUNCTION("iferror(VALUE(left(index(IMPORTXML(I63, ""//div[@class='col-lg-2 user-stat stat-green']""),2,1),len(index(IMPORTXML(I63, ""//div[@class='col-lg-2 user-stat stat-green']""),2,1))-8)),0)"),2.0)</f>
        <v>2</v>
      </c>
      <c r="W61" s="21"/>
      <c r="X61" s="21"/>
      <c r="Y61" s="21"/>
      <c r="Z61" s="21"/>
    </row>
    <row r="62" ht="15.0" customHeight="1">
      <c r="A62" s="51">
        <f t="shared" si="9"/>
        <v>55</v>
      </c>
      <c r="B62" s="52" t="str">
        <f t="shared" si="2"/>
        <v>Japanse 🍁 Maple 🌿 #55 | R9 - C14</v>
      </c>
      <c r="C62" s="53">
        <v>9.0</v>
      </c>
      <c r="D62" s="53">
        <v>14.0</v>
      </c>
      <c r="E62" s="54" t="s">
        <v>203</v>
      </c>
      <c r="F62" s="54" t="s">
        <v>204</v>
      </c>
      <c r="G62" s="55" t="s">
        <v>64</v>
      </c>
      <c r="H62" s="56" t="str">
        <f t="shared" si="3"/>
        <v>EeveeFox</v>
      </c>
      <c r="I62" s="63" t="s">
        <v>205</v>
      </c>
      <c r="J62" s="64"/>
      <c r="K62" s="59" t="b">
        <v>1</v>
      </c>
      <c r="L62" s="53">
        <f t="shared" si="12"/>
        <v>0</v>
      </c>
      <c r="M62" s="53">
        <f t="shared" si="13"/>
        <v>0</v>
      </c>
      <c r="N62" s="53">
        <f t="shared" si="14"/>
        <v>0</v>
      </c>
      <c r="O62" s="52" t="str">
        <f t="shared" si="15"/>
        <v/>
      </c>
      <c r="P62" s="60" t="str">
        <f>IFERROR(__xludf.DUMMYFUNCTION("IF($N62=1,IFERROR(IMPORTXML($I62, ""//p[@class='status-date']""), ""Not Loading""),"""")"),"")</f>
        <v/>
      </c>
      <c r="Q62" s="61"/>
      <c r="R62" s="61"/>
      <c r="S62" s="61"/>
      <c r="T62" s="61"/>
      <c r="U62" s="61" t="str">
        <f t="shared" si="8"/>
        <v>EeveeFox</v>
      </c>
      <c r="V62" s="62">
        <f>IFERROR(__xludf.DUMMYFUNCTION("iferror(VALUE(left(index(IMPORTXML(I64, ""//div[@class='col-lg-2 user-stat stat-green']""),2,1),len(index(IMPORTXML(I64, ""//div[@class='col-lg-2 user-stat stat-green']""),2,1))-8)),0)"),2.0)</f>
        <v>2</v>
      </c>
      <c r="W62" s="21"/>
      <c r="X62" s="21"/>
      <c r="Y62" s="21"/>
      <c r="Z62" s="21"/>
    </row>
    <row r="63" ht="15.0" customHeight="1">
      <c r="A63" s="51">
        <f t="shared" si="9"/>
        <v>56</v>
      </c>
      <c r="B63" s="52" t="str">
        <f t="shared" si="2"/>
        <v>Japanse 🍁 Maple 🌿 #56 | R9 - C15</v>
      </c>
      <c r="C63" s="53">
        <v>9.0</v>
      </c>
      <c r="D63" s="53">
        <v>15.0</v>
      </c>
      <c r="E63" s="54" t="s">
        <v>206</v>
      </c>
      <c r="F63" s="54" t="s">
        <v>207</v>
      </c>
      <c r="G63" s="55" t="s">
        <v>50</v>
      </c>
      <c r="H63" s="56" t="str">
        <f t="shared" si="3"/>
        <v>nyboss</v>
      </c>
      <c r="I63" s="63" t="s">
        <v>208</v>
      </c>
      <c r="J63" s="64"/>
      <c r="K63" s="59" t="b">
        <v>1</v>
      </c>
      <c r="L63" s="53">
        <f t="shared" si="12"/>
        <v>0</v>
      </c>
      <c r="M63" s="53">
        <f t="shared" si="13"/>
        <v>0</v>
      </c>
      <c r="N63" s="53">
        <f t="shared" si="14"/>
        <v>0</v>
      </c>
      <c r="O63" s="52" t="str">
        <f t="shared" si="15"/>
        <v/>
      </c>
      <c r="P63" s="60" t="str">
        <f>IFERROR(__xludf.DUMMYFUNCTION("IF($N63=1,IFERROR(IMPORTXML($I63, ""//p[@class='status-date']""), ""Not Loading""),"""")"),"")</f>
        <v/>
      </c>
      <c r="Q63" s="65"/>
      <c r="R63" s="65"/>
      <c r="S63" s="65"/>
      <c r="T63" s="65"/>
      <c r="U63" s="61" t="str">
        <f t="shared" si="8"/>
        <v>nyboss</v>
      </c>
      <c r="V63" s="62">
        <f>IFERROR(__xludf.DUMMYFUNCTION("iferror(VALUE(left(index(IMPORTXML(I65, ""//div[@class='col-lg-2 user-stat stat-green']""),2,1),len(index(IMPORTXML(I65, ""//div[@class='col-lg-2 user-stat stat-green']""),2,1))-8)),0)"),2.0)</f>
        <v>2</v>
      </c>
      <c r="W63" s="21"/>
      <c r="X63" s="21"/>
      <c r="Y63" s="21"/>
      <c r="Z63" s="21"/>
    </row>
    <row r="64" ht="15.0" customHeight="1">
      <c r="A64" s="51">
        <f t="shared" si="9"/>
        <v>57</v>
      </c>
      <c r="B64" s="52" t="str">
        <f t="shared" si="2"/>
        <v>Japanse 🍁 Maple 🌿 #57 | R9 - C16</v>
      </c>
      <c r="C64" s="53">
        <v>9.0</v>
      </c>
      <c r="D64" s="53">
        <v>16.0</v>
      </c>
      <c r="E64" s="54" t="s">
        <v>209</v>
      </c>
      <c r="F64" s="54" t="s">
        <v>210</v>
      </c>
      <c r="G64" s="55" t="s">
        <v>39</v>
      </c>
      <c r="H64" s="56" t="str">
        <f t="shared" si="3"/>
        <v>and2470</v>
      </c>
      <c r="I64" s="63" t="s">
        <v>211</v>
      </c>
      <c r="J64" s="64"/>
      <c r="K64" s="59" t="b">
        <v>1</v>
      </c>
      <c r="L64" s="53">
        <f t="shared" si="12"/>
        <v>0</v>
      </c>
      <c r="M64" s="53">
        <f t="shared" si="13"/>
        <v>0</v>
      </c>
      <c r="N64" s="53">
        <f t="shared" si="14"/>
        <v>0</v>
      </c>
      <c r="O64" s="52" t="str">
        <f t="shared" si="15"/>
        <v/>
      </c>
      <c r="P64" s="60" t="str">
        <f>IFERROR(__xludf.DUMMYFUNCTION("IF($N64=1,IFERROR(IMPORTXML($I64, ""//p[@class='status-date']""), ""Not Loading""),"""")"),"")</f>
        <v/>
      </c>
      <c r="Q64" s="61"/>
      <c r="R64" s="61"/>
      <c r="S64" s="61"/>
      <c r="T64" s="61"/>
      <c r="U64" s="61" t="str">
        <f t="shared" si="8"/>
        <v>and2470</v>
      </c>
      <c r="V64" s="62">
        <f>IFERROR(__xludf.DUMMYFUNCTION("iferror(VALUE(left(index(IMPORTXML(I66, ""//div[@class='col-lg-2 user-stat stat-green']""),2,1),len(index(IMPORTXML(I66, ""//div[@class='col-lg-2 user-stat stat-green']""),2,1))-8)),0)"),4.0)</f>
        <v>4</v>
      </c>
      <c r="W64" s="21"/>
      <c r="X64" s="21"/>
      <c r="Y64" s="21"/>
      <c r="Z64" s="21"/>
    </row>
    <row r="65" ht="15.0" customHeight="1">
      <c r="A65" s="51">
        <f t="shared" si="9"/>
        <v>58</v>
      </c>
      <c r="B65" s="52" t="str">
        <f t="shared" si="2"/>
        <v>Japanse 🍁 Maple 🌿 #58 | R10 - C2</v>
      </c>
      <c r="C65" s="53">
        <v>10.0</v>
      </c>
      <c r="D65" s="53">
        <v>2.0</v>
      </c>
      <c r="E65" s="54" t="s">
        <v>212</v>
      </c>
      <c r="F65" s="54" t="s">
        <v>213</v>
      </c>
      <c r="G65" s="55" t="s">
        <v>46</v>
      </c>
      <c r="H65" s="56" t="str">
        <f t="shared" si="3"/>
        <v>Charonovci</v>
      </c>
      <c r="I65" s="63" t="s">
        <v>214</v>
      </c>
      <c r="J65" s="64"/>
      <c r="K65" s="59" t="b">
        <v>1</v>
      </c>
      <c r="L65" s="53">
        <f t="shared" si="12"/>
        <v>0</v>
      </c>
      <c r="M65" s="53">
        <f t="shared" si="13"/>
        <v>0</v>
      </c>
      <c r="N65" s="53">
        <f t="shared" si="14"/>
        <v>0</v>
      </c>
      <c r="O65" s="52" t="str">
        <f t="shared" si="15"/>
        <v/>
      </c>
      <c r="P65" s="60" t="str">
        <f>IFERROR(__xludf.DUMMYFUNCTION("IF($N65=1,IFERROR(IMPORTXML($I65, ""//p[@class='status-date']""), ""Not Loading""),"""")"),"")</f>
        <v/>
      </c>
      <c r="Q65" s="65"/>
      <c r="R65" s="65"/>
      <c r="S65" s="65"/>
      <c r="T65" s="65"/>
      <c r="U65" s="61" t="str">
        <f t="shared" si="8"/>
        <v>Charonovci</v>
      </c>
      <c r="V65" s="62">
        <f>IFERROR(__xludf.DUMMYFUNCTION("iferror(VALUE(left(index(IMPORTXML(I67, ""//div[@class='col-lg-2 user-stat stat-green']""),2,1),len(index(IMPORTXML(I67, ""//div[@class='col-lg-2 user-stat stat-green']""),2,1))-8)),0)"),2.0)</f>
        <v>2</v>
      </c>
      <c r="W65" s="21"/>
      <c r="X65" s="21"/>
      <c r="Y65" s="21"/>
      <c r="Z65" s="21"/>
    </row>
    <row r="66" ht="15.0" customHeight="1">
      <c r="A66" s="51">
        <f t="shared" si="9"/>
        <v>59</v>
      </c>
      <c r="B66" s="52" t="str">
        <f t="shared" si="2"/>
        <v>Japanse 🍁 Maple 🌿 #59 | R10 - C3</v>
      </c>
      <c r="C66" s="53">
        <v>10.0</v>
      </c>
      <c r="D66" s="53">
        <v>3.0</v>
      </c>
      <c r="E66" s="54" t="s">
        <v>215</v>
      </c>
      <c r="F66" s="54" t="s">
        <v>216</v>
      </c>
      <c r="G66" s="55" t="s">
        <v>60</v>
      </c>
      <c r="H66" s="56" t="str">
        <f t="shared" si="3"/>
        <v>MacickaLizza</v>
      </c>
      <c r="I66" s="63" t="s">
        <v>217</v>
      </c>
      <c r="J66" s="64"/>
      <c r="K66" s="59" t="b">
        <v>1</v>
      </c>
      <c r="L66" s="53">
        <f t="shared" si="12"/>
        <v>0</v>
      </c>
      <c r="M66" s="53">
        <f t="shared" si="13"/>
        <v>0</v>
      </c>
      <c r="N66" s="53">
        <f t="shared" si="14"/>
        <v>0</v>
      </c>
      <c r="O66" s="52" t="str">
        <f t="shared" si="15"/>
        <v/>
      </c>
      <c r="P66" s="60" t="str">
        <f>IFERROR(__xludf.DUMMYFUNCTION("IF($N66=1,IFERROR(IMPORTXML($I66, ""//p[@class='status-date']""), ""Not Loading""),"""")"),"")</f>
        <v/>
      </c>
      <c r="Q66" s="61"/>
      <c r="R66" s="61"/>
      <c r="S66" s="61"/>
      <c r="T66" s="61"/>
      <c r="U66" s="61" t="str">
        <f t="shared" si="8"/>
        <v>MacickaLizza</v>
      </c>
      <c r="V66" s="62">
        <f>IFERROR(__xludf.DUMMYFUNCTION("iferror(VALUE(left(index(IMPORTXML(I68, ""//div[@class='col-lg-2 user-stat stat-green']""),2,1),len(index(IMPORTXML(I68, ""//div[@class='col-lg-2 user-stat stat-green']""),2,1))-8)),0)"),4.0)</f>
        <v>4</v>
      </c>
      <c r="W66" s="21"/>
      <c r="X66" s="21"/>
      <c r="Y66" s="21"/>
      <c r="Z66" s="21"/>
    </row>
    <row r="67" ht="15.0" customHeight="1">
      <c r="A67" s="51">
        <f t="shared" si="9"/>
        <v>60</v>
      </c>
      <c r="B67" s="52" t="str">
        <f t="shared" si="2"/>
        <v>Japanse 🍁 Maple 🌿 #60 | R10 - C4</v>
      </c>
      <c r="C67" s="53">
        <v>10.0</v>
      </c>
      <c r="D67" s="53">
        <v>4.0</v>
      </c>
      <c r="E67" s="54" t="s">
        <v>218</v>
      </c>
      <c r="F67" s="54" t="s">
        <v>219</v>
      </c>
      <c r="G67" s="55" t="s">
        <v>77</v>
      </c>
      <c r="H67" s="56" t="str">
        <f t="shared" si="3"/>
        <v>Arendsoog</v>
      </c>
      <c r="I67" s="63" t="s">
        <v>220</v>
      </c>
      <c r="J67" s="64"/>
      <c r="K67" s="59" t="b">
        <v>1</v>
      </c>
      <c r="L67" s="53">
        <f t="shared" si="12"/>
        <v>0</v>
      </c>
      <c r="M67" s="53">
        <f t="shared" si="13"/>
        <v>0</v>
      </c>
      <c r="N67" s="53">
        <f t="shared" si="14"/>
        <v>0</v>
      </c>
      <c r="O67" s="52" t="str">
        <f t="shared" si="15"/>
        <v/>
      </c>
      <c r="P67" s="60" t="str">
        <f>IFERROR(__xludf.DUMMYFUNCTION("IF($N67=1,IFERROR(IMPORTXML($I67, ""//p[@class='status-date']""), ""Not Loading""),"""")"),"")</f>
        <v/>
      </c>
      <c r="Q67" s="65"/>
      <c r="R67" s="65"/>
      <c r="S67" s="65"/>
      <c r="T67" s="65"/>
      <c r="U67" s="61" t="str">
        <f t="shared" si="8"/>
        <v>Arendsoog</v>
      </c>
      <c r="V67" s="62">
        <f>IFERROR(__xludf.DUMMYFUNCTION("iferror(VALUE(left(index(IMPORTXML(I69, ""//div[@class='col-lg-2 user-stat stat-green']""),2,1),len(index(IMPORTXML(I69, ""//div[@class='col-lg-2 user-stat stat-green']""),2,1))-8)),0)"),5.0)</f>
        <v>5</v>
      </c>
      <c r="W67" s="21"/>
      <c r="X67" s="21"/>
      <c r="Y67" s="21"/>
      <c r="Z67" s="21"/>
    </row>
    <row r="68" ht="15.0" customHeight="1">
      <c r="A68" s="51">
        <f t="shared" si="9"/>
        <v>61</v>
      </c>
      <c r="B68" s="52" t="str">
        <f t="shared" si="2"/>
        <v>Japanse 🍁 Maple 🌿 #61 | R10 - C5</v>
      </c>
      <c r="C68" s="53">
        <v>10.0</v>
      </c>
      <c r="D68" s="53">
        <v>5.0</v>
      </c>
      <c r="E68" s="54" t="s">
        <v>221</v>
      </c>
      <c r="F68" s="54" t="s">
        <v>222</v>
      </c>
      <c r="G68" s="55" t="s">
        <v>60</v>
      </c>
      <c r="H68" s="56" t="str">
        <f t="shared" si="3"/>
        <v>Charonovci</v>
      </c>
      <c r="I68" s="63" t="s">
        <v>223</v>
      </c>
      <c r="J68" s="64"/>
      <c r="K68" s="59" t="b">
        <v>1</v>
      </c>
      <c r="L68" s="53">
        <f t="shared" si="12"/>
        <v>0</v>
      </c>
      <c r="M68" s="53">
        <f t="shared" si="13"/>
        <v>0</v>
      </c>
      <c r="N68" s="53">
        <f t="shared" si="14"/>
        <v>0</v>
      </c>
      <c r="O68" s="52" t="str">
        <f t="shared" si="15"/>
        <v/>
      </c>
      <c r="P68" s="60" t="str">
        <f>IFERROR(__xludf.DUMMYFUNCTION("IF($N68=1,IFERROR(IMPORTXML($I68, ""//p[@class='status-date']""), ""Not Loading""),"""")"),"")</f>
        <v/>
      </c>
      <c r="Q68" s="61"/>
      <c r="R68" s="61"/>
      <c r="S68" s="61"/>
      <c r="T68" s="61"/>
      <c r="U68" s="61" t="str">
        <f t="shared" si="8"/>
        <v>Charonovci</v>
      </c>
      <c r="V68" s="62">
        <f>IFERROR(__xludf.DUMMYFUNCTION("iferror(VALUE(left(index(IMPORTXML(I70, ""//div[@class='col-lg-2 user-stat stat-green']""),2,1),len(index(IMPORTXML(I70, ""//div[@class='col-lg-2 user-stat stat-green']""),2,1))-8)),0)"),2.0)</f>
        <v>2</v>
      </c>
      <c r="W68" s="21"/>
      <c r="X68" s="21"/>
      <c r="Y68" s="21"/>
      <c r="Z68" s="21"/>
    </row>
    <row r="69" ht="15.0" customHeight="1">
      <c r="A69" s="51">
        <f t="shared" si="9"/>
        <v>62</v>
      </c>
      <c r="B69" s="52" t="str">
        <f t="shared" si="2"/>
        <v>Japanse 🍁 Maple 🌿 #62 | R10 - C6</v>
      </c>
      <c r="C69" s="53">
        <v>10.0</v>
      </c>
      <c r="D69" s="53">
        <v>6.0</v>
      </c>
      <c r="E69" s="54" t="s">
        <v>224</v>
      </c>
      <c r="F69" s="54" t="s">
        <v>225</v>
      </c>
      <c r="G69" s="55" t="s">
        <v>60</v>
      </c>
      <c r="H69" s="56" t="str">
        <f t="shared" si="3"/>
        <v>MacickaLizza</v>
      </c>
      <c r="I69" s="63" t="s">
        <v>226</v>
      </c>
      <c r="J69" s="64"/>
      <c r="K69" s="59" t="b">
        <v>1</v>
      </c>
      <c r="L69" s="53">
        <f t="shared" si="12"/>
        <v>0</v>
      </c>
      <c r="M69" s="53">
        <f t="shared" si="13"/>
        <v>0</v>
      </c>
      <c r="N69" s="53">
        <f t="shared" si="14"/>
        <v>0</v>
      </c>
      <c r="O69" s="52" t="str">
        <f t="shared" si="15"/>
        <v/>
      </c>
      <c r="P69" s="60" t="str">
        <f>IFERROR(__xludf.DUMMYFUNCTION("IF($N69=1,IFERROR(IMPORTXML($I69, ""//p[@class='status-date']""), ""Not Loading""),"""")"),"")</f>
        <v/>
      </c>
      <c r="Q69" s="65"/>
      <c r="R69" s="65"/>
      <c r="S69" s="65"/>
      <c r="T69" s="65"/>
      <c r="U69" s="61" t="str">
        <f t="shared" si="8"/>
        <v>MacickaLizza</v>
      </c>
      <c r="V69" s="62">
        <f>IFERROR(__xludf.DUMMYFUNCTION("iferror(VALUE(left(index(IMPORTXML(I71, ""//div[@class='col-lg-2 user-stat stat-green']""),2,1),len(index(IMPORTXML(I71, ""//div[@class='col-lg-2 user-stat stat-green']""),2,1))-8)),0)"),8.0)</f>
        <v>8</v>
      </c>
      <c r="W69" s="21"/>
      <c r="X69" s="21"/>
      <c r="Y69" s="21"/>
      <c r="Z69" s="21"/>
    </row>
    <row r="70" ht="15.0" customHeight="1">
      <c r="A70" s="51">
        <f t="shared" si="9"/>
        <v>63</v>
      </c>
      <c r="B70" s="52" t="str">
        <f t="shared" si="2"/>
        <v>Japanse 🍁 Maple 🌿 #63 | R10 - C7</v>
      </c>
      <c r="C70" s="53">
        <v>10.0</v>
      </c>
      <c r="D70" s="53">
        <v>7.0</v>
      </c>
      <c r="E70" s="54" t="s">
        <v>227</v>
      </c>
      <c r="F70" s="54" t="s">
        <v>228</v>
      </c>
      <c r="G70" s="55" t="s">
        <v>39</v>
      </c>
      <c r="H70" s="56" t="str">
        <f t="shared" si="3"/>
        <v>Arendsoog</v>
      </c>
      <c r="I70" s="63" t="s">
        <v>229</v>
      </c>
      <c r="J70" s="64"/>
      <c r="K70" s="59" t="b">
        <v>1</v>
      </c>
      <c r="L70" s="53">
        <f t="shared" si="12"/>
        <v>0</v>
      </c>
      <c r="M70" s="53">
        <f t="shared" si="13"/>
        <v>0</v>
      </c>
      <c r="N70" s="53">
        <f t="shared" si="14"/>
        <v>0</v>
      </c>
      <c r="O70" s="52" t="str">
        <f t="shared" si="15"/>
        <v/>
      </c>
      <c r="P70" s="60" t="str">
        <f>IFERROR(__xludf.DUMMYFUNCTION("IF($N70=1,IFERROR(IMPORTXML($I70, ""//p[@class='status-date']""), ""Not Loading""),"""")"),"")</f>
        <v/>
      </c>
      <c r="Q70" s="61"/>
      <c r="R70" s="61"/>
      <c r="S70" s="61"/>
      <c r="T70" s="61"/>
      <c r="U70" s="61" t="str">
        <f t="shared" si="8"/>
        <v>Arendsoog</v>
      </c>
      <c r="V70" s="62">
        <f>IFERROR(__xludf.DUMMYFUNCTION("iferror(VALUE(left(index(IMPORTXML(I72, ""//div[@class='col-lg-2 user-stat stat-green']""),2,1),len(index(IMPORTXML(I72, ""//div[@class='col-lg-2 user-stat stat-green']""),2,1))-8)),0)"),5.0)</f>
        <v>5</v>
      </c>
      <c r="W70" s="21"/>
      <c r="X70" s="21"/>
      <c r="Y70" s="21"/>
      <c r="Z70" s="21"/>
    </row>
    <row r="71" ht="15.0" customHeight="1">
      <c r="A71" s="51">
        <f t="shared" si="9"/>
        <v>64</v>
      </c>
      <c r="B71" s="52" t="str">
        <f t="shared" si="2"/>
        <v>Japanse 🍁 Maple 🌿 #64 | R10 - C8</v>
      </c>
      <c r="C71" s="53">
        <v>10.0</v>
      </c>
      <c r="D71" s="53">
        <v>8.0</v>
      </c>
      <c r="E71" s="54" t="s">
        <v>230</v>
      </c>
      <c r="F71" s="54" t="s">
        <v>231</v>
      </c>
      <c r="G71" s="55" t="s">
        <v>60</v>
      </c>
      <c r="H71" s="56" t="str">
        <f t="shared" si="3"/>
        <v>Charonovci</v>
      </c>
      <c r="I71" s="57" t="s">
        <v>232</v>
      </c>
      <c r="J71" s="64"/>
      <c r="K71" s="59" t="b">
        <v>1</v>
      </c>
      <c r="L71" s="53">
        <f t="shared" si="12"/>
        <v>0</v>
      </c>
      <c r="M71" s="53">
        <f t="shared" si="13"/>
        <v>0</v>
      </c>
      <c r="N71" s="53">
        <f t="shared" si="14"/>
        <v>0</v>
      </c>
      <c r="O71" s="52" t="str">
        <f t="shared" si="15"/>
        <v/>
      </c>
      <c r="P71" s="60" t="str">
        <f>IFERROR(__xludf.DUMMYFUNCTION("IF($N71=1,IFERROR(IMPORTXML($I71, ""//p[@class='status-date']""), ""Not Loading""),"""")"),"")</f>
        <v/>
      </c>
      <c r="Q71" s="65"/>
      <c r="R71" s="65"/>
      <c r="S71" s="65"/>
      <c r="T71" s="65"/>
      <c r="U71" s="61" t="str">
        <f t="shared" si="8"/>
        <v>Charonovci</v>
      </c>
      <c r="V71" s="62">
        <f>IFERROR(__xludf.DUMMYFUNCTION("iferror(VALUE(left(index(IMPORTXML(I73, ""//div[@class='col-lg-2 user-stat stat-green']""),2,1),len(index(IMPORTXML(I73, ""//div[@class='col-lg-2 user-stat stat-green']""),2,1))-8)),0)"),2.0)</f>
        <v>2</v>
      </c>
      <c r="W71" s="21"/>
      <c r="X71" s="21"/>
      <c r="Y71" s="21"/>
      <c r="Z71" s="21"/>
    </row>
    <row r="72" ht="15.0" customHeight="1">
      <c r="A72" s="51">
        <f t="shared" si="9"/>
        <v>65</v>
      </c>
      <c r="B72" s="52" t="str">
        <f t="shared" si="2"/>
        <v>Japanse 🍁 Maple 🌿 #65 | R10 - C9</v>
      </c>
      <c r="C72" s="53">
        <v>10.0</v>
      </c>
      <c r="D72" s="53">
        <v>9.0</v>
      </c>
      <c r="E72" s="54" t="s">
        <v>233</v>
      </c>
      <c r="F72" s="54" t="s">
        <v>234</v>
      </c>
      <c r="G72" s="55" t="s">
        <v>64</v>
      </c>
      <c r="H72" s="56" t="str">
        <f t="shared" si="3"/>
        <v>Rikitan</v>
      </c>
      <c r="I72" s="57" t="s">
        <v>235</v>
      </c>
      <c r="J72" s="64"/>
      <c r="K72" s="59" t="b">
        <v>1</v>
      </c>
      <c r="L72" s="53">
        <f t="shared" si="12"/>
        <v>0</v>
      </c>
      <c r="M72" s="53">
        <f t="shared" si="13"/>
        <v>0</v>
      </c>
      <c r="N72" s="53">
        <f t="shared" si="14"/>
        <v>0</v>
      </c>
      <c r="O72" s="66" t="str">
        <f t="shared" si="15"/>
        <v/>
      </c>
      <c r="P72" s="60" t="str">
        <f>IFERROR(__xludf.DUMMYFUNCTION("IF($N72=1,IFERROR(IMPORTXML($I72, ""//p[@class='status-date']""), ""Not Loading""),"""")"),"")</f>
        <v/>
      </c>
      <c r="Q72" s="61"/>
      <c r="R72" s="61"/>
      <c r="S72" s="61"/>
      <c r="T72" s="61"/>
      <c r="U72" s="61" t="str">
        <f t="shared" si="8"/>
        <v>Rikitan</v>
      </c>
      <c r="V72" s="62">
        <f>IFERROR(__xludf.DUMMYFUNCTION("iferror(VALUE(left(index(IMPORTXML(I74, ""//div[@class='col-lg-2 user-stat stat-green']""),2,1),len(index(IMPORTXML(I74, ""//div[@class='col-lg-2 user-stat stat-green']""),2,1))-8)),0)"),9.0)</f>
        <v>9</v>
      </c>
      <c r="W72" s="21"/>
      <c r="X72" s="21"/>
      <c r="Y72" s="21"/>
      <c r="Z72" s="21"/>
    </row>
    <row r="73" ht="15.0" customHeight="1">
      <c r="A73" s="51">
        <f t="shared" si="9"/>
        <v>66</v>
      </c>
      <c r="B73" s="52" t="str">
        <f t="shared" si="2"/>
        <v>Japanse 🍁 Maple 🌿 #66 | R10 - C10</v>
      </c>
      <c r="C73" s="53">
        <v>10.0</v>
      </c>
      <c r="D73" s="53">
        <v>10.0</v>
      </c>
      <c r="E73" s="54" t="s">
        <v>236</v>
      </c>
      <c r="F73" s="54" t="s">
        <v>237</v>
      </c>
      <c r="G73" s="55" t="s">
        <v>39</v>
      </c>
      <c r="H73" s="56" t="str">
        <f t="shared" si="3"/>
        <v>J1Huisman</v>
      </c>
      <c r="I73" s="63" t="s">
        <v>238</v>
      </c>
      <c r="J73" s="58"/>
      <c r="K73" s="59" t="b">
        <v>1</v>
      </c>
      <c r="L73" s="53">
        <f t="shared" si="12"/>
        <v>0</v>
      </c>
      <c r="M73" s="53">
        <f t="shared" si="13"/>
        <v>0</v>
      </c>
      <c r="N73" s="53">
        <f t="shared" si="14"/>
        <v>0</v>
      </c>
      <c r="O73" s="66" t="str">
        <f t="shared" si="15"/>
        <v/>
      </c>
      <c r="P73" s="60" t="str">
        <f>IFERROR(__xludf.DUMMYFUNCTION("IF($N73=1,IFERROR(IMPORTXML($I73, ""//p[@class='status-date']""), ""Not Loading""),"""")"),"")</f>
        <v/>
      </c>
      <c r="Q73" s="65"/>
      <c r="R73" s="65"/>
      <c r="S73" s="65"/>
      <c r="T73" s="65"/>
      <c r="U73" s="61" t="str">
        <f t="shared" si="8"/>
        <v>J1Huisman</v>
      </c>
      <c r="V73" s="62">
        <f>IFERROR(__xludf.DUMMYFUNCTION("iferror(VALUE(left(index(IMPORTXML(I75, ""//div[@class='col-lg-2 user-stat stat-green']""),2,1),len(index(IMPORTXML(I75, ""//div[@class='col-lg-2 user-stat stat-green']""),2,1))-8)),0)"),5.0)</f>
        <v>5</v>
      </c>
      <c r="W73" s="21"/>
      <c r="X73" s="21"/>
      <c r="Y73" s="21"/>
      <c r="Z73" s="21"/>
    </row>
    <row r="74" ht="15.0" customHeight="1">
      <c r="A74" s="51">
        <f t="shared" si="9"/>
        <v>67</v>
      </c>
      <c r="B74" s="52" t="str">
        <f t="shared" si="2"/>
        <v>Japanse 🍁 Maple 🌿 #67 | R10 - C11</v>
      </c>
      <c r="C74" s="53">
        <v>10.0</v>
      </c>
      <c r="D74" s="53">
        <v>11.0</v>
      </c>
      <c r="E74" s="54" t="s">
        <v>239</v>
      </c>
      <c r="F74" s="54" t="s">
        <v>240</v>
      </c>
      <c r="G74" s="55" t="s">
        <v>64</v>
      </c>
      <c r="H74" s="56" t="str">
        <f t="shared" si="3"/>
        <v>Charonovci</v>
      </c>
      <c r="I74" s="63" t="s">
        <v>241</v>
      </c>
      <c r="J74" s="64"/>
      <c r="K74" s="59" t="b">
        <v>1</v>
      </c>
      <c r="L74" s="53">
        <f t="shared" si="12"/>
        <v>0</v>
      </c>
      <c r="M74" s="53">
        <f t="shared" si="13"/>
        <v>0</v>
      </c>
      <c r="N74" s="53">
        <f t="shared" si="14"/>
        <v>0</v>
      </c>
      <c r="O74" s="52" t="str">
        <f t="shared" si="15"/>
        <v/>
      </c>
      <c r="P74" s="60" t="str">
        <f>IFERROR(__xludf.DUMMYFUNCTION("IF($N74=1,IFERROR(IMPORTXML($I74, ""//p[@class='status-date']""), ""Not Loading""),"""")"),"")</f>
        <v/>
      </c>
      <c r="Q74" s="61"/>
      <c r="R74" s="61"/>
      <c r="S74" s="61"/>
      <c r="T74" s="61"/>
      <c r="U74" s="61" t="str">
        <f t="shared" si="8"/>
        <v>Charonovci</v>
      </c>
      <c r="V74" s="62">
        <f>IFERROR(__xludf.DUMMYFUNCTION("iferror(VALUE(left(index(IMPORTXML(I76, ""//div[@class='col-lg-2 user-stat stat-green']""),2,1),len(index(IMPORTXML(I76, ""//div[@class='col-lg-2 user-stat stat-green']""),2,1))-8)),0)"),2.0)</f>
        <v>2</v>
      </c>
      <c r="W74" s="21"/>
      <c r="X74" s="21"/>
      <c r="Y74" s="21"/>
      <c r="Z74" s="21"/>
    </row>
    <row r="75" ht="15.0" customHeight="1">
      <c r="A75" s="51">
        <f t="shared" si="9"/>
        <v>68</v>
      </c>
      <c r="B75" s="52" t="str">
        <f t="shared" si="2"/>
        <v>Japanse 🍁 Maple 🌿 #68 | R10 - C12</v>
      </c>
      <c r="C75" s="53">
        <v>10.0</v>
      </c>
      <c r="D75" s="53">
        <v>12.0</v>
      </c>
      <c r="E75" s="54" t="s">
        <v>242</v>
      </c>
      <c r="F75" s="54" t="s">
        <v>243</v>
      </c>
      <c r="G75" s="55" t="s">
        <v>64</v>
      </c>
      <c r="H75" s="56" t="str">
        <f t="shared" si="3"/>
        <v>MacickaLizza</v>
      </c>
      <c r="I75" s="63" t="s">
        <v>244</v>
      </c>
      <c r="J75" s="64"/>
      <c r="K75" s="59" t="b">
        <v>1</v>
      </c>
      <c r="L75" s="53">
        <f t="shared" si="12"/>
        <v>0</v>
      </c>
      <c r="M75" s="53">
        <f t="shared" si="13"/>
        <v>0</v>
      </c>
      <c r="N75" s="53">
        <f t="shared" si="14"/>
        <v>0</v>
      </c>
      <c r="O75" s="52" t="str">
        <f t="shared" si="15"/>
        <v/>
      </c>
      <c r="P75" s="60" t="str">
        <f>IFERROR(__xludf.DUMMYFUNCTION("IF($N75=1,IFERROR(IMPORTXML($I75, ""//p[@class='status-date']""), ""Not Loading""),"""")"),"")</f>
        <v/>
      </c>
      <c r="Q75" s="65"/>
      <c r="R75" s="65"/>
      <c r="S75" s="65"/>
      <c r="T75" s="65"/>
      <c r="U75" s="61" t="str">
        <f t="shared" si="8"/>
        <v>MacickaLizza</v>
      </c>
      <c r="V75" s="62">
        <f>IFERROR(__xludf.DUMMYFUNCTION("iferror(VALUE(left(index(IMPORTXML(I77, ""//div[@class='col-lg-2 user-stat stat-green']""),2,1),len(index(IMPORTXML(I77, ""//div[@class='col-lg-2 user-stat stat-green']""),2,1))-8)),0)"),5.0)</f>
        <v>5</v>
      </c>
      <c r="W75" s="21"/>
      <c r="X75" s="21"/>
      <c r="Y75" s="21"/>
      <c r="Z75" s="21"/>
    </row>
    <row r="76" ht="15.0" customHeight="1">
      <c r="A76" s="51">
        <f t="shared" si="9"/>
        <v>69</v>
      </c>
      <c r="B76" s="52" t="str">
        <f t="shared" si="2"/>
        <v>Japanse 🍁 Maple 🌿 #69 | R10 - C13</v>
      </c>
      <c r="C76" s="53">
        <v>10.0</v>
      </c>
      <c r="D76" s="53">
        <v>13.0</v>
      </c>
      <c r="E76" s="54" t="s">
        <v>245</v>
      </c>
      <c r="F76" s="54" t="s">
        <v>246</v>
      </c>
      <c r="G76" s="55" t="s">
        <v>77</v>
      </c>
      <c r="H76" s="56" t="str">
        <f t="shared" si="3"/>
        <v>Rikitan</v>
      </c>
      <c r="I76" s="57" t="s">
        <v>247</v>
      </c>
      <c r="J76" s="64"/>
      <c r="K76" s="59" t="b">
        <v>1</v>
      </c>
      <c r="L76" s="53">
        <f t="shared" si="12"/>
        <v>0</v>
      </c>
      <c r="M76" s="53">
        <f t="shared" si="13"/>
        <v>0</v>
      </c>
      <c r="N76" s="53">
        <f t="shared" si="14"/>
        <v>0</v>
      </c>
      <c r="O76" s="66" t="str">
        <f t="shared" si="15"/>
        <v/>
      </c>
      <c r="P76" s="60" t="str">
        <f>IFERROR(__xludf.DUMMYFUNCTION("IF($N76=1,IFERROR(IMPORTXML($I76, ""//p[@class='status-date']""), ""Not Loading""),"""")"),"")</f>
        <v/>
      </c>
      <c r="Q76" s="61"/>
      <c r="R76" s="61"/>
      <c r="S76" s="61"/>
      <c r="T76" s="61"/>
      <c r="U76" s="61" t="str">
        <f t="shared" si="8"/>
        <v>Rikitan</v>
      </c>
      <c r="V76" s="62">
        <f>IFERROR(__xludf.DUMMYFUNCTION("iferror(VALUE(left(index(IMPORTXML(I78, ""//div[@class='col-lg-2 user-stat stat-green']""),2,1),len(index(IMPORTXML(I78, ""//div[@class='col-lg-2 user-stat stat-green']""),2,1))-8)),0)"),2.0)</f>
        <v>2</v>
      </c>
      <c r="W76" s="21"/>
      <c r="X76" s="21"/>
      <c r="Y76" s="21"/>
      <c r="Z76" s="21"/>
    </row>
    <row r="77" ht="15.0" customHeight="1">
      <c r="A77" s="51">
        <f t="shared" si="9"/>
        <v>70</v>
      </c>
      <c r="B77" s="52" t="str">
        <f t="shared" si="2"/>
        <v>Japanse 🍁 Maple 🌿 #70 | R10 - C14</v>
      </c>
      <c r="C77" s="53">
        <v>10.0</v>
      </c>
      <c r="D77" s="53">
        <v>14.0</v>
      </c>
      <c r="E77" s="54" t="s">
        <v>248</v>
      </c>
      <c r="F77" s="54" t="s">
        <v>249</v>
      </c>
      <c r="G77" s="55" t="s">
        <v>64</v>
      </c>
      <c r="H77" s="56" t="str">
        <f t="shared" si="3"/>
        <v>Charonovci</v>
      </c>
      <c r="I77" s="63" t="s">
        <v>250</v>
      </c>
      <c r="J77" s="64"/>
      <c r="K77" s="59" t="b">
        <v>1</v>
      </c>
      <c r="L77" s="53">
        <f t="shared" si="12"/>
        <v>0</v>
      </c>
      <c r="M77" s="53">
        <f t="shared" si="13"/>
        <v>0</v>
      </c>
      <c r="N77" s="53">
        <f t="shared" si="14"/>
        <v>0</v>
      </c>
      <c r="O77" s="52" t="str">
        <f t="shared" si="15"/>
        <v/>
      </c>
      <c r="P77" s="60" t="str">
        <f>IFERROR(__xludf.DUMMYFUNCTION("IF($N77=1,IFERROR(IMPORTXML($I77, ""//p[@class='status-date']""), ""Not Loading""),"""")"),"")</f>
        <v/>
      </c>
      <c r="Q77" s="65"/>
      <c r="R77" s="65"/>
      <c r="S77" s="65"/>
      <c r="T77" s="65"/>
      <c r="U77" s="61" t="str">
        <f t="shared" si="8"/>
        <v>Charonovci</v>
      </c>
      <c r="V77" s="62">
        <f>IFERROR(__xludf.DUMMYFUNCTION("iferror(VALUE(left(index(IMPORTXML(I79, ""//div[@class='col-lg-2 user-stat stat-green']""),2,1),len(index(IMPORTXML(I79, ""//div[@class='col-lg-2 user-stat stat-green']""),2,1))-8)),0)"),1.0)</f>
        <v>1</v>
      </c>
      <c r="W77" s="21"/>
      <c r="X77" s="21"/>
      <c r="Y77" s="21"/>
      <c r="Z77" s="21"/>
    </row>
    <row r="78" ht="15.0" customHeight="1">
      <c r="A78" s="51">
        <f t="shared" si="9"/>
        <v>71</v>
      </c>
      <c r="B78" s="52" t="str">
        <f t="shared" si="2"/>
        <v>Japanse 🍁 Maple 🌿 #71 | R10 - C15</v>
      </c>
      <c r="C78" s="53">
        <v>10.0</v>
      </c>
      <c r="D78" s="53">
        <v>15.0</v>
      </c>
      <c r="E78" s="54" t="s">
        <v>251</v>
      </c>
      <c r="F78" s="54" t="s">
        <v>252</v>
      </c>
      <c r="G78" s="55" t="s">
        <v>46</v>
      </c>
      <c r="H78" s="56" t="str">
        <f t="shared" si="3"/>
        <v>MacickaLizza</v>
      </c>
      <c r="I78" s="63" t="s">
        <v>253</v>
      </c>
      <c r="J78" s="64"/>
      <c r="K78" s="59" t="b">
        <v>1</v>
      </c>
      <c r="L78" s="53">
        <f t="shared" si="12"/>
        <v>0</v>
      </c>
      <c r="M78" s="53">
        <f t="shared" si="13"/>
        <v>0</v>
      </c>
      <c r="N78" s="53">
        <f t="shared" si="14"/>
        <v>0</v>
      </c>
      <c r="O78" s="66" t="str">
        <f t="shared" si="15"/>
        <v/>
      </c>
      <c r="P78" s="60" t="str">
        <f>IFERROR(__xludf.DUMMYFUNCTION("IF($N78=1,IFERROR(IMPORTXML($I78, ""//p[@class='status-date']""), ""Not Loading""),"""")"),"")</f>
        <v/>
      </c>
      <c r="Q78" s="61"/>
      <c r="R78" s="61"/>
      <c r="S78" s="61"/>
      <c r="T78" s="61"/>
      <c r="U78" s="61" t="str">
        <f t="shared" si="8"/>
        <v>MacickaLizza</v>
      </c>
      <c r="V78" s="62">
        <f>IFERROR(__xludf.DUMMYFUNCTION("iferror(VALUE(left(index(IMPORTXML(I80, ""//div[@class='col-lg-2 user-stat stat-green']""),2,1),len(index(IMPORTXML(I80, ""//div[@class='col-lg-2 user-stat stat-green']""),2,1))-8)),0)"),4.0)</f>
        <v>4</v>
      </c>
      <c r="W78" s="21"/>
      <c r="X78" s="21"/>
      <c r="Y78" s="21"/>
      <c r="Z78" s="21"/>
    </row>
    <row r="79" ht="15.0" customHeight="1">
      <c r="A79" s="51">
        <f t="shared" si="9"/>
        <v>72</v>
      </c>
      <c r="B79" s="52" t="str">
        <f t="shared" si="2"/>
        <v>Japanse 🍁 Maple 🌿 #72 | R11 - C3</v>
      </c>
      <c r="C79" s="53">
        <v>11.0</v>
      </c>
      <c r="D79" s="53">
        <v>3.0</v>
      </c>
      <c r="E79" s="54" t="s">
        <v>254</v>
      </c>
      <c r="F79" s="54" t="s">
        <v>255</v>
      </c>
      <c r="G79" s="55" t="s">
        <v>39</v>
      </c>
      <c r="H79" s="56" t="str">
        <f t="shared" si="3"/>
        <v>Nicolet</v>
      </c>
      <c r="I79" s="63" t="s">
        <v>256</v>
      </c>
      <c r="J79" s="58"/>
      <c r="K79" s="59" t="b">
        <v>1</v>
      </c>
      <c r="L79" s="53">
        <f t="shared" si="12"/>
        <v>0</v>
      </c>
      <c r="M79" s="53">
        <f t="shared" si="13"/>
        <v>0</v>
      </c>
      <c r="N79" s="53">
        <f t="shared" si="14"/>
        <v>0</v>
      </c>
      <c r="O79" s="52" t="str">
        <f t="shared" si="15"/>
        <v/>
      </c>
      <c r="P79" s="60" t="str">
        <f>IFERROR(__xludf.DUMMYFUNCTION("IF($N79=1,IFERROR(IMPORTXML($I79, ""//p[@class='status-date']""), ""Not Loading""),"""")"),"")</f>
        <v/>
      </c>
      <c r="Q79" s="65"/>
      <c r="R79" s="65"/>
      <c r="S79" s="65"/>
      <c r="T79" s="65"/>
      <c r="U79" s="61" t="str">
        <f t="shared" si="8"/>
        <v>Nicolet</v>
      </c>
      <c r="V79" s="62">
        <f>IFERROR(__xludf.DUMMYFUNCTION("iferror(VALUE(left(index(IMPORTXML(I81, ""//div[@class='col-lg-2 user-stat stat-green']""),2,1),len(index(IMPORTXML(I81, ""//div[@class='col-lg-2 user-stat stat-green']""),2,1))-8)),0)"),6.0)</f>
        <v>6</v>
      </c>
      <c r="W79" s="21"/>
      <c r="X79" s="21"/>
      <c r="Y79" s="21"/>
      <c r="Z79" s="21"/>
    </row>
    <row r="80" ht="15.0" customHeight="1">
      <c r="A80" s="51">
        <f t="shared" si="9"/>
        <v>73</v>
      </c>
      <c r="B80" s="52" t="str">
        <f t="shared" si="2"/>
        <v>Japanse 🍁 Maple 🌿 #73 | R11 - C4</v>
      </c>
      <c r="C80" s="53">
        <v>11.0</v>
      </c>
      <c r="D80" s="53">
        <v>4.0</v>
      </c>
      <c r="E80" s="54" t="s">
        <v>257</v>
      </c>
      <c r="F80" s="54" t="s">
        <v>258</v>
      </c>
      <c r="G80" s="55" t="s">
        <v>60</v>
      </c>
      <c r="H80" s="56" t="str">
        <f t="shared" si="3"/>
        <v>Kapor24</v>
      </c>
      <c r="I80" s="63" t="s">
        <v>259</v>
      </c>
      <c r="J80" s="64"/>
      <c r="K80" s="59" t="b">
        <v>1</v>
      </c>
      <c r="L80" s="53">
        <f t="shared" si="12"/>
        <v>0</v>
      </c>
      <c r="M80" s="53">
        <f t="shared" si="13"/>
        <v>0</v>
      </c>
      <c r="N80" s="53">
        <f t="shared" si="14"/>
        <v>0</v>
      </c>
      <c r="O80" s="52" t="str">
        <f t="shared" si="15"/>
        <v/>
      </c>
      <c r="P80" s="60" t="str">
        <f>IFERROR(__xludf.DUMMYFUNCTION("IF($N80=1,IFERROR(IMPORTXML($I80, ""//p[@class='status-date']""), ""Not Loading""),"""")"),"")</f>
        <v/>
      </c>
      <c r="Q80" s="61"/>
      <c r="R80" s="61"/>
      <c r="S80" s="61"/>
      <c r="T80" s="61"/>
      <c r="U80" s="61" t="str">
        <f t="shared" si="8"/>
        <v>Kapor24</v>
      </c>
      <c r="V80" s="62">
        <f>IFERROR(__xludf.DUMMYFUNCTION("iferror(VALUE(left(index(IMPORTXML(I82, ""//div[@class='col-lg-2 user-stat stat-green']""),2,1),len(index(IMPORTXML(I82, ""//div[@class='col-lg-2 user-stat stat-green']""),2,1))-8)),0)"),1.0)</f>
        <v>1</v>
      </c>
      <c r="W80" s="21"/>
      <c r="X80" s="21"/>
      <c r="Y80" s="21"/>
      <c r="Z80" s="21"/>
    </row>
    <row r="81" ht="15.0" customHeight="1">
      <c r="A81" s="51">
        <f t="shared" si="9"/>
        <v>74</v>
      </c>
      <c r="B81" s="52" t="str">
        <f t="shared" si="2"/>
        <v>Japanse 🍁 Maple 🌿 #74 | R11 - C5</v>
      </c>
      <c r="C81" s="53">
        <v>11.0</v>
      </c>
      <c r="D81" s="53">
        <v>5.0</v>
      </c>
      <c r="E81" s="54" t="s">
        <v>260</v>
      </c>
      <c r="F81" s="54" t="s">
        <v>261</v>
      </c>
      <c r="G81" s="55" t="s">
        <v>60</v>
      </c>
      <c r="H81" s="56" t="str">
        <f t="shared" si="3"/>
        <v>mathew611</v>
      </c>
      <c r="I81" s="63" t="s">
        <v>262</v>
      </c>
      <c r="J81" s="64"/>
      <c r="K81" s="59" t="b">
        <v>1</v>
      </c>
      <c r="L81" s="53">
        <f t="shared" si="12"/>
        <v>0</v>
      </c>
      <c r="M81" s="53">
        <f t="shared" si="13"/>
        <v>0</v>
      </c>
      <c r="N81" s="53">
        <f t="shared" si="14"/>
        <v>0</v>
      </c>
      <c r="O81" s="52" t="str">
        <f t="shared" si="15"/>
        <v/>
      </c>
      <c r="P81" s="60" t="str">
        <f>IFERROR(__xludf.DUMMYFUNCTION("IF($N81=1,IFERROR(IMPORTXML($I81, ""//p[@class='status-date']""), ""Not Loading""),"""")"),"")</f>
        <v/>
      </c>
      <c r="Q81" s="65"/>
      <c r="R81" s="65"/>
      <c r="S81" s="65"/>
      <c r="T81" s="65"/>
      <c r="U81" s="61" t="str">
        <f t="shared" si="8"/>
        <v>mathew611</v>
      </c>
      <c r="V81" s="62">
        <f>IFERROR(__xludf.DUMMYFUNCTION("iferror(VALUE(left(index(IMPORTXML(I83, ""//div[@class='col-lg-2 user-stat stat-green']""),2,1),len(index(IMPORTXML(I83, ""//div[@class='col-lg-2 user-stat stat-green']""),2,1))-8)),0)"),5.0)</f>
        <v>5</v>
      </c>
      <c r="W81" s="21"/>
      <c r="X81" s="21"/>
      <c r="Y81" s="21"/>
      <c r="Z81" s="21"/>
    </row>
    <row r="82" ht="15.0" customHeight="1">
      <c r="A82" s="51">
        <f t="shared" si="9"/>
        <v>75</v>
      </c>
      <c r="B82" s="52" t="str">
        <f t="shared" si="2"/>
        <v>Japanse 🍁 Maple 🌿 #75 | R11 - C6</v>
      </c>
      <c r="C82" s="53">
        <v>11.0</v>
      </c>
      <c r="D82" s="53">
        <v>6.0</v>
      </c>
      <c r="E82" s="54" t="s">
        <v>263</v>
      </c>
      <c r="F82" s="54" t="s">
        <v>264</v>
      </c>
      <c r="G82" s="55" t="s">
        <v>111</v>
      </c>
      <c r="H82" s="56" t="str">
        <f t="shared" si="3"/>
        <v>Nicolet</v>
      </c>
      <c r="I82" s="63" t="s">
        <v>265</v>
      </c>
      <c r="J82" s="68"/>
      <c r="K82" s="59" t="b">
        <v>1</v>
      </c>
      <c r="L82" s="53">
        <f t="shared" si="12"/>
        <v>0</v>
      </c>
      <c r="M82" s="53">
        <f t="shared" si="13"/>
        <v>0</v>
      </c>
      <c r="N82" s="53">
        <f t="shared" si="14"/>
        <v>0</v>
      </c>
      <c r="O82" s="52" t="str">
        <f t="shared" si="15"/>
        <v/>
      </c>
      <c r="P82" s="60" t="str">
        <f>IFERROR(__xludf.DUMMYFUNCTION("IF($N82=1,IFERROR(IMPORTXML($I82, ""//p[@class='status-date']""), ""Not Loading""),"""")"),"")</f>
        <v/>
      </c>
      <c r="Q82" s="61"/>
      <c r="R82" s="61"/>
      <c r="S82" s="61"/>
      <c r="T82" s="61"/>
      <c r="U82" s="61" t="str">
        <f t="shared" si="8"/>
        <v>Nicolet</v>
      </c>
      <c r="V82" s="62">
        <f>IFERROR(__xludf.DUMMYFUNCTION("iferror(VALUE(left(index(IMPORTXML(I84, ""//div[@class='col-lg-2 user-stat stat-green']""),2,1),len(index(IMPORTXML(I84, ""//div[@class='col-lg-2 user-stat stat-green']""),2,1))-8)),0)"),2.0)</f>
        <v>2</v>
      </c>
      <c r="W82" s="21"/>
      <c r="X82" s="21"/>
      <c r="Y82" s="21"/>
      <c r="Z82" s="21"/>
    </row>
    <row r="83" ht="15.0" customHeight="1">
      <c r="A83" s="51">
        <f t="shared" si="9"/>
        <v>76</v>
      </c>
      <c r="B83" s="52" t="str">
        <f t="shared" si="2"/>
        <v>Japanse 🍁 Maple 🌿 #76 | R11 - C7</v>
      </c>
      <c r="C83" s="53">
        <v>11.0</v>
      </c>
      <c r="D83" s="53">
        <v>7.0</v>
      </c>
      <c r="E83" s="54" t="s">
        <v>266</v>
      </c>
      <c r="F83" s="54" t="s">
        <v>267</v>
      </c>
      <c r="G83" s="55" t="s">
        <v>60</v>
      </c>
      <c r="H83" s="56" t="str">
        <f t="shared" si="3"/>
        <v>Kapor24</v>
      </c>
      <c r="I83" s="63" t="s">
        <v>268</v>
      </c>
      <c r="J83" s="64"/>
      <c r="K83" s="59" t="b">
        <v>1</v>
      </c>
      <c r="L83" s="53">
        <f t="shared" si="12"/>
        <v>0</v>
      </c>
      <c r="M83" s="53">
        <f t="shared" si="13"/>
        <v>0</v>
      </c>
      <c r="N83" s="53">
        <f t="shared" si="14"/>
        <v>0</v>
      </c>
      <c r="O83" s="66" t="str">
        <f t="shared" si="15"/>
        <v/>
      </c>
      <c r="P83" s="60" t="str">
        <f>IFERROR(__xludf.DUMMYFUNCTION("IF($N83=1,IFERROR(IMPORTXML($I83, ""//p[@class='status-date']""), ""Not Loading""),"""")"),"")</f>
        <v/>
      </c>
      <c r="Q83" s="65"/>
      <c r="R83" s="65"/>
      <c r="S83" s="65"/>
      <c r="T83" s="65"/>
      <c r="U83" s="61" t="str">
        <f t="shared" si="8"/>
        <v>Kapor24</v>
      </c>
      <c r="V83" s="62">
        <f>IFERROR(__xludf.DUMMYFUNCTION("iferror(VALUE(left(index(IMPORTXML(I85, ""//div[@class='col-lg-2 user-stat stat-green']""),2,1),len(index(IMPORTXML(I85, ""//div[@class='col-lg-2 user-stat stat-green']""),2,1))-8)),0)"),1.0)</f>
        <v>1</v>
      </c>
      <c r="W83" s="21"/>
      <c r="X83" s="21"/>
      <c r="Y83" s="21"/>
      <c r="Z83" s="21"/>
    </row>
    <row r="84" ht="15.0" customHeight="1">
      <c r="A84" s="51">
        <f t="shared" si="9"/>
        <v>77</v>
      </c>
      <c r="B84" s="52" t="str">
        <f t="shared" si="2"/>
        <v>Japanse 🍁 Maple 🌿 #77 | R11 - C8</v>
      </c>
      <c r="C84" s="53">
        <v>11.0</v>
      </c>
      <c r="D84" s="53">
        <v>8.0</v>
      </c>
      <c r="E84" s="54" t="s">
        <v>269</v>
      </c>
      <c r="F84" s="54" t="s">
        <v>270</v>
      </c>
      <c r="G84" s="55" t="s">
        <v>46</v>
      </c>
      <c r="H84" s="56" t="str">
        <f t="shared" si="3"/>
        <v>mathew611</v>
      </c>
      <c r="I84" s="63" t="s">
        <v>271</v>
      </c>
      <c r="J84" s="64"/>
      <c r="K84" s="59" t="b">
        <v>1</v>
      </c>
      <c r="L84" s="53">
        <f t="shared" si="12"/>
        <v>0</v>
      </c>
      <c r="M84" s="53">
        <f t="shared" si="13"/>
        <v>0</v>
      </c>
      <c r="N84" s="53">
        <f t="shared" si="14"/>
        <v>0</v>
      </c>
      <c r="O84" s="66" t="str">
        <f t="shared" si="15"/>
        <v/>
      </c>
      <c r="P84" s="60" t="str">
        <f>IFERROR(__xludf.DUMMYFUNCTION("IF($N84=1,IFERROR(IMPORTXML($I84, ""//p[@class='status-date']""), ""Not Loading""),"""")"),"")</f>
        <v/>
      </c>
      <c r="Q84" s="61"/>
      <c r="R84" s="61"/>
      <c r="S84" s="61"/>
      <c r="T84" s="61"/>
      <c r="U84" s="61" t="str">
        <f t="shared" si="8"/>
        <v>mathew611</v>
      </c>
      <c r="V84" s="62">
        <f>IFERROR(__xludf.DUMMYFUNCTION("iferror(VALUE(left(index(IMPORTXML(I86, ""//div[@class='col-lg-2 user-stat stat-green']""),2,1),len(index(IMPORTXML(I86, ""//div[@class='col-lg-2 user-stat stat-green']""),2,1))-8)),0)"),2.0)</f>
        <v>2</v>
      </c>
      <c r="W84" s="21"/>
      <c r="X84" s="21"/>
      <c r="Y84" s="21"/>
      <c r="Z84" s="21"/>
    </row>
    <row r="85" ht="15.0" customHeight="1">
      <c r="A85" s="51">
        <f t="shared" si="9"/>
        <v>78</v>
      </c>
      <c r="B85" s="52" t="str">
        <f t="shared" si="2"/>
        <v>Japanse 🍁 Maple 🌿 #78 | R11 - C9</v>
      </c>
      <c r="C85" s="53">
        <v>11.0</v>
      </c>
      <c r="D85" s="53">
        <v>9.0</v>
      </c>
      <c r="E85" s="54" t="s">
        <v>272</v>
      </c>
      <c r="F85" s="54" t="s">
        <v>273</v>
      </c>
      <c r="G85" s="55" t="s">
        <v>50</v>
      </c>
      <c r="H85" s="56" t="str">
        <f t="shared" si="3"/>
        <v>Nicolet</v>
      </c>
      <c r="I85" s="63" t="s">
        <v>274</v>
      </c>
      <c r="J85" s="64"/>
      <c r="K85" s="59" t="b">
        <v>1</v>
      </c>
      <c r="L85" s="53">
        <f t="shared" si="12"/>
        <v>0</v>
      </c>
      <c r="M85" s="53">
        <f t="shared" si="13"/>
        <v>0</v>
      </c>
      <c r="N85" s="53">
        <f t="shared" si="14"/>
        <v>0</v>
      </c>
      <c r="O85" s="52" t="str">
        <f t="shared" si="15"/>
        <v/>
      </c>
      <c r="P85" s="60" t="str">
        <f>IFERROR(__xludf.DUMMYFUNCTION("IF($N85=1,IFERROR(IMPORTXML($I85, ""//p[@class='status-date']""), ""Not Loading""),"""")"),"")</f>
        <v/>
      </c>
      <c r="Q85" s="65"/>
      <c r="R85" s="65"/>
      <c r="S85" s="65"/>
      <c r="T85" s="65"/>
      <c r="U85" s="61" t="str">
        <f t="shared" si="8"/>
        <v>Nicolet</v>
      </c>
      <c r="V85" s="62">
        <f>IFERROR(__xludf.DUMMYFUNCTION("iferror(VALUE(left(index(IMPORTXML(I87, ""//div[@class='col-lg-2 user-stat stat-green']""),2,1),len(index(IMPORTXML(I87, ""//div[@class='col-lg-2 user-stat stat-green']""),2,1))-8)),0)"),7.0)</f>
        <v>7</v>
      </c>
      <c r="W85" s="21"/>
      <c r="X85" s="21"/>
      <c r="Y85" s="21"/>
      <c r="Z85" s="21"/>
    </row>
    <row r="86" ht="15.0" customHeight="1">
      <c r="A86" s="51">
        <f t="shared" si="9"/>
        <v>79</v>
      </c>
      <c r="B86" s="52" t="str">
        <f t="shared" si="2"/>
        <v>Japanse 🍁 Maple 🌿 #79 | R11 - C10</v>
      </c>
      <c r="C86" s="53">
        <v>11.0</v>
      </c>
      <c r="D86" s="53">
        <v>10.0</v>
      </c>
      <c r="E86" s="54" t="s">
        <v>275</v>
      </c>
      <c r="F86" s="54" t="s">
        <v>276</v>
      </c>
      <c r="G86" s="55" t="s">
        <v>46</v>
      </c>
      <c r="H86" s="56" t="str">
        <f t="shared" si="3"/>
        <v>Kapor24</v>
      </c>
      <c r="I86" s="63" t="s">
        <v>277</v>
      </c>
      <c r="J86" s="64"/>
      <c r="K86" s="59" t="b">
        <v>1</v>
      </c>
      <c r="L86" s="53">
        <f t="shared" si="12"/>
        <v>0</v>
      </c>
      <c r="M86" s="53">
        <f t="shared" si="13"/>
        <v>0</v>
      </c>
      <c r="N86" s="53">
        <f t="shared" si="14"/>
        <v>0</v>
      </c>
      <c r="O86" s="66" t="str">
        <f t="shared" si="15"/>
        <v/>
      </c>
      <c r="P86" s="60" t="str">
        <f>IFERROR(__xludf.DUMMYFUNCTION("IF($N86=1,IFERROR(IMPORTXML($I86, ""//p[@class='status-date']""), ""Not Loading""),"""")"),"")</f>
        <v/>
      </c>
      <c r="Q86" s="61"/>
      <c r="R86" s="61"/>
      <c r="S86" s="61"/>
      <c r="T86" s="61"/>
      <c r="U86" s="61" t="str">
        <f t="shared" si="8"/>
        <v>Kapor24</v>
      </c>
      <c r="V86" s="62">
        <f>IFERROR(__xludf.DUMMYFUNCTION("iferror(VALUE(left(index(IMPORTXML(I88, ""//div[@class='col-lg-2 user-stat stat-green']""),2,1),len(index(IMPORTXML(I88, ""//div[@class='col-lg-2 user-stat stat-green']""),2,1))-8)),0)"),1.0)</f>
        <v>1</v>
      </c>
      <c r="W86" s="21"/>
      <c r="X86" s="21"/>
      <c r="Y86" s="21"/>
      <c r="Z86" s="21"/>
    </row>
    <row r="87" ht="15.0" customHeight="1">
      <c r="A87" s="51">
        <f t="shared" si="9"/>
        <v>80</v>
      </c>
      <c r="B87" s="52" t="str">
        <f t="shared" si="2"/>
        <v>Japanse 🍁 Maple 🌿 #80 | R11 - C11</v>
      </c>
      <c r="C87" s="53">
        <v>11.0</v>
      </c>
      <c r="D87" s="53">
        <v>11.0</v>
      </c>
      <c r="E87" s="54" t="s">
        <v>278</v>
      </c>
      <c r="F87" s="54" t="s">
        <v>279</v>
      </c>
      <c r="G87" s="55" t="s">
        <v>64</v>
      </c>
      <c r="H87" s="56" t="str">
        <f t="shared" si="3"/>
        <v>mathew611</v>
      </c>
      <c r="I87" s="63" t="s">
        <v>280</v>
      </c>
      <c r="J87" s="64"/>
      <c r="K87" s="59" t="b">
        <v>1</v>
      </c>
      <c r="L87" s="53">
        <f t="shared" si="12"/>
        <v>0</v>
      </c>
      <c r="M87" s="53">
        <f t="shared" si="13"/>
        <v>0</v>
      </c>
      <c r="N87" s="53">
        <f t="shared" si="14"/>
        <v>0</v>
      </c>
      <c r="O87" s="66" t="str">
        <f t="shared" si="15"/>
        <v/>
      </c>
      <c r="P87" s="60" t="str">
        <f>IFERROR(__xludf.DUMMYFUNCTION("IF($N87=1,IFERROR(IMPORTXML($I87, ""//p[@class='status-date']""), ""Not Loading""),"""")"),"")</f>
        <v/>
      </c>
      <c r="Q87" s="65"/>
      <c r="R87" s="65"/>
      <c r="S87" s="65"/>
      <c r="T87" s="65"/>
      <c r="U87" s="61" t="str">
        <f t="shared" si="8"/>
        <v>mathew611</v>
      </c>
      <c r="V87" s="62">
        <f>IFERROR(__xludf.DUMMYFUNCTION("iferror(VALUE(left(index(IMPORTXML(I89, ""//div[@class='col-lg-2 user-stat stat-green']""),2,1),len(index(IMPORTXML(I89, ""//div[@class='col-lg-2 user-stat stat-green']""),2,1))-8)),0)"),6.0)</f>
        <v>6</v>
      </c>
      <c r="W87" s="21"/>
      <c r="X87" s="21"/>
      <c r="Y87" s="21"/>
      <c r="Z87" s="21"/>
    </row>
    <row r="88" ht="15.0" customHeight="1">
      <c r="A88" s="51">
        <f t="shared" si="9"/>
        <v>81</v>
      </c>
      <c r="B88" s="52" t="str">
        <f t="shared" si="2"/>
        <v>Japanse 🍁 Maple 🌿 #81 | R11 - C12</v>
      </c>
      <c r="C88" s="53">
        <v>11.0</v>
      </c>
      <c r="D88" s="53">
        <v>12.0</v>
      </c>
      <c r="E88" s="54" t="s">
        <v>281</v>
      </c>
      <c r="F88" s="54" t="s">
        <v>282</v>
      </c>
      <c r="G88" s="55" t="s">
        <v>111</v>
      </c>
      <c r="H88" s="56" t="str">
        <f t="shared" si="3"/>
        <v>Nicolet</v>
      </c>
      <c r="I88" s="63" t="s">
        <v>283</v>
      </c>
      <c r="J88" s="64"/>
      <c r="K88" s="59" t="b">
        <v>1</v>
      </c>
      <c r="L88" s="53">
        <f t="shared" si="12"/>
        <v>0</v>
      </c>
      <c r="M88" s="53">
        <f t="shared" si="13"/>
        <v>0</v>
      </c>
      <c r="N88" s="53">
        <f t="shared" si="14"/>
        <v>0</v>
      </c>
      <c r="O88" s="52" t="str">
        <f t="shared" si="15"/>
        <v/>
      </c>
      <c r="P88" s="60" t="str">
        <f>IFERROR(__xludf.DUMMYFUNCTION("IF($N88=1,IFERROR(IMPORTXML($I88, ""//p[@class='status-date']""), ""Not Loading""),"""")"),"")</f>
        <v/>
      </c>
      <c r="Q88" s="61"/>
      <c r="R88" s="61"/>
      <c r="S88" s="61"/>
      <c r="T88" s="61"/>
      <c r="U88" s="61" t="str">
        <f t="shared" si="8"/>
        <v>Nicolet</v>
      </c>
      <c r="V88" s="62">
        <f>IFERROR(__xludf.DUMMYFUNCTION("iferror(VALUE(left(index(IMPORTXML(I90, ""//div[@class='col-lg-2 user-stat stat-green']""),2,1),len(index(IMPORTXML(I90, ""//div[@class='col-lg-2 user-stat stat-green']""),2,1))-8)),0)"),5.0)</f>
        <v>5</v>
      </c>
      <c r="W88" s="21"/>
      <c r="X88" s="21"/>
      <c r="Y88" s="21"/>
      <c r="Z88" s="21"/>
    </row>
    <row r="89" ht="15.0" customHeight="1">
      <c r="A89" s="51">
        <f t="shared" si="9"/>
        <v>82</v>
      </c>
      <c r="B89" s="52" t="str">
        <f t="shared" si="2"/>
        <v>Japanse 🍁 Maple 🌿 #82 | R11 - C13</v>
      </c>
      <c r="C89" s="53">
        <v>11.0</v>
      </c>
      <c r="D89" s="53">
        <v>13.0</v>
      </c>
      <c r="E89" s="54" t="s">
        <v>284</v>
      </c>
      <c r="F89" s="54" t="s">
        <v>285</v>
      </c>
      <c r="G89" s="55" t="s">
        <v>64</v>
      </c>
      <c r="H89" s="56" t="str">
        <f t="shared" si="3"/>
        <v>Kapor24</v>
      </c>
      <c r="I89" s="63" t="s">
        <v>286</v>
      </c>
      <c r="J89" s="64"/>
      <c r="K89" s="59" t="b">
        <v>1</v>
      </c>
      <c r="L89" s="53">
        <f t="shared" si="12"/>
        <v>0</v>
      </c>
      <c r="M89" s="53">
        <f t="shared" si="13"/>
        <v>0</v>
      </c>
      <c r="N89" s="53">
        <f t="shared" si="14"/>
        <v>0</v>
      </c>
      <c r="O89" s="66" t="str">
        <f t="shared" si="15"/>
        <v/>
      </c>
      <c r="P89" s="60" t="str">
        <f>IFERROR(__xludf.DUMMYFUNCTION("IF($N89=1,IFERROR(IMPORTXML($I89, ""//p[@class='status-date']""), ""Not Loading""),"""")"),"")</f>
        <v/>
      </c>
      <c r="Q89" s="65"/>
      <c r="R89" s="65"/>
      <c r="S89" s="65"/>
      <c r="T89" s="65"/>
      <c r="U89" s="61" t="str">
        <f t="shared" si="8"/>
        <v>Kapor24</v>
      </c>
      <c r="V89" s="62">
        <f>IFERROR(__xludf.DUMMYFUNCTION("iferror(VALUE(left(index(IMPORTXML(I91, ""//div[@class='col-lg-2 user-stat stat-green']""),2,1),len(index(IMPORTXML(I91, ""//div[@class='col-lg-2 user-stat stat-green']""),2,1))-8)),0)"),1.0)</f>
        <v>1</v>
      </c>
      <c r="W89" s="21"/>
      <c r="X89" s="21"/>
      <c r="Y89" s="21"/>
      <c r="Z89" s="21"/>
    </row>
    <row r="90" ht="15.0" customHeight="1">
      <c r="A90" s="51">
        <f t="shared" si="9"/>
        <v>83</v>
      </c>
      <c r="B90" s="52" t="str">
        <f t="shared" si="2"/>
        <v>Japanse 🍁 Maple 🌿 #83 | R11 - C14</v>
      </c>
      <c r="C90" s="53">
        <v>11.0</v>
      </c>
      <c r="D90" s="53">
        <v>14.0</v>
      </c>
      <c r="E90" s="54" t="s">
        <v>287</v>
      </c>
      <c r="F90" s="54" t="s">
        <v>288</v>
      </c>
      <c r="G90" s="55" t="s">
        <v>64</v>
      </c>
      <c r="H90" s="56" t="str">
        <f t="shared" si="3"/>
        <v>mathew611</v>
      </c>
      <c r="I90" s="63" t="s">
        <v>289</v>
      </c>
      <c r="J90" s="64"/>
      <c r="K90" s="59" t="b">
        <v>1</v>
      </c>
      <c r="L90" s="53">
        <f t="shared" si="12"/>
        <v>0</v>
      </c>
      <c r="M90" s="53">
        <f t="shared" si="13"/>
        <v>0</v>
      </c>
      <c r="N90" s="53">
        <f t="shared" si="14"/>
        <v>0</v>
      </c>
      <c r="O90" s="52" t="str">
        <f t="shared" si="15"/>
        <v/>
      </c>
      <c r="P90" s="60" t="str">
        <f>IFERROR(__xludf.DUMMYFUNCTION("IF($N90=1,IFERROR(IMPORTXML($I90, ""//p[@class='status-date']""), ""Not Loading""),"""")"),"")</f>
        <v/>
      </c>
      <c r="Q90" s="61"/>
      <c r="R90" s="61"/>
      <c r="S90" s="61"/>
      <c r="T90" s="61"/>
      <c r="U90" s="61" t="str">
        <f t="shared" si="8"/>
        <v>mathew611</v>
      </c>
      <c r="V90" s="62">
        <f>IFERROR(__xludf.DUMMYFUNCTION("iferror(VALUE(left(index(IMPORTXML(I92, ""//div[@class='col-lg-2 user-stat stat-green']""),2,1),len(index(IMPORTXML(I92, ""//div[@class='col-lg-2 user-stat stat-green']""),2,1))-8)),0)"),1.0)</f>
        <v>1</v>
      </c>
      <c r="W90" s="21"/>
      <c r="X90" s="21"/>
      <c r="Y90" s="21"/>
      <c r="Z90" s="21"/>
    </row>
    <row r="91" ht="15.0" customHeight="1">
      <c r="A91" s="51">
        <f t="shared" si="9"/>
        <v>84</v>
      </c>
      <c r="B91" s="52" t="str">
        <f t="shared" si="2"/>
        <v>Japanse 🍁 Maple 🌿 #84 | R11 - C15</v>
      </c>
      <c r="C91" s="53">
        <v>11.0</v>
      </c>
      <c r="D91" s="53">
        <v>15.0</v>
      </c>
      <c r="E91" s="54" t="s">
        <v>290</v>
      </c>
      <c r="F91" s="54" t="s">
        <v>291</v>
      </c>
      <c r="G91" s="55" t="s">
        <v>39</v>
      </c>
      <c r="H91" s="56" t="str">
        <f t="shared" si="3"/>
        <v>Nicolet</v>
      </c>
      <c r="I91" s="63" t="s">
        <v>292</v>
      </c>
      <c r="J91" s="58"/>
      <c r="K91" s="59" t="b">
        <v>1</v>
      </c>
      <c r="L91" s="53">
        <f t="shared" si="12"/>
        <v>0</v>
      </c>
      <c r="M91" s="53">
        <f t="shared" si="13"/>
        <v>0</v>
      </c>
      <c r="N91" s="53">
        <f t="shared" si="14"/>
        <v>0</v>
      </c>
      <c r="O91" s="52" t="str">
        <f t="shared" si="15"/>
        <v/>
      </c>
      <c r="P91" s="60" t="str">
        <f>IFERROR(__xludf.DUMMYFUNCTION("IF($N91=1,IFERROR(IMPORTXML($I91, ""//p[@class='status-date']""), ""Not Loading""),"""")"),"")</f>
        <v/>
      </c>
      <c r="Q91" s="65"/>
      <c r="R91" s="65"/>
      <c r="S91" s="65"/>
      <c r="T91" s="65"/>
      <c r="U91" s="61" t="str">
        <f t="shared" si="8"/>
        <v>Nicolet</v>
      </c>
      <c r="V91" s="62">
        <f>IFERROR(__xludf.DUMMYFUNCTION("iferror(VALUE(left(index(IMPORTXML(I93, ""//div[@class='col-lg-2 user-stat stat-green']""),2,1),len(index(IMPORTXML(I93, ""//div[@class='col-lg-2 user-stat stat-green']""),2,1))-8)),0)"),2.0)</f>
        <v>2</v>
      </c>
      <c r="W91" s="21"/>
      <c r="X91" s="21"/>
      <c r="Y91" s="21"/>
      <c r="Z91" s="21"/>
    </row>
    <row r="92" ht="15.0" customHeight="1">
      <c r="A92" s="51">
        <f t="shared" si="9"/>
        <v>85</v>
      </c>
      <c r="B92" s="52" t="str">
        <f t="shared" si="2"/>
        <v>Japanse 🍁 Maple 🌿 #85 | R12 - C3</v>
      </c>
      <c r="C92" s="53">
        <v>12.0</v>
      </c>
      <c r="D92" s="53">
        <v>3.0</v>
      </c>
      <c r="E92" s="54" t="s">
        <v>293</v>
      </c>
      <c r="F92" s="54" t="s">
        <v>294</v>
      </c>
      <c r="G92" s="55" t="s">
        <v>46</v>
      </c>
      <c r="H92" s="56" t="str">
        <f t="shared" si="3"/>
        <v>Neloras</v>
      </c>
      <c r="I92" s="63" t="s">
        <v>295</v>
      </c>
      <c r="J92" s="64"/>
      <c r="K92" s="59" t="b">
        <v>1</v>
      </c>
      <c r="L92" s="53">
        <f t="shared" si="12"/>
        <v>0</v>
      </c>
      <c r="M92" s="53">
        <f t="shared" si="13"/>
        <v>0</v>
      </c>
      <c r="N92" s="53">
        <f t="shared" si="14"/>
        <v>0</v>
      </c>
      <c r="O92" s="52" t="str">
        <f t="shared" si="15"/>
        <v/>
      </c>
      <c r="P92" s="60" t="str">
        <f>IFERROR(__xludf.DUMMYFUNCTION("IF($N92=1,IFERROR(IMPORTXML($I92, ""//p[@class='status-date']""), ""Not Loading""),"""")"),"")</f>
        <v/>
      </c>
      <c r="Q92" s="61"/>
      <c r="R92" s="61"/>
      <c r="S92" s="61"/>
      <c r="T92" s="61"/>
      <c r="U92" s="61" t="str">
        <f t="shared" si="8"/>
        <v>Neloras</v>
      </c>
      <c r="V92" s="62">
        <f>IFERROR(__xludf.DUMMYFUNCTION("iferror(VALUE(left(index(IMPORTXML(I94, ""//div[@class='col-lg-2 user-stat stat-green']""),2,1),len(index(IMPORTXML(I94, ""//div[@class='col-lg-2 user-stat stat-green']""),2,1))-8)),0)"),4.0)</f>
        <v>4</v>
      </c>
      <c r="W92" s="21"/>
      <c r="X92" s="21"/>
      <c r="Y92" s="21"/>
      <c r="Z92" s="21"/>
    </row>
    <row r="93" ht="15.0" customHeight="1">
      <c r="A93" s="51">
        <f t="shared" si="9"/>
        <v>86</v>
      </c>
      <c r="B93" s="52" t="str">
        <f t="shared" si="2"/>
        <v>Japanse 🍁 Maple 🌿 #86 | R12 - C4</v>
      </c>
      <c r="C93" s="53">
        <v>12.0</v>
      </c>
      <c r="D93" s="53">
        <v>4.0</v>
      </c>
      <c r="E93" s="54" t="s">
        <v>296</v>
      </c>
      <c r="F93" s="54" t="s">
        <v>297</v>
      </c>
      <c r="G93" s="55" t="s">
        <v>39</v>
      </c>
      <c r="H93" s="56" t="str">
        <f t="shared" si="3"/>
        <v>and2470</v>
      </c>
      <c r="I93" s="63" t="s">
        <v>298</v>
      </c>
      <c r="J93" s="64"/>
      <c r="K93" s="59" t="b">
        <v>1</v>
      </c>
      <c r="L93" s="53">
        <f t="shared" si="12"/>
        <v>0</v>
      </c>
      <c r="M93" s="53">
        <f t="shared" si="13"/>
        <v>0</v>
      </c>
      <c r="N93" s="53">
        <f t="shared" si="14"/>
        <v>0</v>
      </c>
      <c r="O93" s="52" t="str">
        <f t="shared" si="15"/>
        <v/>
      </c>
      <c r="P93" s="60" t="str">
        <f>IFERROR(__xludf.DUMMYFUNCTION("IF($N93=1,IFERROR(IMPORTXML($I93, ""//p[@class='status-date']""), ""Not Loading""),"""")"),"")</f>
        <v/>
      </c>
      <c r="Q93" s="65"/>
      <c r="R93" s="65"/>
      <c r="S93" s="65"/>
      <c r="T93" s="65"/>
      <c r="U93" s="61" t="str">
        <f t="shared" si="8"/>
        <v>and2470</v>
      </c>
      <c r="V93" s="62">
        <f>IFERROR(__xludf.DUMMYFUNCTION("iferror(VALUE(left(index(IMPORTXML(I95, ""//div[@class='col-lg-2 user-stat stat-green']""),2,1),len(index(IMPORTXML(I95, ""//div[@class='col-lg-2 user-stat stat-green']""),2,1))-8)),0)"),5.0)</f>
        <v>5</v>
      </c>
      <c r="W93" s="21"/>
      <c r="X93" s="21"/>
      <c r="Y93" s="21"/>
      <c r="Z93" s="21"/>
    </row>
    <row r="94" ht="15.0" customHeight="1">
      <c r="A94" s="51">
        <f t="shared" si="9"/>
        <v>87</v>
      </c>
      <c r="B94" s="52" t="str">
        <f t="shared" si="2"/>
        <v>Japanse 🍁 Maple 🌿 #87 | R12 - C5</v>
      </c>
      <c r="C94" s="53">
        <v>12.0</v>
      </c>
      <c r="D94" s="53">
        <v>5.0</v>
      </c>
      <c r="E94" s="54" t="s">
        <v>299</v>
      </c>
      <c r="F94" s="54" t="s">
        <v>300</v>
      </c>
      <c r="G94" s="55" t="s">
        <v>60</v>
      </c>
      <c r="H94" s="56" t="str">
        <f t="shared" si="3"/>
        <v>EeveeFox</v>
      </c>
      <c r="I94" s="63" t="s">
        <v>301</v>
      </c>
      <c r="J94" s="64"/>
      <c r="K94" s="59" t="b">
        <v>1</v>
      </c>
      <c r="L94" s="53">
        <f t="shared" si="12"/>
        <v>0</v>
      </c>
      <c r="M94" s="53">
        <f t="shared" si="13"/>
        <v>0</v>
      </c>
      <c r="N94" s="53">
        <f t="shared" si="14"/>
        <v>0</v>
      </c>
      <c r="O94" s="52" t="str">
        <f t="shared" si="15"/>
        <v/>
      </c>
      <c r="P94" s="60" t="str">
        <f>IFERROR(__xludf.DUMMYFUNCTION("IF($N94=1,IFERROR(IMPORTXML($I94, ""//p[@class='status-date']""), ""Not Loading""),"""")"),"")</f>
        <v/>
      </c>
      <c r="Q94" s="61"/>
      <c r="R94" s="61"/>
      <c r="S94" s="61"/>
      <c r="T94" s="61"/>
      <c r="U94" s="61" t="str">
        <f t="shared" si="8"/>
        <v>EeveeFox</v>
      </c>
      <c r="V94" s="62">
        <f>IFERROR(__xludf.DUMMYFUNCTION("iferror(VALUE(left(index(IMPORTXML(I96, ""//div[@class='col-lg-2 user-stat stat-green']""),2,1),len(index(IMPORTXML(I96, ""//div[@class='col-lg-2 user-stat stat-green']""),2,1))-8)),0)"),1.0)</f>
        <v>1</v>
      </c>
      <c r="W94" s="21"/>
      <c r="X94" s="21"/>
      <c r="Y94" s="21"/>
      <c r="Z94" s="21"/>
    </row>
    <row r="95" ht="15.0" customHeight="1">
      <c r="A95" s="51">
        <f t="shared" si="9"/>
        <v>88</v>
      </c>
      <c r="B95" s="52" t="str">
        <f t="shared" si="2"/>
        <v>Japanse 🍁 Maple 🌿 #88 | R12 - C6</v>
      </c>
      <c r="C95" s="53">
        <v>12.0</v>
      </c>
      <c r="D95" s="53">
        <v>6.0</v>
      </c>
      <c r="E95" s="54" t="s">
        <v>302</v>
      </c>
      <c r="F95" s="54" t="s">
        <v>303</v>
      </c>
      <c r="G95" s="55" t="s">
        <v>60</v>
      </c>
      <c r="H95" s="56" t="str">
        <f t="shared" si="3"/>
        <v>Rikitan</v>
      </c>
      <c r="I95" s="57" t="s">
        <v>304</v>
      </c>
      <c r="J95" s="64"/>
      <c r="K95" s="59" t="b">
        <v>1</v>
      </c>
      <c r="L95" s="53">
        <f t="shared" si="12"/>
        <v>0</v>
      </c>
      <c r="M95" s="53">
        <f t="shared" si="13"/>
        <v>0</v>
      </c>
      <c r="N95" s="53">
        <f t="shared" si="14"/>
        <v>0</v>
      </c>
      <c r="O95" s="52" t="str">
        <f t="shared" si="15"/>
        <v/>
      </c>
      <c r="P95" s="60" t="str">
        <f>IFERROR(__xludf.DUMMYFUNCTION("IF($N95=1,IFERROR(IMPORTXML($I95, ""//p[@class='status-date']""), ""Not Loading""),"""")"),"")</f>
        <v/>
      </c>
      <c r="Q95" s="65"/>
      <c r="R95" s="65"/>
      <c r="S95" s="65"/>
      <c r="T95" s="65"/>
      <c r="U95" s="61" t="str">
        <f t="shared" si="8"/>
        <v>Rikitan</v>
      </c>
      <c r="V95" s="62">
        <f>IFERROR(__xludf.DUMMYFUNCTION("iferror(VALUE(left(index(IMPORTXML(I97, ""//div[@class='col-lg-2 user-stat stat-green']""),2,1),len(index(IMPORTXML(I97, ""//div[@class='col-lg-2 user-stat stat-green']""),2,1))-8)),0)"),2.0)</f>
        <v>2</v>
      </c>
      <c r="W95" s="21"/>
      <c r="X95" s="21"/>
      <c r="Y95" s="21"/>
      <c r="Z95" s="21"/>
    </row>
    <row r="96" ht="15.0" customHeight="1">
      <c r="A96" s="51">
        <f t="shared" si="9"/>
        <v>89</v>
      </c>
      <c r="B96" s="52" t="str">
        <f t="shared" si="2"/>
        <v>Japanse 🍁 Maple 🌿 #89 | R12 - C7</v>
      </c>
      <c r="C96" s="53">
        <v>12.0</v>
      </c>
      <c r="D96" s="53">
        <v>7.0</v>
      </c>
      <c r="E96" s="54" t="s">
        <v>305</v>
      </c>
      <c r="F96" s="54" t="s">
        <v>306</v>
      </c>
      <c r="G96" s="55" t="s">
        <v>77</v>
      </c>
      <c r="H96" s="56" t="str">
        <f t="shared" si="3"/>
        <v>Neloras</v>
      </c>
      <c r="I96" s="63" t="s">
        <v>307</v>
      </c>
      <c r="J96" s="64"/>
      <c r="K96" s="59" t="b">
        <v>1</v>
      </c>
      <c r="L96" s="53">
        <f t="shared" si="12"/>
        <v>0</v>
      </c>
      <c r="M96" s="53">
        <f t="shared" si="13"/>
        <v>0</v>
      </c>
      <c r="N96" s="53">
        <f t="shared" si="14"/>
        <v>0</v>
      </c>
      <c r="O96" s="66" t="str">
        <f t="shared" si="15"/>
        <v/>
      </c>
      <c r="P96" s="60" t="str">
        <f>IFERROR(__xludf.DUMMYFUNCTION("IF($N96=1,IFERROR(IMPORTXML($I96, ""//p[@class='status-date']""), ""Not Loading""),"""")"),"")</f>
        <v/>
      </c>
      <c r="Q96" s="61"/>
      <c r="R96" s="61"/>
      <c r="S96" s="61"/>
      <c r="T96" s="61"/>
      <c r="U96" s="61" t="str">
        <f t="shared" si="8"/>
        <v>Neloras</v>
      </c>
      <c r="V96" s="62">
        <f>IFERROR(__xludf.DUMMYFUNCTION("iferror(VALUE(left(index(IMPORTXML(I98, ""//div[@class='col-lg-2 user-stat stat-green']""),2,1),len(index(IMPORTXML(I98, ""//div[@class='col-lg-2 user-stat stat-green']""),2,1))-8)),0)"),2.0)</f>
        <v>2</v>
      </c>
      <c r="W96" s="21"/>
      <c r="X96" s="21"/>
      <c r="Y96" s="21"/>
      <c r="Z96" s="21"/>
    </row>
    <row r="97" ht="15.0" customHeight="1">
      <c r="A97" s="51">
        <f t="shared" si="9"/>
        <v>90</v>
      </c>
      <c r="B97" s="52" t="str">
        <f t="shared" si="2"/>
        <v>Japanse 🍁 Maple 🌿 #90 | R12 - C8</v>
      </c>
      <c r="C97" s="53">
        <v>12.0</v>
      </c>
      <c r="D97" s="53">
        <v>8.0</v>
      </c>
      <c r="E97" s="54" t="s">
        <v>308</v>
      </c>
      <c r="F97" s="54" t="s">
        <v>309</v>
      </c>
      <c r="G97" s="55" t="s">
        <v>310</v>
      </c>
      <c r="H97" s="56" t="str">
        <f t="shared" si="3"/>
        <v>EeveeFox</v>
      </c>
      <c r="I97" s="63" t="s">
        <v>311</v>
      </c>
      <c r="J97" s="68"/>
      <c r="K97" s="59" t="b">
        <v>1</v>
      </c>
      <c r="L97" s="53">
        <f t="shared" si="12"/>
        <v>0</v>
      </c>
      <c r="M97" s="53">
        <f t="shared" si="13"/>
        <v>0</v>
      </c>
      <c r="N97" s="53">
        <f t="shared" si="14"/>
        <v>0</v>
      </c>
      <c r="O97" s="66" t="str">
        <f t="shared" si="15"/>
        <v/>
      </c>
      <c r="P97" s="60" t="str">
        <f>IFERROR(__xludf.DUMMYFUNCTION("IF($N97=1,IFERROR(IMPORTXML($I97, ""//p[@class='status-date']""), ""Not Loading""),"""")"),"")</f>
        <v/>
      </c>
      <c r="Q97" s="65"/>
      <c r="R97" s="65"/>
      <c r="S97" s="65"/>
      <c r="T97" s="65"/>
      <c r="U97" s="61" t="str">
        <f t="shared" si="8"/>
        <v>EeveeFox</v>
      </c>
      <c r="V9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97" s="21"/>
      <c r="X97" s="21"/>
      <c r="Y97" s="21"/>
      <c r="Z97" s="21"/>
    </row>
    <row r="98" ht="15.0" customHeight="1">
      <c r="A98" s="51">
        <f t="shared" si="9"/>
        <v>91</v>
      </c>
      <c r="B98" s="52" t="str">
        <f t="shared" si="2"/>
        <v>Japanse 🍁 Maple 🌿 #91 | R12 - C9</v>
      </c>
      <c r="C98" s="53">
        <v>12.0</v>
      </c>
      <c r="D98" s="53">
        <v>9.0</v>
      </c>
      <c r="E98" s="54" t="s">
        <v>312</v>
      </c>
      <c r="F98" s="54" t="s">
        <v>313</v>
      </c>
      <c r="G98" s="55" t="s">
        <v>310</v>
      </c>
      <c r="H98" s="56" t="str">
        <f t="shared" si="3"/>
        <v>georeyna</v>
      </c>
      <c r="I98" s="63" t="s">
        <v>314</v>
      </c>
      <c r="J98" s="64"/>
      <c r="K98" s="59" t="b">
        <v>1</v>
      </c>
      <c r="L98" s="53">
        <f t="shared" si="12"/>
        <v>0</v>
      </c>
      <c r="M98" s="53">
        <f t="shared" si="13"/>
        <v>0</v>
      </c>
      <c r="N98" s="53">
        <f t="shared" si="14"/>
        <v>0</v>
      </c>
      <c r="O98" s="52" t="str">
        <f t="shared" si="15"/>
        <v/>
      </c>
      <c r="P98" s="60" t="str">
        <f>IFERROR(__xludf.DUMMYFUNCTION("IF($N98=1,IFERROR(IMPORTXML($I98, ""//p[@class='status-date']""), ""Not Loading""),"""")"),"")</f>
        <v/>
      </c>
      <c r="Q98" s="61"/>
      <c r="R98" s="61"/>
      <c r="S98" s="61"/>
      <c r="T98" s="61"/>
      <c r="U98" s="61" t="str">
        <f t="shared" si="8"/>
        <v>georeyna</v>
      </c>
      <c r="V98" s="62">
        <f>IFERROR(__xludf.DUMMYFUNCTION("iferror(VALUE(left(index(IMPORTXML(I100, ""//div[@class='col-lg-2 user-stat stat-green']""),2,1),len(index(IMPORTXML(I100, ""//div[@class='col-lg-2 user-stat stat-green']""),2,1))-8)),0)"),9.0)</f>
        <v>9</v>
      </c>
      <c r="W98" s="21"/>
      <c r="X98" s="21"/>
      <c r="Y98" s="21"/>
      <c r="Z98" s="21"/>
    </row>
    <row r="99" ht="15.0" customHeight="1">
      <c r="A99" s="51">
        <f t="shared" si="9"/>
        <v>92</v>
      </c>
      <c r="B99" s="52" t="str">
        <f t="shared" si="2"/>
        <v>Japanse 🍁 Maple 🌿 #92 | R12 - C10</v>
      </c>
      <c r="C99" s="53">
        <v>12.0</v>
      </c>
      <c r="D99" s="53">
        <v>10.0</v>
      </c>
      <c r="E99" s="54" t="s">
        <v>315</v>
      </c>
      <c r="F99" s="54" t="s">
        <v>316</v>
      </c>
      <c r="G99" s="55" t="s">
        <v>77</v>
      </c>
      <c r="H99" s="56" t="str">
        <f t="shared" si="3"/>
        <v>Neloras</v>
      </c>
      <c r="I99" s="63" t="s">
        <v>317</v>
      </c>
      <c r="J99" s="64"/>
      <c r="K99" s="59" t="b">
        <v>1</v>
      </c>
      <c r="L99" s="53">
        <f t="shared" si="12"/>
        <v>0</v>
      </c>
      <c r="M99" s="53">
        <f t="shared" si="13"/>
        <v>0</v>
      </c>
      <c r="N99" s="53">
        <f t="shared" si="14"/>
        <v>0</v>
      </c>
      <c r="O99" s="52" t="str">
        <f t="shared" si="15"/>
        <v/>
      </c>
      <c r="P99" s="60" t="str">
        <f>IFERROR(__xludf.DUMMYFUNCTION("IF($N99=1,IFERROR(IMPORTXML($I99, ""//p[@class='status-date']""), ""Not Loading""),"""")"),"")</f>
        <v/>
      </c>
      <c r="Q99" s="65"/>
      <c r="R99" s="65"/>
      <c r="S99" s="65"/>
      <c r="T99" s="65"/>
      <c r="U99" s="61" t="str">
        <f t="shared" si="8"/>
        <v>Neloras</v>
      </c>
      <c r="V9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99" s="21"/>
      <c r="X99" s="21"/>
      <c r="Y99" s="21"/>
      <c r="Z99" s="21"/>
    </row>
    <row r="100" ht="15.0" customHeight="1">
      <c r="A100" s="51">
        <f t="shared" si="9"/>
        <v>93</v>
      </c>
      <c r="B100" s="52" t="str">
        <f t="shared" si="2"/>
        <v>Japanse 🍁 Maple 🌿 #93 | R12 - C11</v>
      </c>
      <c r="C100" s="53">
        <v>12.0</v>
      </c>
      <c r="D100" s="53">
        <v>11.0</v>
      </c>
      <c r="E100" s="54" t="s">
        <v>318</v>
      </c>
      <c r="F100" s="54" t="s">
        <v>319</v>
      </c>
      <c r="G100" s="55" t="s">
        <v>64</v>
      </c>
      <c r="H100" s="56" t="str">
        <f t="shared" si="3"/>
        <v>EeveeFox</v>
      </c>
      <c r="I100" s="63" t="s">
        <v>320</v>
      </c>
      <c r="J100" s="64"/>
      <c r="K100" s="59" t="b">
        <v>1</v>
      </c>
      <c r="L100" s="53">
        <f t="shared" si="12"/>
        <v>0</v>
      </c>
      <c r="M100" s="53">
        <f t="shared" si="13"/>
        <v>0</v>
      </c>
      <c r="N100" s="53">
        <f t="shared" si="14"/>
        <v>0</v>
      </c>
      <c r="O100" s="52" t="str">
        <f t="shared" si="15"/>
        <v/>
      </c>
      <c r="P100" s="60" t="str">
        <f>IFERROR(__xludf.DUMMYFUNCTION("IF($N100=1,IFERROR(IMPORTXML($I100, ""//p[@class='status-date']""), ""Not Loading""),"""")"),"")</f>
        <v/>
      </c>
      <c r="Q100" s="61"/>
      <c r="R100" s="61"/>
      <c r="S100" s="61"/>
      <c r="T100" s="61"/>
      <c r="U100" s="61" t="str">
        <f t="shared" si="8"/>
        <v>EeveeFox</v>
      </c>
      <c r="V100" s="62">
        <f>IFERROR(__xludf.DUMMYFUNCTION("iferror(VALUE(left(index(IMPORTXML(I102, ""//div[@class='col-lg-2 user-stat stat-green']""),2,1),len(index(IMPORTXML(I102, ""//div[@class='col-lg-2 user-stat stat-green']""),2,1))-8)),0)"),2.0)</f>
        <v>2</v>
      </c>
      <c r="W100" s="21"/>
      <c r="X100" s="21"/>
      <c r="Y100" s="21"/>
      <c r="Z100" s="21"/>
    </row>
    <row r="101" ht="15.0" customHeight="1">
      <c r="A101" s="51">
        <f t="shared" si="9"/>
        <v>94</v>
      </c>
      <c r="B101" s="52" t="str">
        <f t="shared" si="2"/>
        <v>Japanse 🍁 Maple 🌿 #94 | R12 - C12</v>
      </c>
      <c r="C101" s="53">
        <v>12.0</v>
      </c>
      <c r="D101" s="53">
        <v>12.0</v>
      </c>
      <c r="E101" s="54" t="s">
        <v>321</v>
      </c>
      <c r="F101" s="54" t="s">
        <v>322</v>
      </c>
      <c r="G101" s="55" t="s">
        <v>64</v>
      </c>
      <c r="H101" s="56" t="str">
        <f t="shared" si="3"/>
        <v>and2470</v>
      </c>
      <c r="I101" s="63" t="s">
        <v>323</v>
      </c>
      <c r="J101" s="64"/>
      <c r="K101" s="59" t="b">
        <v>1</v>
      </c>
      <c r="L101" s="53">
        <f t="shared" si="12"/>
        <v>0</v>
      </c>
      <c r="M101" s="53">
        <f t="shared" si="13"/>
        <v>0</v>
      </c>
      <c r="N101" s="53">
        <f t="shared" si="14"/>
        <v>0</v>
      </c>
      <c r="O101" s="52" t="str">
        <f t="shared" si="15"/>
        <v/>
      </c>
      <c r="P101" s="60" t="str">
        <f>IFERROR(__xludf.DUMMYFUNCTION("IF($N101=1,IFERROR(IMPORTXML($I101, ""//p[@class='status-date']""), ""Not Loading""),"""")"),"")</f>
        <v/>
      </c>
      <c r="Q101" s="65"/>
      <c r="R101" s="65"/>
      <c r="S101" s="65"/>
      <c r="T101" s="65"/>
      <c r="U101" s="61" t="str">
        <f t="shared" si="8"/>
        <v>and2470</v>
      </c>
      <c r="V10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01" s="21"/>
      <c r="X101" s="21"/>
      <c r="Y101" s="21"/>
      <c r="Z101" s="21"/>
    </row>
    <row r="102" ht="15.0" customHeight="1">
      <c r="A102" s="51">
        <f t="shared" si="9"/>
        <v>95</v>
      </c>
      <c r="B102" s="52" t="str">
        <f t="shared" si="2"/>
        <v>Japanse 🍁 Maple 🌿 #95 | R12 - C13</v>
      </c>
      <c r="C102" s="53">
        <v>12.0</v>
      </c>
      <c r="D102" s="53">
        <v>13.0</v>
      </c>
      <c r="E102" s="54" t="s">
        <v>324</v>
      </c>
      <c r="F102" s="54" t="s">
        <v>325</v>
      </c>
      <c r="G102" s="55" t="s">
        <v>39</v>
      </c>
      <c r="H102" s="56" t="str">
        <f t="shared" si="3"/>
        <v>Havenicedayjoe</v>
      </c>
      <c r="I102" s="63" t="s">
        <v>326</v>
      </c>
      <c r="J102" s="64"/>
      <c r="K102" s="59" t="b">
        <v>1</v>
      </c>
      <c r="L102" s="53">
        <f t="shared" si="12"/>
        <v>0</v>
      </c>
      <c r="M102" s="53">
        <f t="shared" si="13"/>
        <v>0</v>
      </c>
      <c r="N102" s="53">
        <f t="shared" si="14"/>
        <v>0</v>
      </c>
      <c r="O102" s="52" t="str">
        <f t="shared" si="15"/>
        <v/>
      </c>
      <c r="P102" s="60" t="str">
        <f>IFERROR(__xludf.DUMMYFUNCTION("IF($N102=1,IFERROR(IMPORTXML($I102, ""//p[@class='status-date']""), ""Not Loading""),"""")"),"")</f>
        <v/>
      </c>
      <c r="Q102" s="61"/>
      <c r="R102" s="61"/>
      <c r="S102" s="61"/>
      <c r="T102" s="61"/>
      <c r="U102" s="61" t="str">
        <f t="shared" si="8"/>
        <v>Havenicedayjoe</v>
      </c>
      <c r="V102" s="62">
        <f>IFERROR(__xludf.DUMMYFUNCTION("iferror(VALUE(left(index(IMPORTXML(I104, ""//div[@class='col-lg-2 user-stat stat-green']""),2,1),len(index(IMPORTXML(I104, ""//div[@class='col-lg-2 user-stat stat-green']""),2,1))-8)),0)"),2.0)</f>
        <v>2</v>
      </c>
      <c r="W102" s="21"/>
      <c r="X102" s="21"/>
      <c r="Y102" s="21"/>
      <c r="Z102" s="21"/>
    </row>
    <row r="103" ht="15.0" customHeight="1">
      <c r="A103" s="51">
        <f t="shared" si="9"/>
        <v>96</v>
      </c>
      <c r="B103" s="52" t="str">
        <f t="shared" si="2"/>
        <v>Japanse 🍁 Maple 🌿 #96 | R12 - C14</v>
      </c>
      <c r="C103" s="53">
        <v>12.0</v>
      </c>
      <c r="D103" s="53">
        <v>14.0</v>
      </c>
      <c r="E103" s="54" t="s">
        <v>327</v>
      </c>
      <c r="F103" s="54" t="s">
        <v>328</v>
      </c>
      <c r="G103" s="55" t="s">
        <v>46</v>
      </c>
      <c r="H103" s="56" t="str">
        <f t="shared" si="3"/>
        <v>Neloras</v>
      </c>
      <c r="I103" s="63" t="s">
        <v>329</v>
      </c>
      <c r="J103" s="64"/>
      <c r="K103" s="59" t="b">
        <v>1</v>
      </c>
      <c r="L103" s="53">
        <f t="shared" si="12"/>
        <v>0</v>
      </c>
      <c r="M103" s="53">
        <f t="shared" si="13"/>
        <v>0</v>
      </c>
      <c r="N103" s="53">
        <f t="shared" si="14"/>
        <v>0</v>
      </c>
      <c r="O103" s="52" t="str">
        <f t="shared" si="15"/>
        <v/>
      </c>
      <c r="P103" s="60" t="str">
        <f>IFERROR(__xludf.DUMMYFUNCTION("IF($N103=1,IFERROR(IMPORTXML($I103, ""//p[@class='status-date']""), ""Not Loading""),"""")"),"")</f>
        <v/>
      </c>
      <c r="Q103" s="65"/>
      <c r="R103" s="65"/>
      <c r="S103" s="65"/>
      <c r="T103" s="65"/>
      <c r="U103" s="61" t="str">
        <f t="shared" si="8"/>
        <v>Neloras</v>
      </c>
      <c r="V10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03" s="21"/>
      <c r="X103" s="21"/>
      <c r="Y103" s="21"/>
      <c r="Z103" s="21"/>
    </row>
    <row r="104" ht="15.0" customHeight="1">
      <c r="A104" s="51">
        <f t="shared" si="9"/>
        <v>97</v>
      </c>
      <c r="B104" s="52" t="str">
        <f t="shared" si="2"/>
        <v>Japanse 🍁 Maple 🌿 #97 | R13 - C5</v>
      </c>
      <c r="C104" s="53">
        <v>13.0</v>
      </c>
      <c r="D104" s="53">
        <v>5.0</v>
      </c>
      <c r="E104" s="54" t="s">
        <v>330</v>
      </c>
      <c r="F104" s="54" t="s">
        <v>331</v>
      </c>
      <c r="G104" s="55" t="s">
        <v>46</v>
      </c>
      <c r="H104" s="56" t="str">
        <f t="shared" si="3"/>
        <v>Dazzaf</v>
      </c>
      <c r="I104" s="57" t="s">
        <v>332</v>
      </c>
      <c r="J104" s="64"/>
      <c r="K104" s="59" t="b">
        <v>1</v>
      </c>
      <c r="L104" s="53">
        <f t="shared" si="12"/>
        <v>0</v>
      </c>
      <c r="M104" s="53">
        <f t="shared" si="13"/>
        <v>0</v>
      </c>
      <c r="N104" s="53">
        <f t="shared" si="14"/>
        <v>0</v>
      </c>
      <c r="O104" s="52" t="str">
        <f t="shared" si="15"/>
        <v/>
      </c>
      <c r="P104" s="60" t="str">
        <f>IFERROR(__xludf.DUMMYFUNCTION("IF($N104=1,IFERROR(IMPORTXML($I104, ""//p[@class='status-date']""), ""Not Loading""),"""")"),"")</f>
        <v/>
      </c>
      <c r="Q104" s="61"/>
      <c r="R104" s="61"/>
      <c r="S104" s="61"/>
      <c r="T104" s="61"/>
      <c r="U104" s="61" t="str">
        <f t="shared" si="8"/>
        <v>Dazzaf</v>
      </c>
      <c r="V104" s="62">
        <f>IFERROR(__xludf.DUMMYFUNCTION("iferror(VALUE(left(index(IMPORTXML(I106, ""//div[@class='col-lg-2 user-stat stat-green']""),2,1),len(index(IMPORTXML(I106, ""//div[@class='col-lg-2 user-stat stat-green']""),2,1))-8)),0)"),2.0)</f>
        <v>2</v>
      </c>
      <c r="W104" s="21"/>
      <c r="X104" s="21"/>
      <c r="Y104" s="21"/>
      <c r="Z104" s="21"/>
    </row>
    <row r="105" ht="15.0" customHeight="1">
      <c r="A105" s="51">
        <f t="shared" si="9"/>
        <v>98</v>
      </c>
      <c r="B105" s="52" t="str">
        <f t="shared" si="2"/>
        <v>Japanse 🍁 Maple 🌿 #98 | R13 - C6</v>
      </c>
      <c r="C105" s="53">
        <v>13.0</v>
      </c>
      <c r="D105" s="53">
        <v>6.0</v>
      </c>
      <c r="E105" s="54" t="s">
        <v>333</v>
      </c>
      <c r="F105" s="54" t="s">
        <v>334</v>
      </c>
      <c r="G105" s="55" t="s">
        <v>39</v>
      </c>
      <c r="H105" s="56" t="str">
        <f t="shared" si="3"/>
        <v>gd</v>
      </c>
      <c r="I105" s="63" t="s">
        <v>335</v>
      </c>
      <c r="J105" s="64"/>
      <c r="K105" s="59" t="b">
        <v>1</v>
      </c>
      <c r="L105" s="53">
        <f t="shared" si="12"/>
        <v>0</v>
      </c>
      <c r="M105" s="53">
        <f t="shared" si="13"/>
        <v>0</v>
      </c>
      <c r="N105" s="53">
        <f t="shared" si="14"/>
        <v>0</v>
      </c>
      <c r="O105" s="52" t="str">
        <f t="shared" si="15"/>
        <v/>
      </c>
      <c r="P105" s="60" t="str">
        <f>IFERROR(__xludf.DUMMYFUNCTION("IF($N105=1,IFERROR(IMPORTXML($I105, ""//p[@class='status-date']""), ""Not Loading""),"""")"),"")</f>
        <v/>
      </c>
      <c r="Q105" s="65"/>
      <c r="R105" s="65"/>
      <c r="S105" s="65"/>
      <c r="T105" s="65"/>
      <c r="U105" s="61" t="str">
        <f t="shared" si="8"/>
        <v>gd</v>
      </c>
      <c r="V105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05" s="21"/>
      <c r="X105" s="21"/>
      <c r="Y105" s="21"/>
      <c r="Z105" s="21"/>
    </row>
    <row r="106" ht="15.0" customHeight="1">
      <c r="A106" s="51">
        <f t="shared" si="9"/>
        <v>99</v>
      </c>
      <c r="B106" s="52" t="str">
        <f t="shared" si="2"/>
        <v>Japanse 🍁 Maple 🌿 #99 | R13 - C7</v>
      </c>
      <c r="C106" s="53">
        <v>13.0</v>
      </c>
      <c r="D106" s="53">
        <v>7.0</v>
      </c>
      <c r="E106" s="54" t="s">
        <v>336</v>
      </c>
      <c r="F106" s="54" t="s">
        <v>337</v>
      </c>
      <c r="G106" s="55" t="s">
        <v>46</v>
      </c>
      <c r="H106" s="56" t="str">
        <f t="shared" si="3"/>
        <v>MariaBr</v>
      </c>
      <c r="I106" s="63" t="s">
        <v>338</v>
      </c>
      <c r="J106" s="64"/>
      <c r="K106" s="59" t="b">
        <v>1</v>
      </c>
      <c r="L106" s="53">
        <f t="shared" si="12"/>
        <v>0</v>
      </c>
      <c r="M106" s="53">
        <f t="shared" si="13"/>
        <v>0</v>
      </c>
      <c r="N106" s="53">
        <f t="shared" si="14"/>
        <v>0</v>
      </c>
      <c r="O106" s="52" t="str">
        <f t="shared" si="15"/>
        <v/>
      </c>
      <c r="P106" s="60" t="str">
        <f>IFERROR(__xludf.DUMMYFUNCTION("IF($N106=1,IFERROR(IMPORTXML($I106, ""//p[@class='status-date']""), ""Not Loading""),"""")"),"")</f>
        <v/>
      </c>
      <c r="Q106" s="61"/>
      <c r="R106" s="61"/>
      <c r="S106" s="61"/>
      <c r="T106" s="61"/>
      <c r="U106" s="61" t="str">
        <f t="shared" si="8"/>
        <v>MariaBr</v>
      </c>
      <c r="V106" s="62">
        <f>IFERROR(__xludf.DUMMYFUNCTION("iferror(VALUE(left(index(IMPORTXML(I108, ""//div[@class='col-lg-2 user-stat stat-green']""),2,1),len(index(IMPORTXML(I108, ""//div[@class='col-lg-2 user-stat stat-green']""),2,1))-8)),0)"),8.0)</f>
        <v>8</v>
      </c>
      <c r="W106" s="21"/>
      <c r="X106" s="21"/>
      <c r="Y106" s="21"/>
      <c r="Z106" s="21"/>
    </row>
    <row r="107" ht="15.0" customHeight="1">
      <c r="A107" s="51">
        <f t="shared" si="9"/>
        <v>100</v>
      </c>
      <c r="B107" s="52" t="str">
        <f t="shared" si="2"/>
        <v>Japanse 🍁 Maple 🌿 #100 | R13 - C8</v>
      </c>
      <c r="C107" s="53">
        <v>13.0</v>
      </c>
      <c r="D107" s="53">
        <v>8.0</v>
      </c>
      <c r="E107" s="54" t="s">
        <v>339</v>
      </c>
      <c r="F107" s="54" t="s">
        <v>340</v>
      </c>
      <c r="G107" s="55" t="s">
        <v>310</v>
      </c>
      <c r="H107" s="56" t="str">
        <f t="shared" si="3"/>
        <v>and2470</v>
      </c>
      <c r="I107" s="57" t="s">
        <v>341</v>
      </c>
      <c r="J107" s="64"/>
      <c r="K107" s="59" t="b">
        <v>1</v>
      </c>
      <c r="L107" s="53">
        <f t="shared" si="12"/>
        <v>0</v>
      </c>
      <c r="M107" s="53">
        <f t="shared" si="13"/>
        <v>0</v>
      </c>
      <c r="N107" s="53">
        <f t="shared" si="14"/>
        <v>0</v>
      </c>
      <c r="O107" s="52" t="str">
        <f t="shared" si="15"/>
        <v/>
      </c>
      <c r="P107" s="60" t="str">
        <f>IFERROR(__xludf.DUMMYFUNCTION("IF($N107=1,IFERROR(IMPORTXML($I107, ""//p[@class='status-date']""), ""Not Loading""),"""")"),"")</f>
        <v/>
      </c>
      <c r="Q107" s="65"/>
      <c r="R107" s="65"/>
      <c r="S107" s="65"/>
      <c r="T107" s="65"/>
      <c r="U107" s="61" t="str">
        <f t="shared" si="8"/>
        <v>and2470</v>
      </c>
      <c r="V10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07" s="21"/>
      <c r="X107" s="21"/>
      <c r="Y107" s="21"/>
      <c r="Z107" s="21"/>
    </row>
    <row r="108" ht="15.0" customHeight="1">
      <c r="A108" s="51">
        <f t="shared" si="9"/>
        <v>101</v>
      </c>
      <c r="B108" s="52" t="str">
        <f t="shared" si="2"/>
        <v>Japanse 🍁 Maple 🌿 #101 | R13 - C9</v>
      </c>
      <c r="C108" s="53">
        <v>13.0</v>
      </c>
      <c r="D108" s="53">
        <v>9.0</v>
      </c>
      <c r="E108" s="54" t="s">
        <v>342</v>
      </c>
      <c r="F108" s="54" t="s">
        <v>343</v>
      </c>
      <c r="G108" s="55" t="s">
        <v>344</v>
      </c>
      <c r="H108" s="56" t="str">
        <f t="shared" si="3"/>
        <v>Kumahelion</v>
      </c>
      <c r="I108" s="63" t="s">
        <v>345</v>
      </c>
      <c r="J108" s="64"/>
      <c r="K108" s="59" t="b">
        <v>1</v>
      </c>
      <c r="L108" s="53">
        <f t="shared" si="12"/>
        <v>0</v>
      </c>
      <c r="M108" s="53">
        <f t="shared" si="13"/>
        <v>0</v>
      </c>
      <c r="N108" s="53">
        <f t="shared" si="14"/>
        <v>0</v>
      </c>
      <c r="O108" s="52" t="str">
        <f t="shared" si="15"/>
        <v/>
      </c>
      <c r="P108" s="60" t="str">
        <f>IFERROR(__xludf.DUMMYFUNCTION("IF($N108=1,IFERROR(IMPORTXML($I108, ""//p[@class='status-date']""), ""Not Loading""),"""")"),"")</f>
        <v/>
      </c>
      <c r="Q108" s="61"/>
      <c r="R108" s="61"/>
      <c r="S108" s="61"/>
      <c r="T108" s="61"/>
      <c r="U108" s="61" t="str">
        <f t="shared" si="8"/>
        <v>Kumahelion</v>
      </c>
      <c r="V108" s="62">
        <f>IFERROR(__xludf.DUMMYFUNCTION("iferror(VALUE(left(index(IMPORTXML(I110, ""//div[@class='col-lg-2 user-stat stat-green']""),2,1),len(index(IMPORTXML(I110, ""//div[@class='col-lg-2 user-stat stat-green']""),2,1))-8)),0)"),2.0)</f>
        <v>2</v>
      </c>
      <c r="W108" s="21"/>
      <c r="X108" s="21"/>
      <c r="Y108" s="21"/>
      <c r="Z108" s="21"/>
    </row>
    <row r="109" ht="15.0" customHeight="1">
      <c r="A109" s="51">
        <f t="shared" si="9"/>
        <v>102</v>
      </c>
      <c r="B109" s="52" t="str">
        <f t="shared" si="2"/>
        <v>Japanse 🍁 Maple 🌿 #102 | R13 - C10</v>
      </c>
      <c r="C109" s="53">
        <v>13.0</v>
      </c>
      <c r="D109" s="53">
        <v>10.0</v>
      </c>
      <c r="E109" s="54" t="s">
        <v>346</v>
      </c>
      <c r="F109" s="54" t="s">
        <v>347</v>
      </c>
      <c r="G109" s="55" t="s">
        <v>310</v>
      </c>
      <c r="H109" s="56" t="str">
        <f t="shared" si="3"/>
        <v>MacickaLizza</v>
      </c>
      <c r="I109" s="63" t="s">
        <v>348</v>
      </c>
      <c r="J109" s="64"/>
      <c r="K109" s="59" t="b">
        <v>1</v>
      </c>
      <c r="L109" s="53">
        <f t="shared" si="12"/>
        <v>0</v>
      </c>
      <c r="M109" s="53">
        <f t="shared" si="13"/>
        <v>0</v>
      </c>
      <c r="N109" s="53">
        <f t="shared" si="14"/>
        <v>0</v>
      </c>
      <c r="O109" s="52" t="str">
        <f t="shared" si="15"/>
        <v/>
      </c>
      <c r="P109" s="60" t="str">
        <f>IFERROR(__xludf.DUMMYFUNCTION("IF($N109=1,IFERROR(IMPORTXML($I109, ""//p[@class='status-date']""), ""Not Loading""),"""")"),"")</f>
        <v/>
      </c>
      <c r="Q109" s="65"/>
      <c r="R109" s="65"/>
      <c r="S109" s="65"/>
      <c r="T109" s="65"/>
      <c r="U109" s="61" t="str">
        <f t="shared" si="8"/>
        <v>MacickaLizza</v>
      </c>
      <c r="V10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09" s="21"/>
      <c r="X109" s="21"/>
      <c r="Y109" s="21"/>
      <c r="Z109" s="21"/>
    </row>
    <row r="110" ht="15.0" customHeight="1">
      <c r="A110" s="51">
        <f t="shared" si="9"/>
        <v>103</v>
      </c>
      <c r="B110" s="52" t="str">
        <f t="shared" si="2"/>
        <v>Japanse 🍁 Maple 🌿 #103 | R13 - C11</v>
      </c>
      <c r="C110" s="53">
        <v>13.0</v>
      </c>
      <c r="D110" s="53">
        <v>11.0</v>
      </c>
      <c r="E110" s="54" t="s">
        <v>349</v>
      </c>
      <c r="F110" s="54" t="s">
        <v>350</v>
      </c>
      <c r="G110" s="55" t="s">
        <v>46</v>
      </c>
      <c r="H110" s="56" t="str">
        <f t="shared" si="3"/>
        <v>Rikitan</v>
      </c>
      <c r="I110" s="57" t="s">
        <v>351</v>
      </c>
      <c r="J110" s="64"/>
      <c r="K110" s="59" t="b">
        <v>1</v>
      </c>
      <c r="L110" s="53">
        <f t="shared" si="12"/>
        <v>0</v>
      </c>
      <c r="M110" s="53">
        <f t="shared" si="13"/>
        <v>0</v>
      </c>
      <c r="N110" s="53">
        <f t="shared" si="14"/>
        <v>0</v>
      </c>
      <c r="O110" s="52" t="str">
        <f t="shared" si="15"/>
        <v/>
      </c>
      <c r="P110" s="60" t="str">
        <f>IFERROR(__xludf.DUMMYFUNCTION("IF($N110=1,IFERROR(IMPORTXML($I110, ""//p[@class='status-date']""), ""Not Loading""),"""")"),"")</f>
        <v/>
      </c>
      <c r="Q110" s="61"/>
      <c r="R110" s="61"/>
      <c r="S110" s="61"/>
      <c r="T110" s="61"/>
      <c r="U110" s="61" t="str">
        <f t="shared" si="8"/>
        <v>Rikitan</v>
      </c>
      <c r="V110" s="62">
        <f>IFERROR(__xludf.DUMMYFUNCTION("iferror(VALUE(left(index(IMPORTXML(I112, ""//div[@class='col-lg-2 user-stat stat-green']""),2,1),len(index(IMPORTXML(I112, ""//div[@class='col-lg-2 user-stat stat-green']""),2,1))-8)),0)"),2.0)</f>
        <v>2</v>
      </c>
      <c r="W110" s="21"/>
      <c r="X110" s="21"/>
      <c r="Y110" s="21"/>
      <c r="Z110" s="21"/>
    </row>
    <row r="111" ht="15.0" customHeight="1">
      <c r="A111" s="51">
        <f t="shared" si="9"/>
        <v>104</v>
      </c>
      <c r="B111" s="52" t="str">
        <f t="shared" si="2"/>
        <v>Japanse 🍁 Maple 🌿 #104 | R13 - C12</v>
      </c>
      <c r="C111" s="53">
        <v>13.0</v>
      </c>
      <c r="D111" s="53">
        <v>12.0</v>
      </c>
      <c r="E111" s="54" t="s">
        <v>352</v>
      </c>
      <c r="F111" s="54" t="s">
        <v>353</v>
      </c>
      <c r="G111" s="55" t="s">
        <v>39</v>
      </c>
      <c r="H111" s="56" t="str">
        <f t="shared" si="3"/>
        <v>Ujio</v>
      </c>
      <c r="I111" s="63" t="s">
        <v>354</v>
      </c>
      <c r="J111" s="64"/>
      <c r="K111" s="59" t="b">
        <v>1</v>
      </c>
      <c r="L111" s="53">
        <f t="shared" si="12"/>
        <v>0</v>
      </c>
      <c r="M111" s="53">
        <f t="shared" si="13"/>
        <v>0</v>
      </c>
      <c r="N111" s="53">
        <f t="shared" si="14"/>
        <v>0</v>
      </c>
      <c r="O111" s="52" t="str">
        <f t="shared" si="15"/>
        <v/>
      </c>
      <c r="P111" s="60" t="str">
        <f>IFERROR(__xludf.DUMMYFUNCTION("IF($N111=1,IFERROR(IMPORTXML($I111, ""//p[@class='status-date']""), ""Not Loading""),"""")"),"")</f>
        <v/>
      </c>
      <c r="Q111" s="65"/>
      <c r="R111" s="65"/>
      <c r="S111" s="65"/>
      <c r="T111" s="65"/>
      <c r="U111" s="61" t="str">
        <f t="shared" si="8"/>
        <v>Ujio</v>
      </c>
      <c r="V11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11" s="21"/>
      <c r="X111" s="21"/>
      <c r="Y111" s="21"/>
      <c r="Z111" s="21"/>
    </row>
    <row r="112" ht="15.0" customHeight="1">
      <c r="A112" s="51">
        <f t="shared" si="9"/>
        <v>105</v>
      </c>
      <c r="B112" s="52" t="str">
        <f t="shared" si="2"/>
        <v>Japanse 🍁 Maple 🌿 #105 | R13 - C13</v>
      </c>
      <c r="C112" s="53">
        <v>13.0</v>
      </c>
      <c r="D112" s="53">
        <v>13.0</v>
      </c>
      <c r="E112" s="54" t="s">
        <v>355</v>
      </c>
      <c r="F112" s="54" t="s">
        <v>356</v>
      </c>
      <c r="G112" s="55" t="s">
        <v>46</v>
      </c>
      <c r="H112" s="56" t="str">
        <f t="shared" si="3"/>
        <v>Charonovci</v>
      </c>
      <c r="I112" s="63" t="s">
        <v>357</v>
      </c>
      <c r="J112" s="64"/>
      <c r="K112" s="59" t="b">
        <v>1</v>
      </c>
      <c r="L112" s="53">
        <f t="shared" si="12"/>
        <v>0</v>
      </c>
      <c r="M112" s="53">
        <f t="shared" si="13"/>
        <v>0</v>
      </c>
      <c r="N112" s="53">
        <f t="shared" si="14"/>
        <v>0</v>
      </c>
      <c r="O112" s="52" t="str">
        <f t="shared" si="15"/>
        <v/>
      </c>
      <c r="P112" s="60" t="str">
        <f>IFERROR(__xludf.DUMMYFUNCTION("IF($N112=1,IFERROR(IMPORTXML($I112, ""//p[@class='status-date']""), ""Not Loading""),"""")"),"")</f>
        <v/>
      </c>
      <c r="Q112" s="61"/>
      <c r="R112" s="61"/>
      <c r="S112" s="61"/>
      <c r="T112" s="61"/>
      <c r="U112" s="61" t="str">
        <f t="shared" si="8"/>
        <v>Charonovci</v>
      </c>
      <c r="V112" s="62">
        <f>IFERROR(__xludf.DUMMYFUNCTION("iferror(VALUE(left(index(IMPORTXML(I114, ""//div[@class='col-lg-2 user-stat stat-green']""),2,1),len(index(IMPORTXML(I114, ""//div[@class='col-lg-2 user-stat stat-green']""),2,1))-8)),0)"),2.0)</f>
        <v>2</v>
      </c>
      <c r="W112" s="21"/>
      <c r="X112" s="21"/>
      <c r="Y112" s="21"/>
      <c r="Z112" s="21"/>
    </row>
    <row r="113" ht="15.0" customHeight="1">
      <c r="A113" s="51">
        <f t="shared" si="9"/>
        <v>106</v>
      </c>
      <c r="B113" s="52" t="str">
        <f t="shared" si="2"/>
        <v>Japanse 🍁 Maple 🌿 #106 | R14 - C4</v>
      </c>
      <c r="C113" s="53">
        <v>14.0</v>
      </c>
      <c r="D113" s="53">
        <v>4.0</v>
      </c>
      <c r="E113" s="54" t="s">
        <v>358</v>
      </c>
      <c r="F113" s="54" t="s">
        <v>359</v>
      </c>
      <c r="G113" s="55" t="s">
        <v>39</v>
      </c>
      <c r="H113" s="56" t="str">
        <f t="shared" si="3"/>
        <v>Nicolet</v>
      </c>
      <c r="I113" s="57" t="s">
        <v>360</v>
      </c>
      <c r="J113" s="58"/>
      <c r="K113" s="59" t="b">
        <v>1</v>
      </c>
      <c r="L113" s="53">
        <f t="shared" si="12"/>
        <v>0</v>
      </c>
      <c r="M113" s="53">
        <f t="shared" si="13"/>
        <v>0</v>
      </c>
      <c r="N113" s="53">
        <f t="shared" si="14"/>
        <v>0</v>
      </c>
      <c r="O113" s="52" t="str">
        <f t="shared" si="15"/>
        <v/>
      </c>
      <c r="P113" s="60" t="str">
        <f>IFERROR(__xludf.DUMMYFUNCTION("IF($N113=1,IFERROR(IMPORTXML($I113, ""//p[@class='status-date']""), ""Not Loading""),"""")"),"")</f>
        <v/>
      </c>
      <c r="Q113" s="65"/>
      <c r="R113" s="65"/>
      <c r="S113" s="65"/>
      <c r="T113" s="65"/>
      <c r="U113" s="61" t="str">
        <f t="shared" si="8"/>
        <v>Nicolet</v>
      </c>
      <c r="V11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13" s="21"/>
      <c r="X113" s="21"/>
      <c r="Y113" s="21"/>
      <c r="Z113" s="21"/>
    </row>
    <row r="114" ht="15.0" customHeight="1">
      <c r="A114" s="51">
        <f t="shared" si="9"/>
        <v>107</v>
      </c>
      <c r="B114" s="52" t="str">
        <f t="shared" si="2"/>
        <v>Japanse 🍁 Maple 🌿 #107 | R14 - C5</v>
      </c>
      <c r="C114" s="53">
        <v>14.0</v>
      </c>
      <c r="D114" s="53">
        <v>5.0</v>
      </c>
      <c r="E114" s="54" t="s">
        <v>361</v>
      </c>
      <c r="F114" s="54" t="s">
        <v>362</v>
      </c>
      <c r="G114" s="55" t="s">
        <v>46</v>
      </c>
      <c r="H114" s="56" t="str">
        <f t="shared" si="3"/>
        <v>Kapor24</v>
      </c>
      <c r="I114" s="63" t="s">
        <v>363</v>
      </c>
      <c r="J114" s="64"/>
      <c r="K114" s="59" t="b">
        <v>1</v>
      </c>
      <c r="L114" s="53">
        <f t="shared" si="12"/>
        <v>0</v>
      </c>
      <c r="M114" s="53">
        <f t="shared" si="13"/>
        <v>0</v>
      </c>
      <c r="N114" s="53">
        <f t="shared" si="14"/>
        <v>0</v>
      </c>
      <c r="O114" s="52" t="str">
        <f t="shared" si="15"/>
        <v/>
      </c>
      <c r="P114" s="60" t="str">
        <f>IFERROR(__xludf.DUMMYFUNCTION("IF($N114=1,IFERROR(IMPORTXML($I114, ""//p[@class='status-date']""), ""Not Loading""),"""")"),"")</f>
        <v/>
      </c>
      <c r="Q114" s="61"/>
      <c r="R114" s="61"/>
      <c r="S114" s="61"/>
      <c r="T114" s="61"/>
      <c r="U114" s="61" t="str">
        <f t="shared" si="8"/>
        <v>Kapor24</v>
      </c>
      <c r="V114" s="62">
        <f>IFERROR(__xludf.DUMMYFUNCTION("iferror(VALUE(left(index(IMPORTXML(I116, ""//div[@class='col-lg-2 user-stat stat-green']""),2,1),len(index(IMPORTXML(I116, ""//div[@class='col-lg-2 user-stat stat-green']""),2,1))-8)),0)"),2.0)</f>
        <v>2</v>
      </c>
      <c r="W114" s="21"/>
      <c r="X114" s="21"/>
      <c r="Y114" s="21"/>
      <c r="Z114" s="21"/>
    </row>
    <row r="115" ht="15.0" customHeight="1">
      <c r="A115" s="51">
        <f t="shared" si="9"/>
        <v>108</v>
      </c>
      <c r="B115" s="52" t="str">
        <f t="shared" si="2"/>
        <v>Japanse 🍁 Maple 🌿 #108 | R14 - C6</v>
      </c>
      <c r="C115" s="53">
        <v>14.0</v>
      </c>
      <c r="D115" s="53">
        <v>6.0</v>
      </c>
      <c r="E115" s="54" t="s">
        <v>364</v>
      </c>
      <c r="F115" s="54" t="s">
        <v>365</v>
      </c>
      <c r="G115" s="55" t="s">
        <v>60</v>
      </c>
      <c r="H115" s="56" t="str">
        <f t="shared" si="3"/>
        <v>mathew611</v>
      </c>
      <c r="I115" s="63" t="s">
        <v>366</v>
      </c>
      <c r="J115" s="64"/>
      <c r="K115" s="59" t="b">
        <v>1</v>
      </c>
      <c r="L115" s="53">
        <f t="shared" si="12"/>
        <v>0</v>
      </c>
      <c r="M115" s="53">
        <f t="shared" si="13"/>
        <v>0</v>
      </c>
      <c r="N115" s="53">
        <f t="shared" si="14"/>
        <v>0</v>
      </c>
      <c r="O115" s="52" t="str">
        <f t="shared" si="15"/>
        <v/>
      </c>
      <c r="P115" s="60" t="str">
        <f>IFERROR(__xludf.DUMMYFUNCTION("IF($N115=1,IFERROR(IMPORTXML($I115, ""//p[@class='status-date']""), ""Not Loading""),"""")"),"")</f>
        <v/>
      </c>
      <c r="Q115" s="65"/>
      <c r="R115" s="65"/>
      <c r="S115" s="65"/>
      <c r="T115" s="65"/>
      <c r="U115" s="61" t="str">
        <f t="shared" si="8"/>
        <v>mathew611</v>
      </c>
      <c r="V115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15" s="21"/>
      <c r="X115" s="21"/>
      <c r="Y115" s="21"/>
      <c r="Z115" s="21"/>
    </row>
    <row r="116" ht="15.0" customHeight="1">
      <c r="A116" s="51">
        <f t="shared" si="9"/>
        <v>109</v>
      </c>
      <c r="B116" s="52" t="str">
        <f t="shared" si="2"/>
        <v>Japanse 🍁 Maple 🌿 #109 | R14 - C7</v>
      </c>
      <c r="C116" s="53">
        <v>14.0</v>
      </c>
      <c r="D116" s="53">
        <v>7.0</v>
      </c>
      <c r="E116" s="54" t="s">
        <v>367</v>
      </c>
      <c r="F116" s="54" t="s">
        <v>368</v>
      </c>
      <c r="G116" s="55" t="s">
        <v>111</v>
      </c>
      <c r="H116" s="56" t="str">
        <f t="shared" si="3"/>
        <v>Nicolet</v>
      </c>
      <c r="I116" s="63" t="s">
        <v>369</v>
      </c>
      <c r="J116" s="64"/>
      <c r="K116" s="59" t="b">
        <v>1</v>
      </c>
      <c r="L116" s="53">
        <f t="shared" si="12"/>
        <v>0</v>
      </c>
      <c r="M116" s="53">
        <f t="shared" si="13"/>
        <v>0</v>
      </c>
      <c r="N116" s="53">
        <f t="shared" si="14"/>
        <v>0</v>
      </c>
      <c r="O116" s="52" t="str">
        <f t="shared" si="15"/>
        <v/>
      </c>
      <c r="P116" s="60" t="str">
        <f>IFERROR(__xludf.DUMMYFUNCTION("IF($N116=1,IFERROR(IMPORTXML($I116, ""//p[@class='status-date']""), ""Not Loading""),"""")"),"")</f>
        <v/>
      </c>
      <c r="Q116" s="61"/>
      <c r="R116" s="61"/>
      <c r="S116" s="61"/>
      <c r="T116" s="61"/>
      <c r="U116" s="61" t="str">
        <f t="shared" si="8"/>
        <v>Nicolet</v>
      </c>
      <c r="V116" s="62">
        <f>IFERROR(__xludf.DUMMYFUNCTION("iferror(VALUE(left(index(IMPORTXML(I118, ""//div[@class='col-lg-2 user-stat stat-green']""),2,1),len(index(IMPORTXML(I118, ""//div[@class='col-lg-2 user-stat stat-green']""),2,1))-8)),0)"),3.0)</f>
        <v>3</v>
      </c>
      <c r="W116" s="21"/>
      <c r="X116" s="21"/>
      <c r="Y116" s="21"/>
      <c r="Z116" s="21"/>
    </row>
    <row r="117" ht="15.0" customHeight="1">
      <c r="A117" s="51">
        <f t="shared" si="9"/>
        <v>110</v>
      </c>
      <c r="B117" s="52" t="str">
        <f t="shared" si="2"/>
        <v>Japanse 🍁 Maple 🌿 #110 | R14 - C8</v>
      </c>
      <c r="C117" s="53">
        <v>14.0</v>
      </c>
      <c r="D117" s="53">
        <v>8.0</v>
      </c>
      <c r="E117" s="54" t="s">
        <v>370</v>
      </c>
      <c r="F117" s="54" t="s">
        <v>371</v>
      </c>
      <c r="G117" s="55" t="s">
        <v>310</v>
      </c>
      <c r="H117" s="56" t="str">
        <f t="shared" si="3"/>
        <v>Kapor24</v>
      </c>
      <c r="I117" s="63" t="s">
        <v>372</v>
      </c>
      <c r="J117" s="64"/>
      <c r="K117" s="59" t="b">
        <v>1</v>
      </c>
      <c r="L117" s="53">
        <f t="shared" si="12"/>
        <v>0</v>
      </c>
      <c r="M117" s="53">
        <f t="shared" si="13"/>
        <v>0</v>
      </c>
      <c r="N117" s="53">
        <f t="shared" si="14"/>
        <v>0</v>
      </c>
      <c r="O117" s="52" t="str">
        <f t="shared" si="15"/>
        <v/>
      </c>
      <c r="P117" s="60" t="str">
        <f>IFERROR(__xludf.DUMMYFUNCTION("IF($N117=1,IFERROR(IMPORTXML($I117, ""//p[@class='status-date']""), ""Not Loading""),"""")"),"")</f>
        <v/>
      </c>
      <c r="Q117" s="65"/>
      <c r="R117" s="65"/>
      <c r="S117" s="65"/>
      <c r="T117" s="65"/>
      <c r="U117" s="61" t="str">
        <f t="shared" si="8"/>
        <v>Kapor24</v>
      </c>
      <c r="V11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17" s="21"/>
      <c r="X117" s="21"/>
      <c r="Y117" s="21"/>
      <c r="Z117" s="21"/>
    </row>
    <row r="118" ht="15.0" customHeight="1">
      <c r="A118" s="51">
        <f t="shared" si="9"/>
        <v>111</v>
      </c>
      <c r="B118" s="52" t="str">
        <f t="shared" si="2"/>
        <v>Japanse 🍁 Maple 🌿 #111 | R14 - C9</v>
      </c>
      <c r="C118" s="53">
        <v>14.0</v>
      </c>
      <c r="D118" s="53">
        <v>9.0</v>
      </c>
      <c r="E118" s="54" t="s">
        <v>373</v>
      </c>
      <c r="F118" s="54" t="s">
        <v>374</v>
      </c>
      <c r="G118" s="55" t="s">
        <v>310</v>
      </c>
      <c r="H118" s="56" t="str">
        <f t="shared" si="3"/>
        <v>mathew611</v>
      </c>
      <c r="I118" s="63" t="s">
        <v>375</v>
      </c>
      <c r="J118" s="64"/>
      <c r="K118" s="59" t="b">
        <v>1</v>
      </c>
      <c r="L118" s="53">
        <f t="shared" si="12"/>
        <v>0</v>
      </c>
      <c r="M118" s="53">
        <f t="shared" si="13"/>
        <v>0</v>
      </c>
      <c r="N118" s="53">
        <f t="shared" si="14"/>
        <v>0</v>
      </c>
      <c r="O118" s="66" t="str">
        <f t="shared" si="15"/>
        <v/>
      </c>
      <c r="P118" s="60" t="str">
        <f>IFERROR(__xludf.DUMMYFUNCTION("IF($N118=1,IFERROR(IMPORTXML($I118, ""//p[@class='status-date']""), ""Not Loading""),"""")"),"")</f>
        <v/>
      </c>
      <c r="Q118" s="61"/>
      <c r="R118" s="61"/>
      <c r="S118" s="61"/>
      <c r="T118" s="61"/>
      <c r="U118" s="61" t="str">
        <f t="shared" si="8"/>
        <v>mathew611</v>
      </c>
      <c r="V118" s="62">
        <f>IFERROR(__xludf.DUMMYFUNCTION("iferror(VALUE(left(index(IMPORTXML(I120, ""//div[@class='col-lg-2 user-stat stat-green']""),2,1),len(index(IMPORTXML(I120, ""//div[@class='col-lg-2 user-stat stat-green']""),2,1))-8)),0)"),7.0)</f>
        <v>7</v>
      </c>
      <c r="W118" s="21"/>
      <c r="X118" s="21"/>
      <c r="Y118" s="21"/>
      <c r="Z118" s="21"/>
    </row>
    <row r="119" ht="15.0" customHeight="1">
      <c r="A119" s="51">
        <f t="shared" si="9"/>
        <v>112</v>
      </c>
      <c r="B119" s="52" t="str">
        <f t="shared" si="2"/>
        <v>Japanse 🍁 Maple 🌿 #112 | R14 - C10</v>
      </c>
      <c r="C119" s="53">
        <v>14.0</v>
      </c>
      <c r="D119" s="53">
        <v>10.0</v>
      </c>
      <c r="E119" s="54" t="s">
        <v>376</v>
      </c>
      <c r="F119" s="54" t="s">
        <v>377</v>
      </c>
      <c r="G119" s="55" t="s">
        <v>111</v>
      </c>
      <c r="H119" s="56" t="str">
        <f t="shared" si="3"/>
        <v>Nicolet</v>
      </c>
      <c r="I119" s="63" t="s">
        <v>378</v>
      </c>
      <c r="J119" s="64"/>
      <c r="K119" s="59" t="b">
        <v>1</v>
      </c>
      <c r="L119" s="53">
        <f t="shared" si="12"/>
        <v>0</v>
      </c>
      <c r="M119" s="53">
        <f t="shared" si="13"/>
        <v>0</v>
      </c>
      <c r="N119" s="53">
        <f t="shared" si="14"/>
        <v>0</v>
      </c>
      <c r="O119" s="52" t="str">
        <f t="shared" si="15"/>
        <v/>
      </c>
      <c r="P119" s="60" t="str">
        <f>IFERROR(__xludf.DUMMYFUNCTION("IF($N119=1,IFERROR(IMPORTXML($I119, ""//p[@class='status-date']""), ""Not Loading""),"""")"),"")</f>
        <v/>
      </c>
      <c r="Q119" s="65"/>
      <c r="R119" s="65"/>
      <c r="S119" s="65"/>
      <c r="T119" s="65"/>
      <c r="U119" s="61" t="str">
        <f t="shared" si="8"/>
        <v>Nicolet</v>
      </c>
      <c r="V11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19" s="21"/>
      <c r="X119" s="21"/>
      <c r="Y119" s="21"/>
      <c r="Z119" s="21"/>
    </row>
    <row r="120" ht="15.0" customHeight="1">
      <c r="A120" s="51">
        <f t="shared" si="9"/>
        <v>113</v>
      </c>
      <c r="B120" s="52" t="str">
        <f t="shared" si="2"/>
        <v>Japanse 🍁 Maple 🌿 #113 | R14 - C11</v>
      </c>
      <c r="C120" s="53">
        <v>14.0</v>
      </c>
      <c r="D120" s="53">
        <v>11.0</v>
      </c>
      <c r="E120" s="54" t="s">
        <v>379</v>
      </c>
      <c r="F120" s="54" t="s">
        <v>380</v>
      </c>
      <c r="G120" s="55" t="s">
        <v>64</v>
      </c>
      <c r="H120" s="56" t="str">
        <f t="shared" si="3"/>
        <v>Kapor24</v>
      </c>
      <c r="I120" s="63" t="s">
        <v>381</v>
      </c>
      <c r="J120" s="64"/>
      <c r="K120" s="59" t="b">
        <v>1</v>
      </c>
      <c r="L120" s="53">
        <f t="shared" si="12"/>
        <v>0</v>
      </c>
      <c r="M120" s="53">
        <f t="shared" si="13"/>
        <v>0</v>
      </c>
      <c r="N120" s="53">
        <f t="shared" si="14"/>
        <v>0</v>
      </c>
      <c r="O120" s="52" t="str">
        <f t="shared" si="15"/>
        <v/>
      </c>
      <c r="P120" s="60" t="str">
        <f>IFERROR(__xludf.DUMMYFUNCTION("IF($N120=1,IFERROR(IMPORTXML($I120, ""//p[@class='status-date']""), ""Not Loading""),"""")"),"")</f>
        <v/>
      </c>
      <c r="Q120" s="61"/>
      <c r="R120" s="61"/>
      <c r="S120" s="61"/>
      <c r="T120" s="61"/>
      <c r="U120" s="61" t="str">
        <f t="shared" si="8"/>
        <v>Kapor24</v>
      </c>
      <c r="V120" s="62">
        <f>IFERROR(__xludf.DUMMYFUNCTION("iferror(VALUE(left(index(IMPORTXML(I122, ""//div[@class='col-lg-2 user-stat stat-green']""),2,1),len(index(IMPORTXML(I122, ""//div[@class='col-lg-2 user-stat stat-green']""),2,1))-8)),0)"),1.0)</f>
        <v>1</v>
      </c>
      <c r="W120" s="21"/>
      <c r="X120" s="21"/>
      <c r="Y120" s="21"/>
      <c r="Z120" s="21"/>
    </row>
    <row r="121" ht="15.0" customHeight="1">
      <c r="A121" s="51">
        <f t="shared" si="9"/>
        <v>114</v>
      </c>
      <c r="B121" s="52" t="str">
        <f t="shared" si="2"/>
        <v>Japanse 🍁 Maple 🌿 #114 | R14 - C12</v>
      </c>
      <c r="C121" s="53">
        <v>14.0</v>
      </c>
      <c r="D121" s="53">
        <v>12.0</v>
      </c>
      <c r="E121" s="54" t="s">
        <v>382</v>
      </c>
      <c r="F121" s="54" t="s">
        <v>383</v>
      </c>
      <c r="G121" s="55" t="s">
        <v>46</v>
      </c>
      <c r="H121" s="56" t="str">
        <f t="shared" si="3"/>
        <v>mathew611</v>
      </c>
      <c r="I121" s="63" t="s">
        <v>384</v>
      </c>
      <c r="J121" s="64"/>
      <c r="K121" s="59" t="b">
        <v>1</v>
      </c>
      <c r="L121" s="53">
        <f t="shared" si="12"/>
        <v>0</v>
      </c>
      <c r="M121" s="53">
        <f t="shared" si="13"/>
        <v>0</v>
      </c>
      <c r="N121" s="53">
        <f t="shared" si="14"/>
        <v>0</v>
      </c>
      <c r="O121" s="52" t="str">
        <f t="shared" si="15"/>
        <v/>
      </c>
      <c r="P121" s="60" t="str">
        <f>IFERROR(__xludf.DUMMYFUNCTION("IF($N121=1,IFERROR(IMPORTXML($I121, ""//p[@class='status-date']""), ""Not Loading""),"""")"),"")</f>
        <v/>
      </c>
      <c r="Q121" s="65"/>
      <c r="R121" s="65"/>
      <c r="S121" s="65"/>
      <c r="T121" s="65"/>
      <c r="U121" s="61" t="str">
        <f t="shared" si="8"/>
        <v>mathew611</v>
      </c>
      <c r="V12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21" s="21"/>
      <c r="X121" s="21"/>
      <c r="Y121" s="21"/>
      <c r="Z121" s="21"/>
    </row>
    <row r="122" ht="15.0" customHeight="1">
      <c r="A122" s="51">
        <f t="shared" si="9"/>
        <v>115</v>
      </c>
      <c r="B122" s="52" t="str">
        <f t="shared" si="2"/>
        <v>Japanse 🍁 Maple 🌿 #115 | R14 - C13</v>
      </c>
      <c r="C122" s="53">
        <v>14.0</v>
      </c>
      <c r="D122" s="53">
        <v>13.0</v>
      </c>
      <c r="E122" s="54" t="s">
        <v>385</v>
      </c>
      <c r="F122" s="54" t="s">
        <v>386</v>
      </c>
      <c r="G122" s="55" t="s">
        <v>39</v>
      </c>
      <c r="H122" s="56" t="str">
        <f t="shared" si="3"/>
        <v>Nicolet</v>
      </c>
      <c r="I122" s="63" t="s">
        <v>387</v>
      </c>
      <c r="J122" s="58"/>
      <c r="K122" s="59" t="b">
        <v>1</v>
      </c>
      <c r="L122" s="53">
        <f t="shared" si="12"/>
        <v>0</v>
      </c>
      <c r="M122" s="53">
        <f t="shared" si="13"/>
        <v>0</v>
      </c>
      <c r="N122" s="53">
        <f t="shared" si="14"/>
        <v>0</v>
      </c>
      <c r="O122" s="52" t="str">
        <f t="shared" si="15"/>
        <v/>
      </c>
      <c r="P122" s="60" t="str">
        <f>IFERROR(__xludf.DUMMYFUNCTION("IF($N122=1,IFERROR(IMPORTXML($I122, ""//p[@class='status-date']""), ""Not Loading""),"""")"),"")</f>
        <v/>
      </c>
      <c r="Q122" s="61"/>
      <c r="R122" s="61"/>
      <c r="S122" s="61"/>
      <c r="T122" s="61"/>
      <c r="U122" s="61" t="str">
        <f t="shared" si="8"/>
        <v>Nicolet</v>
      </c>
      <c r="V122" s="62">
        <f>IFERROR(__xludf.DUMMYFUNCTION("iferror(VALUE(left(index(IMPORTXML(I124, ""//div[@class='col-lg-2 user-stat stat-green']""),2,1),len(index(IMPORTXML(I124, ""//div[@class='col-lg-2 user-stat stat-green']""),2,1))-8)),0)"),5.0)</f>
        <v>5</v>
      </c>
      <c r="W122" s="21"/>
      <c r="X122" s="21"/>
      <c r="Y122" s="21"/>
      <c r="Z122" s="21"/>
    </row>
    <row r="123" ht="15.0" customHeight="1">
      <c r="A123" s="51">
        <f t="shared" si="9"/>
        <v>116</v>
      </c>
      <c r="B123" s="52" t="str">
        <f t="shared" si="2"/>
        <v>Japanse 🍁 Maple 🌿 #116 | R15 - C4</v>
      </c>
      <c r="C123" s="53">
        <v>15.0</v>
      </c>
      <c r="D123" s="53">
        <v>4.0</v>
      </c>
      <c r="E123" s="54" t="s">
        <v>388</v>
      </c>
      <c r="F123" s="54" t="s">
        <v>389</v>
      </c>
      <c r="G123" s="55" t="s">
        <v>46</v>
      </c>
      <c r="H123" s="56" t="str">
        <f t="shared" si="3"/>
        <v>EeveeFox</v>
      </c>
      <c r="I123" s="63" t="s">
        <v>390</v>
      </c>
      <c r="J123" s="64"/>
      <c r="K123" s="59" t="b">
        <v>1</v>
      </c>
      <c r="L123" s="53">
        <f t="shared" si="12"/>
        <v>0</v>
      </c>
      <c r="M123" s="53">
        <f t="shared" si="13"/>
        <v>0</v>
      </c>
      <c r="N123" s="53">
        <f t="shared" si="14"/>
        <v>0</v>
      </c>
      <c r="O123" s="52" t="str">
        <f t="shared" si="15"/>
        <v/>
      </c>
      <c r="P123" s="60" t="str">
        <f>IFERROR(__xludf.DUMMYFUNCTION("IF($N123=1,IFERROR(IMPORTXML($I123, ""//p[@class='status-date']""), ""Not Loading""),"""")"),"")</f>
        <v/>
      </c>
      <c r="Q123" s="65"/>
      <c r="R123" s="65"/>
      <c r="S123" s="65"/>
      <c r="T123" s="65"/>
      <c r="U123" s="61" t="str">
        <f t="shared" si="8"/>
        <v>EeveeFox</v>
      </c>
      <c r="V12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23" s="21"/>
      <c r="X123" s="21"/>
      <c r="Y123" s="21"/>
      <c r="Z123" s="21"/>
    </row>
    <row r="124" ht="15.0" customHeight="1">
      <c r="A124" s="51">
        <f t="shared" si="9"/>
        <v>117</v>
      </c>
      <c r="B124" s="52" t="str">
        <f t="shared" si="2"/>
        <v>Japanse 🍁 Maple 🌿 #117 | R15 - C5</v>
      </c>
      <c r="C124" s="53">
        <v>15.0</v>
      </c>
      <c r="D124" s="53">
        <v>5.0</v>
      </c>
      <c r="E124" s="54" t="s">
        <v>391</v>
      </c>
      <c r="F124" s="54" t="s">
        <v>392</v>
      </c>
      <c r="G124" s="55" t="s">
        <v>60</v>
      </c>
      <c r="H124" s="56" t="str">
        <f t="shared" si="3"/>
        <v>Adushka</v>
      </c>
      <c r="I124" s="57" t="s">
        <v>393</v>
      </c>
      <c r="J124" s="64"/>
      <c r="K124" s="59" t="b">
        <v>1</v>
      </c>
      <c r="L124" s="53">
        <f t="shared" si="12"/>
        <v>0</v>
      </c>
      <c r="M124" s="53">
        <f t="shared" si="13"/>
        <v>0</v>
      </c>
      <c r="N124" s="53">
        <f t="shared" si="14"/>
        <v>0</v>
      </c>
      <c r="O124" s="66" t="str">
        <f t="shared" si="15"/>
        <v/>
      </c>
      <c r="P124" s="60" t="str">
        <f>IFERROR(__xludf.DUMMYFUNCTION("IF($N124=1,IFERROR(IMPORTXML($I124, ""//p[@class='status-date']""), ""Not Loading""),"""")"),"")</f>
        <v/>
      </c>
      <c r="Q124" s="61"/>
      <c r="R124" s="61"/>
      <c r="S124" s="61"/>
      <c r="T124" s="61"/>
      <c r="U124" s="61" t="str">
        <f t="shared" si="8"/>
        <v>Adushka</v>
      </c>
      <c r="V124" s="62">
        <f>IFERROR(__xludf.DUMMYFUNCTION("iferror(VALUE(left(index(IMPORTXML(I126, ""//div[@class='col-lg-2 user-stat stat-green']""),2,1),len(index(IMPORTXML(I126, ""//div[@class='col-lg-2 user-stat stat-green']""),2,1))-8)),0)"),8.0)</f>
        <v>8</v>
      </c>
      <c r="W124" s="21"/>
      <c r="X124" s="21"/>
      <c r="Y124" s="21"/>
      <c r="Z124" s="21"/>
    </row>
    <row r="125" ht="15.0" customHeight="1">
      <c r="A125" s="51">
        <f t="shared" si="9"/>
        <v>118</v>
      </c>
      <c r="B125" s="52" t="str">
        <f t="shared" si="2"/>
        <v>Japanse 🍁 Maple 🌿 #118 | R15 - C6</v>
      </c>
      <c r="C125" s="53">
        <v>15.0</v>
      </c>
      <c r="D125" s="53">
        <v>6.0</v>
      </c>
      <c r="E125" s="54" t="s">
        <v>394</v>
      </c>
      <c r="F125" s="54" t="s">
        <v>395</v>
      </c>
      <c r="G125" s="55" t="s">
        <v>77</v>
      </c>
      <c r="H125" s="56" t="str">
        <f t="shared" si="3"/>
        <v>Neloras</v>
      </c>
      <c r="I125" s="63" t="s">
        <v>396</v>
      </c>
      <c r="J125" s="64"/>
      <c r="K125" s="59" t="b">
        <v>1</v>
      </c>
      <c r="L125" s="53">
        <f t="shared" si="12"/>
        <v>0</v>
      </c>
      <c r="M125" s="53">
        <f t="shared" si="13"/>
        <v>0</v>
      </c>
      <c r="N125" s="53">
        <f t="shared" si="14"/>
        <v>0</v>
      </c>
      <c r="O125" s="52" t="str">
        <f t="shared" si="15"/>
        <v/>
      </c>
      <c r="P125" s="60" t="str">
        <f>IFERROR(__xludf.DUMMYFUNCTION("IF($N125=1,IFERROR(IMPORTXML($I125, ""//p[@class='status-date']""), ""Not Loading""),"""")"),"")</f>
        <v/>
      </c>
      <c r="Q125" s="65"/>
      <c r="R125" s="65"/>
      <c r="S125" s="65"/>
      <c r="T125" s="65"/>
      <c r="U125" s="61" t="str">
        <f t="shared" si="8"/>
        <v>Neloras</v>
      </c>
      <c r="V125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25" s="21"/>
      <c r="X125" s="21"/>
      <c r="Y125" s="21"/>
      <c r="Z125" s="21"/>
    </row>
    <row r="126" ht="15.0" customHeight="1">
      <c r="A126" s="51">
        <f t="shared" si="9"/>
        <v>119</v>
      </c>
      <c r="B126" s="52" t="str">
        <f t="shared" si="2"/>
        <v>Japanse 🍁 Maple 🌿 #119 | R15 - C7</v>
      </c>
      <c r="C126" s="53">
        <v>15.0</v>
      </c>
      <c r="D126" s="53">
        <v>7.0</v>
      </c>
      <c r="E126" s="54" t="s">
        <v>397</v>
      </c>
      <c r="F126" s="54" t="s">
        <v>398</v>
      </c>
      <c r="G126" s="55" t="s">
        <v>60</v>
      </c>
      <c r="H126" s="56" t="str">
        <f t="shared" si="3"/>
        <v>EeveeFox</v>
      </c>
      <c r="I126" s="63" t="s">
        <v>399</v>
      </c>
      <c r="J126" s="64"/>
      <c r="K126" s="59" t="b">
        <v>1</v>
      </c>
      <c r="L126" s="53">
        <f t="shared" si="12"/>
        <v>0</v>
      </c>
      <c r="M126" s="53">
        <f t="shared" si="13"/>
        <v>0</v>
      </c>
      <c r="N126" s="53">
        <f t="shared" si="14"/>
        <v>0</v>
      </c>
      <c r="O126" s="66" t="str">
        <f t="shared" si="15"/>
        <v/>
      </c>
      <c r="P126" s="60" t="str">
        <f>IFERROR(__xludf.DUMMYFUNCTION("IF($N126=1,IFERROR(IMPORTXML($I126, ""//p[@class='status-date']""), ""Not Loading""),"""")"),"")</f>
        <v/>
      </c>
      <c r="Q126" s="61"/>
      <c r="R126" s="61"/>
      <c r="S126" s="61"/>
      <c r="T126" s="61"/>
      <c r="U126" s="61" t="str">
        <f t="shared" si="8"/>
        <v>EeveeFox</v>
      </c>
      <c r="V126" s="62">
        <f>IFERROR(__xludf.DUMMYFUNCTION("iferror(VALUE(left(index(IMPORTXML(I128, ""//div[@class='col-lg-2 user-stat stat-green']""),2,1),len(index(IMPORTXML(I128, ""//div[@class='col-lg-2 user-stat stat-green']""),2,1))-8)),0)"),2.0)</f>
        <v>2</v>
      </c>
      <c r="W126" s="21"/>
      <c r="X126" s="21"/>
      <c r="Y126" s="21"/>
      <c r="Z126" s="21"/>
    </row>
    <row r="127" ht="15.0" customHeight="1">
      <c r="A127" s="51">
        <f t="shared" si="9"/>
        <v>120</v>
      </c>
      <c r="B127" s="52" t="str">
        <f t="shared" si="2"/>
        <v>Japanse 🍁 Maple 🌿 #120 | R15 - C8</v>
      </c>
      <c r="C127" s="53">
        <v>15.0</v>
      </c>
      <c r="D127" s="53">
        <v>8.0</v>
      </c>
      <c r="E127" s="54" t="s">
        <v>400</v>
      </c>
      <c r="F127" s="54" t="s">
        <v>401</v>
      </c>
      <c r="G127" s="55" t="s">
        <v>46</v>
      </c>
      <c r="H127" s="56" t="str">
        <f t="shared" si="3"/>
        <v>Rikitan</v>
      </c>
      <c r="I127" s="57" t="s">
        <v>402</v>
      </c>
      <c r="J127" s="64"/>
      <c r="K127" s="59" t="b">
        <v>1</v>
      </c>
      <c r="L127" s="53">
        <f t="shared" si="12"/>
        <v>0</v>
      </c>
      <c r="M127" s="53">
        <f t="shared" si="13"/>
        <v>0</v>
      </c>
      <c r="N127" s="53">
        <f t="shared" si="14"/>
        <v>0</v>
      </c>
      <c r="O127" s="52" t="str">
        <f t="shared" si="15"/>
        <v/>
      </c>
      <c r="P127" s="60" t="str">
        <f>IFERROR(__xludf.DUMMYFUNCTION("IF($N127=1,IFERROR(IMPORTXML($I127, ""//p[@class='status-date']""), ""Not Loading""),"""")"),"")</f>
        <v/>
      </c>
      <c r="Q127" s="65"/>
      <c r="R127" s="65"/>
      <c r="S127" s="65"/>
      <c r="T127" s="65"/>
      <c r="U127" s="61" t="str">
        <f t="shared" si="8"/>
        <v>Rikitan</v>
      </c>
      <c r="V12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27" s="21"/>
      <c r="X127" s="21"/>
      <c r="Y127" s="21"/>
      <c r="Z127" s="21"/>
    </row>
    <row r="128" ht="15.0" customHeight="1">
      <c r="A128" s="51">
        <f t="shared" si="9"/>
        <v>121</v>
      </c>
      <c r="B128" s="52" t="str">
        <f t="shared" si="2"/>
        <v>Japanse 🍁 Maple 🌿 #121 | R15 - C9</v>
      </c>
      <c r="C128" s="53">
        <v>15.0</v>
      </c>
      <c r="D128" s="53">
        <v>9.0</v>
      </c>
      <c r="E128" s="54" t="s">
        <v>403</v>
      </c>
      <c r="F128" s="54" t="s">
        <v>404</v>
      </c>
      <c r="G128" s="55" t="s">
        <v>405</v>
      </c>
      <c r="H128" s="56" t="str">
        <f t="shared" si="3"/>
        <v>Neloras</v>
      </c>
      <c r="I128" s="63" t="s">
        <v>406</v>
      </c>
      <c r="J128" s="64"/>
      <c r="K128" s="59" t="b">
        <v>1</v>
      </c>
      <c r="L128" s="53">
        <f t="shared" si="12"/>
        <v>0</v>
      </c>
      <c r="M128" s="53">
        <f t="shared" si="13"/>
        <v>0</v>
      </c>
      <c r="N128" s="53">
        <f t="shared" si="14"/>
        <v>0</v>
      </c>
      <c r="O128" s="52" t="str">
        <f t="shared" si="15"/>
        <v/>
      </c>
      <c r="P128" s="60" t="str">
        <f>IFERROR(__xludf.DUMMYFUNCTION("IF($N128=1,IFERROR(IMPORTXML($I128, ""//p[@class='status-date']""), ""Not Loading""),"""")"),"")</f>
        <v/>
      </c>
      <c r="Q128" s="61"/>
      <c r="R128" s="61"/>
      <c r="S128" s="61"/>
      <c r="T128" s="61"/>
      <c r="U128" s="61" t="str">
        <f t="shared" si="8"/>
        <v>Neloras</v>
      </c>
      <c r="V128" s="62">
        <f>IFERROR(__xludf.DUMMYFUNCTION("iferror(VALUE(left(index(IMPORTXML(I130, ""//div[@class='col-lg-2 user-stat stat-green']""),2,1),len(index(IMPORTXML(I130, ""//div[@class='col-lg-2 user-stat stat-green']""),2,1))-8)),0)"),9.0)</f>
        <v>9</v>
      </c>
      <c r="W128" s="21"/>
      <c r="X128" s="21"/>
      <c r="Y128" s="21"/>
      <c r="Z128" s="21"/>
    </row>
    <row r="129" ht="15.0" customHeight="1">
      <c r="A129" s="51">
        <f t="shared" si="9"/>
        <v>122</v>
      </c>
      <c r="B129" s="52" t="str">
        <f t="shared" si="2"/>
        <v>Japanse 🍁 Maple 🌿 #122 | R15 - C10</v>
      </c>
      <c r="C129" s="53">
        <v>15.0</v>
      </c>
      <c r="D129" s="53">
        <v>10.0</v>
      </c>
      <c r="E129" s="54" t="s">
        <v>407</v>
      </c>
      <c r="F129" s="54" t="s">
        <v>408</v>
      </c>
      <c r="G129" s="55" t="s">
        <v>46</v>
      </c>
      <c r="H129" s="56" t="str">
        <f t="shared" si="3"/>
        <v>EeveeFox</v>
      </c>
      <c r="I129" s="63" t="s">
        <v>409</v>
      </c>
      <c r="J129" s="64"/>
      <c r="K129" s="59" t="b">
        <v>1</v>
      </c>
      <c r="L129" s="53">
        <f t="shared" si="12"/>
        <v>0</v>
      </c>
      <c r="M129" s="53">
        <f t="shared" si="13"/>
        <v>0</v>
      </c>
      <c r="N129" s="53">
        <f t="shared" si="14"/>
        <v>0</v>
      </c>
      <c r="O129" s="66" t="str">
        <f t="shared" si="15"/>
        <v/>
      </c>
      <c r="P129" s="60" t="str">
        <f>IFERROR(__xludf.DUMMYFUNCTION("IF($N129=1,IFERROR(IMPORTXML($I129, ""//p[@class='status-date']""), ""Not Loading""),"""")"),"")</f>
        <v/>
      </c>
      <c r="Q129" s="65"/>
      <c r="R129" s="65"/>
      <c r="S129" s="65"/>
      <c r="T129" s="65"/>
      <c r="U129" s="61" t="str">
        <f t="shared" si="8"/>
        <v>EeveeFox</v>
      </c>
      <c r="V12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29" s="21"/>
      <c r="X129" s="21"/>
      <c r="Y129" s="21"/>
      <c r="Z129" s="21"/>
    </row>
    <row r="130" ht="15.0" customHeight="1">
      <c r="A130" s="51">
        <f t="shared" si="9"/>
        <v>123</v>
      </c>
      <c r="B130" s="52" t="str">
        <f t="shared" si="2"/>
        <v>Japanse 🍁 Maple 🌿 #123 | R15 - C11</v>
      </c>
      <c r="C130" s="53">
        <v>15.0</v>
      </c>
      <c r="D130" s="53">
        <v>11.0</v>
      </c>
      <c r="E130" s="54" t="s">
        <v>410</v>
      </c>
      <c r="F130" s="54" t="s">
        <v>411</v>
      </c>
      <c r="G130" s="55" t="s">
        <v>64</v>
      </c>
      <c r="H130" s="56" t="str">
        <f t="shared" si="3"/>
        <v>and2470</v>
      </c>
      <c r="I130" s="57" t="s">
        <v>412</v>
      </c>
      <c r="J130" s="64"/>
      <c r="K130" s="59" t="b">
        <v>1</v>
      </c>
      <c r="L130" s="53">
        <f t="shared" si="12"/>
        <v>0</v>
      </c>
      <c r="M130" s="53">
        <f t="shared" si="13"/>
        <v>0</v>
      </c>
      <c r="N130" s="53">
        <f t="shared" si="14"/>
        <v>0</v>
      </c>
      <c r="O130" s="52" t="str">
        <f t="shared" si="15"/>
        <v/>
      </c>
      <c r="P130" s="60" t="str">
        <f>IFERROR(__xludf.DUMMYFUNCTION("IF($N130=1,IFERROR(IMPORTXML($I130, ""//p[@class='status-date']""), ""Not Loading""),"""")"),"")</f>
        <v/>
      </c>
      <c r="Q130" s="61"/>
      <c r="R130" s="61"/>
      <c r="S130" s="61"/>
      <c r="T130" s="61"/>
      <c r="U130" s="61" t="str">
        <f t="shared" si="8"/>
        <v>and2470</v>
      </c>
      <c r="V130" s="62">
        <f>IFERROR(__xludf.DUMMYFUNCTION("iferror(VALUE(left(index(IMPORTXML(I132, ""//div[@class='col-lg-2 user-stat stat-green']""),2,1),len(index(IMPORTXML(I132, ""//div[@class='col-lg-2 user-stat stat-green']""),2,1))-8)),0)"),6.0)</f>
        <v>6</v>
      </c>
      <c r="W130" s="21"/>
      <c r="X130" s="21"/>
      <c r="Y130" s="21"/>
      <c r="Z130" s="21"/>
    </row>
    <row r="131" ht="15.0" customHeight="1">
      <c r="A131" s="51">
        <f t="shared" si="9"/>
        <v>124</v>
      </c>
      <c r="B131" s="52" t="str">
        <f t="shared" si="2"/>
        <v>Japanse 🍁 Maple 🌿 #124 | R15 - C12</v>
      </c>
      <c r="C131" s="53">
        <v>15.0</v>
      </c>
      <c r="D131" s="53">
        <v>12.0</v>
      </c>
      <c r="E131" s="54" t="s">
        <v>413</v>
      </c>
      <c r="F131" s="54" t="s">
        <v>414</v>
      </c>
      <c r="G131" s="55" t="s">
        <v>77</v>
      </c>
      <c r="H131" s="56" t="str">
        <f t="shared" si="3"/>
        <v>Neloras</v>
      </c>
      <c r="I131" s="63" t="s">
        <v>415</v>
      </c>
      <c r="J131" s="64"/>
      <c r="K131" s="59" t="b">
        <v>1</v>
      </c>
      <c r="L131" s="53">
        <f t="shared" si="12"/>
        <v>0</v>
      </c>
      <c r="M131" s="53">
        <f t="shared" si="13"/>
        <v>0</v>
      </c>
      <c r="N131" s="53">
        <f t="shared" si="14"/>
        <v>0</v>
      </c>
      <c r="O131" s="52" t="str">
        <f t="shared" si="15"/>
        <v/>
      </c>
      <c r="P131" s="60" t="str">
        <f>IFERROR(__xludf.DUMMYFUNCTION("IF($N131=1,IFERROR(IMPORTXML($I131, ""//p[@class='status-date']""), ""Not Loading""),"""")"),"")</f>
        <v/>
      </c>
      <c r="Q131" s="65"/>
      <c r="R131" s="65"/>
      <c r="S131" s="65"/>
      <c r="T131" s="65"/>
      <c r="U131" s="61" t="str">
        <f t="shared" si="8"/>
        <v>Neloras</v>
      </c>
      <c r="V13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31" s="21"/>
      <c r="X131" s="21"/>
      <c r="Y131" s="21"/>
      <c r="Z131" s="21"/>
    </row>
    <row r="132" ht="15.0" customHeight="1">
      <c r="A132" s="51">
        <f t="shared" si="9"/>
        <v>125</v>
      </c>
      <c r="B132" s="52" t="str">
        <f t="shared" si="2"/>
        <v>Japanse 🍁 Maple 🌿 #125 | R15 - C13</v>
      </c>
      <c r="C132" s="53">
        <v>15.0</v>
      </c>
      <c r="D132" s="53">
        <v>13.0</v>
      </c>
      <c r="E132" s="54" t="s">
        <v>416</v>
      </c>
      <c r="F132" s="54" t="s">
        <v>417</v>
      </c>
      <c r="G132" s="55" t="s">
        <v>64</v>
      </c>
      <c r="H132" s="56" t="str">
        <f t="shared" si="3"/>
        <v>EeveeFox</v>
      </c>
      <c r="I132" s="63" t="s">
        <v>418</v>
      </c>
      <c r="J132" s="64"/>
      <c r="K132" s="59" t="b">
        <v>1</v>
      </c>
      <c r="L132" s="53">
        <f t="shared" si="12"/>
        <v>0</v>
      </c>
      <c r="M132" s="53">
        <f t="shared" si="13"/>
        <v>0</v>
      </c>
      <c r="N132" s="53">
        <f t="shared" si="14"/>
        <v>0</v>
      </c>
      <c r="O132" s="52" t="str">
        <f t="shared" si="15"/>
        <v/>
      </c>
      <c r="P132" s="60" t="str">
        <f>IFERROR(__xludf.DUMMYFUNCTION("IF($N132=1,IFERROR(IMPORTXML($I132, ""//p[@class='status-date']""), ""Not Loading""),"""")"),"")</f>
        <v/>
      </c>
      <c r="Q132" s="61"/>
      <c r="R132" s="61"/>
      <c r="S132" s="61"/>
      <c r="T132" s="61"/>
      <c r="U132" s="61" t="str">
        <f t="shared" si="8"/>
        <v>EeveeFox</v>
      </c>
      <c r="V132" s="62">
        <f>IFERROR(__xludf.DUMMYFUNCTION("iferror(VALUE(left(index(IMPORTXML(I134, ""//div[@class='col-lg-2 user-stat stat-green']""),2,1),len(index(IMPORTXML(I134, ""//div[@class='col-lg-2 user-stat stat-green']""),2,1))-8)),0)"),3.0)</f>
        <v>3</v>
      </c>
      <c r="W132" s="21"/>
      <c r="X132" s="21"/>
      <c r="Y132" s="21"/>
      <c r="Z132" s="21"/>
    </row>
    <row r="133" ht="15.0" customHeight="1">
      <c r="A133" s="51">
        <f t="shared" si="9"/>
        <v>126</v>
      </c>
      <c r="B133" s="52" t="str">
        <f t="shared" si="2"/>
        <v>Japanse 🍁 Maple 🌿 #126 | R15 - C14</v>
      </c>
      <c r="C133" s="53">
        <v>15.0</v>
      </c>
      <c r="D133" s="53">
        <v>14.0</v>
      </c>
      <c r="E133" s="54" t="s">
        <v>419</v>
      </c>
      <c r="F133" s="54" t="s">
        <v>420</v>
      </c>
      <c r="G133" s="55" t="s">
        <v>46</v>
      </c>
      <c r="H133" s="56" t="str">
        <f t="shared" si="3"/>
        <v>Meganduluth22</v>
      </c>
      <c r="I133" s="57" t="s">
        <v>421</v>
      </c>
      <c r="J133" s="64"/>
      <c r="K133" s="59" t="b">
        <v>1</v>
      </c>
      <c r="L133" s="53">
        <f t="shared" si="12"/>
        <v>0</v>
      </c>
      <c r="M133" s="53">
        <f t="shared" si="13"/>
        <v>0</v>
      </c>
      <c r="N133" s="53">
        <f t="shared" si="14"/>
        <v>0</v>
      </c>
      <c r="O133" s="52" t="str">
        <f t="shared" si="15"/>
        <v/>
      </c>
      <c r="P133" s="60" t="str">
        <f>IFERROR(__xludf.DUMMYFUNCTION("IF($N133=1,IFERROR(IMPORTXML($I133, ""//p[@class='status-date']""), ""Not Loading""),"""")"),"")</f>
        <v/>
      </c>
      <c r="Q133" s="65"/>
      <c r="R133" s="65"/>
      <c r="S133" s="65"/>
      <c r="T133" s="65"/>
      <c r="U133" s="61" t="str">
        <f t="shared" si="8"/>
        <v>Meganduluth22</v>
      </c>
      <c r="V13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33" s="21"/>
      <c r="X133" s="21"/>
      <c r="Y133" s="21"/>
      <c r="Z133" s="21"/>
    </row>
    <row r="134" ht="15.0" customHeight="1">
      <c r="A134" s="51">
        <f t="shared" si="9"/>
        <v>127</v>
      </c>
      <c r="B134" s="52" t="str">
        <f t="shared" si="2"/>
        <v>Japanse 🍁 Maple 🌿 #127 | R16 - C3</v>
      </c>
      <c r="C134" s="53">
        <v>16.0</v>
      </c>
      <c r="D134" s="53">
        <v>3.0</v>
      </c>
      <c r="E134" s="54" t="s">
        <v>422</v>
      </c>
      <c r="F134" s="54" t="s">
        <v>423</v>
      </c>
      <c r="G134" s="55" t="s">
        <v>39</v>
      </c>
      <c r="H134" s="56" t="str">
        <f t="shared" si="3"/>
        <v>Charonovci</v>
      </c>
      <c r="I134" s="63" t="s">
        <v>424</v>
      </c>
      <c r="J134" s="64"/>
      <c r="K134" s="59" t="b">
        <v>1</v>
      </c>
      <c r="L134" s="53">
        <f t="shared" si="12"/>
        <v>0</v>
      </c>
      <c r="M134" s="53">
        <f t="shared" si="13"/>
        <v>0</v>
      </c>
      <c r="N134" s="53">
        <f t="shared" si="14"/>
        <v>0</v>
      </c>
      <c r="O134" s="52" t="str">
        <f t="shared" si="15"/>
        <v/>
      </c>
      <c r="P134" s="60" t="str">
        <f>IFERROR(__xludf.DUMMYFUNCTION("IF($N134=1,IFERROR(IMPORTXML($I134, ""//p[@class='status-date']""), ""Not Loading""),"""")"),"")</f>
        <v/>
      </c>
      <c r="Q134" s="61"/>
      <c r="R134" s="61"/>
      <c r="S134" s="61"/>
      <c r="T134" s="61"/>
      <c r="U134" s="61" t="str">
        <f t="shared" si="8"/>
        <v>Charonovci</v>
      </c>
      <c r="V134" s="62">
        <f>IFERROR(__xludf.DUMMYFUNCTION("iferror(VALUE(left(index(IMPORTXML(I136, ""//div[@class='col-lg-2 user-stat stat-green']""),2,1),len(index(IMPORTXML(I136, ""//div[@class='col-lg-2 user-stat stat-green']""),2,1))-8)),0)"),7.0)</f>
        <v>7</v>
      </c>
      <c r="W134" s="21"/>
      <c r="X134" s="21"/>
      <c r="Y134" s="21"/>
      <c r="Z134" s="21"/>
    </row>
    <row r="135" ht="15.0" customHeight="1">
      <c r="A135" s="51">
        <f t="shared" si="9"/>
        <v>128</v>
      </c>
      <c r="B135" s="52" t="str">
        <f t="shared" si="2"/>
        <v>Japanse 🍁 Maple 🌿 #128 | R16 - C4</v>
      </c>
      <c r="C135" s="53">
        <v>16.0</v>
      </c>
      <c r="D135" s="53">
        <v>4.0</v>
      </c>
      <c r="E135" s="54" t="s">
        <v>425</v>
      </c>
      <c r="F135" s="54" t="s">
        <v>426</v>
      </c>
      <c r="G135" s="55" t="s">
        <v>50</v>
      </c>
      <c r="H135" s="56" t="str">
        <f t="shared" si="3"/>
        <v>and2470</v>
      </c>
      <c r="I135" s="63" t="s">
        <v>427</v>
      </c>
      <c r="J135" s="64"/>
      <c r="K135" s="59" t="b">
        <v>1</v>
      </c>
      <c r="L135" s="53">
        <f t="shared" si="12"/>
        <v>0</v>
      </c>
      <c r="M135" s="53">
        <f t="shared" si="13"/>
        <v>0</v>
      </c>
      <c r="N135" s="53">
        <f t="shared" si="14"/>
        <v>0</v>
      </c>
      <c r="O135" s="52" t="str">
        <f t="shared" si="15"/>
        <v/>
      </c>
      <c r="P135" s="60" t="str">
        <f>IFERROR(__xludf.DUMMYFUNCTION("IF($N135=1,IFERROR(IMPORTXML($I135, ""//p[@class='status-date']""), ""Not Loading""),"""")"),"")</f>
        <v/>
      </c>
      <c r="Q135" s="65"/>
      <c r="R135" s="65"/>
      <c r="S135" s="65"/>
      <c r="T135" s="65"/>
      <c r="U135" s="61" t="str">
        <f t="shared" si="8"/>
        <v>and2470</v>
      </c>
      <c r="V135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35" s="21"/>
      <c r="X135" s="21"/>
      <c r="Y135" s="21"/>
      <c r="Z135" s="21"/>
    </row>
    <row r="136" ht="15.0" customHeight="1">
      <c r="A136" s="51">
        <f t="shared" si="9"/>
        <v>129</v>
      </c>
      <c r="B136" s="52" t="str">
        <f t="shared" si="2"/>
        <v>Japanse 🍁 Maple 🌿 #129 | R16 - C5</v>
      </c>
      <c r="C136" s="53">
        <v>16.0</v>
      </c>
      <c r="D136" s="53">
        <v>5.0</v>
      </c>
      <c r="E136" s="54" t="s">
        <v>428</v>
      </c>
      <c r="F136" s="54" t="s">
        <v>429</v>
      </c>
      <c r="G136" s="55" t="s">
        <v>60</v>
      </c>
      <c r="H136" s="56" t="str">
        <f t="shared" si="3"/>
        <v>MacickaLizza</v>
      </c>
      <c r="I136" s="57" t="s">
        <v>430</v>
      </c>
      <c r="J136" s="64"/>
      <c r="K136" s="59" t="b">
        <v>1</v>
      </c>
      <c r="L136" s="53">
        <f t="shared" si="12"/>
        <v>0</v>
      </c>
      <c r="M136" s="53">
        <f t="shared" si="13"/>
        <v>0</v>
      </c>
      <c r="N136" s="53">
        <f t="shared" si="14"/>
        <v>0</v>
      </c>
      <c r="O136" s="52" t="str">
        <f t="shared" si="15"/>
        <v/>
      </c>
      <c r="P136" s="60" t="str">
        <f>IFERROR(__xludf.DUMMYFUNCTION("IF($N136=1,IFERROR(IMPORTXML($I136, ""//p[@class='status-date']""), ""Not Loading""),"""")"),"")</f>
        <v/>
      </c>
      <c r="Q136" s="61"/>
      <c r="R136" s="61"/>
      <c r="S136" s="61"/>
      <c r="T136" s="61"/>
      <c r="U136" s="61" t="str">
        <f t="shared" si="8"/>
        <v>MacickaLizza</v>
      </c>
      <c r="V136" s="62">
        <f>IFERROR(__xludf.DUMMYFUNCTION("iferror(VALUE(left(index(IMPORTXML(I138, ""//div[@class='col-lg-2 user-stat stat-green']""),2,1),len(index(IMPORTXML(I138, ""//div[@class='col-lg-2 user-stat stat-green']""),2,1))-8)),0)"),3.0)</f>
        <v>3</v>
      </c>
      <c r="W136" s="21"/>
      <c r="X136" s="21"/>
      <c r="Y136" s="21"/>
      <c r="Z136" s="21"/>
    </row>
    <row r="137" ht="15.0" customHeight="1">
      <c r="A137" s="51">
        <f t="shared" si="9"/>
        <v>130</v>
      </c>
      <c r="B137" s="52" t="str">
        <f t="shared" si="2"/>
        <v>Japanse 🍁 Maple 🌿 #130 | R16 - C6</v>
      </c>
      <c r="C137" s="53">
        <v>16.0</v>
      </c>
      <c r="D137" s="53">
        <v>6.0</v>
      </c>
      <c r="E137" s="54" t="s">
        <v>431</v>
      </c>
      <c r="F137" s="54" t="s">
        <v>432</v>
      </c>
      <c r="G137" s="55" t="s">
        <v>46</v>
      </c>
      <c r="H137" s="56" t="str">
        <f t="shared" si="3"/>
        <v>Charonovci</v>
      </c>
      <c r="I137" s="63" t="s">
        <v>433</v>
      </c>
      <c r="J137" s="64"/>
      <c r="K137" s="59" t="b">
        <v>1</v>
      </c>
      <c r="L137" s="53">
        <f t="shared" si="12"/>
        <v>0</v>
      </c>
      <c r="M137" s="53">
        <f t="shared" si="13"/>
        <v>0</v>
      </c>
      <c r="N137" s="53">
        <f t="shared" si="14"/>
        <v>0</v>
      </c>
      <c r="O137" s="52" t="str">
        <f t="shared" si="15"/>
        <v/>
      </c>
      <c r="P137" s="60" t="str">
        <f>IFERROR(__xludf.DUMMYFUNCTION("IF($N137=1,IFERROR(IMPORTXML($I137, ""//p[@class='status-date']""), ""Not Loading""),"""")"),"")</f>
        <v/>
      </c>
      <c r="Q137" s="65"/>
      <c r="R137" s="65"/>
      <c r="S137" s="65"/>
      <c r="T137" s="65"/>
      <c r="U137" s="61" t="str">
        <f t="shared" si="8"/>
        <v>Charonovci</v>
      </c>
      <c r="V13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37" s="21"/>
      <c r="X137" s="21"/>
      <c r="Y137" s="21"/>
      <c r="Z137" s="21"/>
    </row>
    <row r="138" ht="15.0" customHeight="1">
      <c r="A138" s="51">
        <f t="shared" si="9"/>
        <v>131</v>
      </c>
      <c r="B138" s="52" t="str">
        <f t="shared" si="2"/>
        <v>Japanse 🍁 Maple 🌿 #131 | R16 - C7</v>
      </c>
      <c r="C138" s="53">
        <v>16.0</v>
      </c>
      <c r="D138" s="53">
        <v>7.0</v>
      </c>
      <c r="E138" s="54" t="s">
        <v>434</v>
      </c>
      <c r="F138" s="54" t="s">
        <v>435</v>
      </c>
      <c r="G138" s="55" t="s">
        <v>39</v>
      </c>
      <c r="H138" s="56" t="str">
        <f t="shared" si="3"/>
        <v>EmeraldAngel</v>
      </c>
      <c r="I138" s="63" t="s">
        <v>436</v>
      </c>
      <c r="J138" s="64"/>
      <c r="K138" s="59" t="b">
        <v>1</v>
      </c>
      <c r="L138" s="53">
        <f t="shared" si="12"/>
        <v>0</v>
      </c>
      <c r="M138" s="53">
        <f t="shared" si="13"/>
        <v>0</v>
      </c>
      <c r="N138" s="53">
        <f t="shared" si="14"/>
        <v>0</v>
      </c>
      <c r="O138" s="52" t="str">
        <f t="shared" si="15"/>
        <v/>
      </c>
      <c r="P138" s="60" t="str">
        <f>IFERROR(__xludf.DUMMYFUNCTION("IF($N138=1,IFERROR(IMPORTXML($I138, ""//p[@class='status-date']""), ""Not Loading""),"""")"),"")</f>
        <v/>
      </c>
      <c r="Q138" s="61"/>
      <c r="R138" s="61"/>
      <c r="S138" s="61"/>
      <c r="T138" s="61"/>
      <c r="U138" s="61" t="str">
        <f t="shared" si="8"/>
        <v>EmeraldAngel</v>
      </c>
      <c r="V138" s="62">
        <f>IFERROR(__xludf.DUMMYFUNCTION("iferror(VALUE(left(index(IMPORTXML(I140, ""//div[@class='col-lg-2 user-stat stat-green']""),2,1),len(index(IMPORTXML(I140, ""//div[@class='col-lg-2 user-stat stat-green']""),2,1))-8)),0)"),2.0)</f>
        <v>2</v>
      </c>
      <c r="W138" s="21"/>
      <c r="X138" s="21"/>
      <c r="Y138" s="21"/>
      <c r="Z138" s="21"/>
    </row>
    <row r="139" ht="15.0" customHeight="1">
      <c r="A139" s="51">
        <f t="shared" si="9"/>
        <v>132</v>
      </c>
      <c r="B139" s="52" t="str">
        <f t="shared" si="2"/>
        <v>Japanse 🍁 Maple 🌿 #132 | R16 - C10</v>
      </c>
      <c r="C139" s="53">
        <v>16.0</v>
      </c>
      <c r="D139" s="53">
        <v>10.0</v>
      </c>
      <c r="E139" s="54" t="s">
        <v>437</v>
      </c>
      <c r="F139" s="54" t="s">
        <v>438</v>
      </c>
      <c r="G139" s="55" t="s">
        <v>39</v>
      </c>
      <c r="H139" s="56" t="str">
        <f t="shared" si="3"/>
        <v>29Februaris</v>
      </c>
      <c r="I139" s="63" t="s">
        <v>439</v>
      </c>
      <c r="J139" s="64"/>
      <c r="K139" s="59" t="b">
        <v>1</v>
      </c>
      <c r="L139" s="53">
        <f t="shared" si="12"/>
        <v>0</v>
      </c>
      <c r="M139" s="53">
        <f t="shared" si="13"/>
        <v>0</v>
      </c>
      <c r="N139" s="53">
        <f t="shared" si="14"/>
        <v>0</v>
      </c>
      <c r="O139" s="52" t="str">
        <f t="shared" si="15"/>
        <v/>
      </c>
      <c r="P139" s="60" t="str">
        <f>IFERROR(__xludf.DUMMYFUNCTION("IF($N139=1,IFERROR(IMPORTXML($I139, ""//p[@class='status-date']""), ""Not Loading""),"""")"),"")</f>
        <v/>
      </c>
      <c r="Q139" s="65"/>
      <c r="R139" s="65"/>
      <c r="S139" s="65"/>
      <c r="T139" s="65"/>
      <c r="U139" s="61" t="str">
        <f t="shared" si="8"/>
        <v>29Februaris</v>
      </c>
      <c r="V13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39" s="21"/>
      <c r="X139" s="21"/>
      <c r="Y139" s="21"/>
      <c r="Z139" s="21"/>
    </row>
    <row r="140" ht="15.0" customHeight="1">
      <c r="A140" s="51">
        <f t="shared" si="9"/>
        <v>133</v>
      </c>
      <c r="B140" s="52" t="str">
        <f t="shared" si="2"/>
        <v>Japanse 🍁 Maple 🌿 #133 | R16 - C11</v>
      </c>
      <c r="C140" s="53">
        <v>16.0</v>
      </c>
      <c r="D140" s="53">
        <v>11.0</v>
      </c>
      <c r="E140" s="54" t="s">
        <v>440</v>
      </c>
      <c r="F140" s="54" t="s">
        <v>441</v>
      </c>
      <c r="G140" s="55" t="s">
        <v>46</v>
      </c>
      <c r="H140" s="56" t="str">
        <f t="shared" si="3"/>
        <v>Charonovci</v>
      </c>
      <c r="I140" s="63" t="s">
        <v>442</v>
      </c>
      <c r="J140" s="64"/>
      <c r="K140" s="59" t="b">
        <v>1</v>
      </c>
      <c r="L140" s="53">
        <f t="shared" si="12"/>
        <v>0</v>
      </c>
      <c r="M140" s="53">
        <f t="shared" si="13"/>
        <v>0</v>
      </c>
      <c r="N140" s="53">
        <f t="shared" si="14"/>
        <v>0</v>
      </c>
      <c r="O140" s="52" t="str">
        <f t="shared" si="15"/>
        <v/>
      </c>
      <c r="P140" s="60" t="str">
        <f>IFERROR(__xludf.DUMMYFUNCTION("IF($N140=1,IFERROR(IMPORTXML($I140, ""//p[@class='status-date']""), ""Not Loading""),"""")"),"")</f>
        <v/>
      </c>
      <c r="Q140" s="61"/>
      <c r="R140" s="61"/>
      <c r="S140" s="61"/>
      <c r="T140" s="61"/>
      <c r="U140" s="61" t="str">
        <f t="shared" si="8"/>
        <v>Charonovci</v>
      </c>
      <c r="V140" s="62">
        <f>IFERROR(__xludf.DUMMYFUNCTION("iferror(VALUE(left(index(IMPORTXML(I142, ""//div[@class='col-lg-2 user-stat stat-green']""),2,1),len(index(IMPORTXML(I142, ""//div[@class='col-lg-2 user-stat stat-green']""),2,1))-8)),0)"),0.0)</f>
        <v>0</v>
      </c>
      <c r="W140" s="21"/>
      <c r="X140" s="21"/>
      <c r="Y140" s="21"/>
      <c r="Z140" s="21"/>
    </row>
    <row r="141" ht="15.0" customHeight="1">
      <c r="A141" s="51">
        <f t="shared" si="9"/>
        <v>134</v>
      </c>
      <c r="B141" s="52" t="str">
        <f t="shared" si="2"/>
        <v>Japanse 🍁 Maple 🌿 #134 | R16 - C12</v>
      </c>
      <c r="C141" s="53">
        <v>16.0</v>
      </c>
      <c r="D141" s="53">
        <v>12.0</v>
      </c>
      <c r="E141" s="54" t="s">
        <v>443</v>
      </c>
      <c r="F141" s="54" t="s">
        <v>444</v>
      </c>
      <c r="G141" s="55" t="s">
        <v>64</v>
      </c>
      <c r="H141" s="56" t="str">
        <f t="shared" si="3"/>
        <v>MacickaLizza</v>
      </c>
      <c r="I141" s="57" t="s">
        <v>445</v>
      </c>
      <c r="J141" s="64"/>
      <c r="K141" s="59" t="b">
        <v>1</v>
      </c>
      <c r="L141" s="53">
        <f t="shared" si="12"/>
        <v>0</v>
      </c>
      <c r="M141" s="53">
        <f t="shared" si="13"/>
        <v>0</v>
      </c>
      <c r="N141" s="53">
        <f t="shared" si="14"/>
        <v>0</v>
      </c>
      <c r="O141" s="52" t="str">
        <f t="shared" si="15"/>
        <v/>
      </c>
      <c r="P141" s="60" t="str">
        <f>IFERROR(__xludf.DUMMYFUNCTION("IF($N141=1,IFERROR(IMPORTXML($I141, ""//p[@class='status-date']""), ""Not Loading""),"""")"),"")</f>
        <v/>
      </c>
      <c r="Q141" s="65"/>
      <c r="R141" s="65"/>
      <c r="S141" s="65"/>
      <c r="T141" s="65"/>
      <c r="U141" s="61" t="str">
        <f t="shared" si="8"/>
        <v>MacickaLizza</v>
      </c>
      <c r="V14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41" s="21"/>
      <c r="X141" s="21"/>
      <c r="Y141" s="21"/>
      <c r="Z141" s="21"/>
    </row>
    <row r="142" ht="15.0" customHeight="1">
      <c r="A142" s="51">
        <f t="shared" si="9"/>
        <v>135</v>
      </c>
      <c r="B142" s="52" t="str">
        <f t="shared" si="2"/>
        <v>Japanse 🍁 Maple 🌿 #135 | R16 - C13</v>
      </c>
      <c r="C142" s="53">
        <v>16.0</v>
      </c>
      <c r="D142" s="53">
        <v>13.0</v>
      </c>
      <c r="E142" s="54" t="s">
        <v>446</v>
      </c>
      <c r="F142" s="54" t="s">
        <v>447</v>
      </c>
      <c r="G142" s="55" t="s">
        <v>50</v>
      </c>
      <c r="H142" s="56" t="str">
        <f t="shared" si="3"/>
        <v>Lanyasummer</v>
      </c>
      <c r="I142" s="57" t="s">
        <v>448</v>
      </c>
      <c r="J142" s="64"/>
      <c r="K142" s="59" t="b">
        <v>1</v>
      </c>
      <c r="L142" s="53">
        <f t="shared" si="12"/>
        <v>0</v>
      </c>
      <c r="M142" s="53">
        <f t="shared" si="13"/>
        <v>0</v>
      </c>
      <c r="N142" s="53">
        <f t="shared" si="14"/>
        <v>0</v>
      </c>
      <c r="O142" s="52" t="str">
        <f t="shared" si="15"/>
        <v/>
      </c>
      <c r="P142" s="60" t="str">
        <f>IFERROR(__xludf.DUMMYFUNCTION("IF($N142=1,IFERROR(IMPORTXML($I142, ""//p[@class='status-date']""), ""Not Loading""),"""")"),"")</f>
        <v/>
      </c>
      <c r="Q142" s="61"/>
      <c r="R142" s="61"/>
      <c r="S142" s="61"/>
      <c r="T142" s="61"/>
      <c r="U142" s="61" t="str">
        <f t="shared" si="8"/>
        <v>Lanyasummer</v>
      </c>
      <c r="V142" s="62">
        <f>IFERROR(__xludf.DUMMYFUNCTION("iferror(VALUE(left(index(IMPORTXML(I144, ""//div[@class='col-lg-2 user-stat stat-green']""),2,1),len(index(IMPORTXML(I144, ""//div[@class='col-lg-2 user-stat stat-green']""),2,1))-8)),0)"),2.0)</f>
        <v>2</v>
      </c>
      <c r="W142" s="21"/>
      <c r="X142" s="21"/>
      <c r="Y142" s="21"/>
      <c r="Z142" s="21"/>
    </row>
    <row r="143" ht="15.0" customHeight="1">
      <c r="A143" s="51">
        <f t="shared" si="9"/>
        <v>136</v>
      </c>
      <c r="B143" s="52" t="str">
        <f t="shared" si="2"/>
        <v>Japanse 🍁 Maple 🌿 #136 | R16 - C14</v>
      </c>
      <c r="C143" s="53">
        <v>16.0</v>
      </c>
      <c r="D143" s="53">
        <v>14.0</v>
      </c>
      <c r="E143" s="54" t="s">
        <v>449</v>
      </c>
      <c r="F143" s="54" t="s">
        <v>450</v>
      </c>
      <c r="G143" s="55" t="s">
        <v>39</v>
      </c>
      <c r="H143" s="56" t="str">
        <f t="shared" si="3"/>
        <v>Rikitan</v>
      </c>
      <c r="I143" s="57" t="s">
        <v>451</v>
      </c>
      <c r="J143" s="64"/>
      <c r="K143" s="59" t="b">
        <v>1</v>
      </c>
      <c r="L143" s="53">
        <f t="shared" si="12"/>
        <v>0</v>
      </c>
      <c r="M143" s="53">
        <f t="shared" si="13"/>
        <v>0</v>
      </c>
      <c r="N143" s="53">
        <f t="shared" si="14"/>
        <v>0</v>
      </c>
      <c r="O143" s="52" t="str">
        <f t="shared" si="15"/>
        <v/>
      </c>
      <c r="P143" s="60" t="str">
        <f>IFERROR(__xludf.DUMMYFUNCTION("IF($N143=1,IFERROR(IMPORTXML($I143, ""//p[@class='status-date']""), ""Not Loading""),"""")"),"")</f>
        <v/>
      </c>
      <c r="Q143" s="65"/>
      <c r="R143" s="65"/>
      <c r="S143" s="65"/>
      <c r="T143" s="65"/>
      <c r="U143" s="61" t="str">
        <f t="shared" si="8"/>
        <v>Rikitan</v>
      </c>
      <c r="V14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43" s="21"/>
      <c r="X143" s="21"/>
      <c r="Y143" s="21"/>
      <c r="Z143" s="21"/>
    </row>
    <row r="144" ht="15.0" customHeight="1">
      <c r="A144" s="51">
        <f t="shared" si="9"/>
        <v>137</v>
      </c>
      <c r="B144" s="52" t="str">
        <f t="shared" si="2"/>
        <v>Japanse 🍁 Maple 🌿 #137 | R17 - C3</v>
      </c>
      <c r="C144" s="53">
        <v>17.0</v>
      </c>
      <c r="D144" s="53">
        <v>3.0</v>
      </c>
      <c r="E144" s="54" t="s">
        <v>452</v>
      </c>
      <c r="F144" s="54" t="s">
        <v>453</v>
      </c>
      <c r="G144" s="55" t="s">
        <v>35</v>
      </c>
      <c r="H144" s="56" t="str">
        <f t="shared" si="3"/>
        <v>Neloras</v>
      </c>
      <c r="I144" s="63" t="s">
        <v>454</v>
      </c>
      <c r="J144" s="64"/>
      <c r="K144" s="59" t="b">
        <v>1</v>
      </c>
      <c r="L144" s="53">
        <f t="shared" si="12"/>
        <v>0</v>
      </c>
      <c r="M144" s="53">
        <f t="shared" si="13"/>
        <v>0</v>
      </c>
      <c r="N144" s="53">
        <f t="shared" si="14"/>
        <v>0</v>
      </c>
      <c r="O144" s="66" t="str">
        <f t="shared" si="15"/>
        <v/>
      </c>
      <c r="P144" s="60" t="str">
        <f>IFERROR(__xludf.DUMMYFUNCTION("IF($N144=1,IFERROR(IMPORTXML($I144, ""//p[@class='status-date']""), ""Not Loading""),"""")"),"")</f>
        <v/>
      </c>
      <c r="Q144" s="61"/>
      <c r="R144" s="61"/>
      <c r="S144" s="61"/>
      <c r="T144" s="61"/>
      <c r="U144" s="61" t="str">
        <f t="shared" si="8"/>
        <v>Neloras</v>
      </c>
      <c r="V144" s="62">
        <f>IFERROR(__xludf.DUMMYFUNCTION("iferror(VALUE(left(index(IMPORTXML(I146, ""//div[@class='col-lg-2 user-stat stat-green']""),2,1),len(index(IMPORTXML(I146, ""//div[@class='col-lg-2 user-stat stat-green']""),2,1))-8)),0)"),3.0)</f>
        <v>3</v>
      </c>
      <c r="W144" s="21"/>
      <c r="X144" s="21"/>
      <c r="Y144" s="21"/>
      <c r="Z144" s="21"/>
    </row>
    <row r="145" ht="15.0" customHeight="1">
      <c r="A145" s="51">
        <f t="shared" si="9"/>
        <v>138</v>
      </c>
      <c r="B145" s="52" t="str">
        <f t="shared" si="2"/>
        <v>Japanse 🍁 Maple 🌿 #138 | R17 - C4</v>
      </c>
      <c r="C145" s="53">
        <v>17.0</v>
      </c>
      <c r="D145" s="53">
        <v>4.0</v>
      </c>
      <c r="E145" s="54" t="s">
        <v>455</v>
      </c>
      <c r="F145" s="54" t="s">
        <v>456</v>
      </c>
      <c r="G145" s="55" t="s">
        <v>39</v>
      </c>
      <c r="H145" s="56" t="str">
        <f t="shared" si="3"/>
        <v>Kapor24</v>
      </c>
      <c r="I145" s="63" t="s">
        <v>457</v>
      </c>
      <c r="J145" s="58"/>
      <c r="K145" s="59" t="b">
        <v>1</v>
      </c>
      <c r="L145" s="53">
        <f t="shared" si="12"/>
        <v>0</v>
      </c>
      <c r="M145" s="53">
        <f t="shared" si="13"/>
        <v>0</v>
      </c>
      <c r="N145" s="53">
        <f t="shared" si="14"/>
        <v>0</v>
      </c>
      <c r="O145" s="66" t="str">
        <f t="shared" si="15"/>
        <v/>
      </c>
      <c r="P145" s="60" t="str">
        <f>IFERROR(__xludf.DUMMYFUNCTION("IF($N145=1,IFERROR(IMPORTXML($I145, ""//p[@class='status-date']""), ""Not Loading""),"""")"),"")</f>
        <v/>
      </c>
      <c r="Q145" s="65"/>
      <c r="R145" s="65"/>
      <c r="S145" s="65"/>
      <c r="T145" s="65"/>
      <c r="U145" s="61" t="str">
        <f t="shared" si="8"/>
        <v>Kapor24</v>
      </c>
      <c r="V145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45" s="21"/>
      <c r="X145" s="21"/>
      <c r="Y145" s="21"/>
      <c r="Z145" s="21"/>
    </row>
    <row r="146" ht="15.0" customHeight="1">
      <c r="A146" s="51">
        <f t="shared" si="9"/>
        <v>139</v>
      </c>
      <c r="B146" s="52" t="str">
        <f t="shared" si="2"/>
        <v>Japanse 🍁 Maple 🌿 #139 | R17 - C5</v>
      </c>
      <c r="C146" s="53">
        <v>17.0</v>
      </c>
      <c r="D146" s="53">
        <v>5.0</v>
      </c>
      <c r="E146" s="54" t="s">
        <v>458</v>
      </c>
      <c r="F146" s="54" t="s">
        <v>459</v>
      </c>
      <c r="G146" s="55" t="s">
        <v>46</v>
      </c>
      <c r="H146" s="56" t="str">
        <f t="shared" si="3"/>
        <v>mathew611</v>
      </c>
      <c r="I146" s="63" t="s">
        <v>460</v>
      </c>
      <c r="J146" s="64"/>
      <c r="K146" s="59" t="b">
        <v>1</v>
      </c>
      <c r="L146" s="53">
        <f t="shared" si="12"/>
        <v>0</v>
      </c>
      <c r="M146" s="53">
        <f t="shared" si="13"/>
        <v>0</v>
      </c>
      <c r="N146" s="53">
        <f t="shared" si="14"/>
        <v>0</v>
      </c>
      <c r="O146" s="66" t="str">
        <f t="shared" si="15"/>
        <v/>
      </c>
      <c r="P146" s="60" t="str">
        <f>IFERROR(__xludf.DUMMYFUNCTION("IF($N146=1,IFERROR(IMPORTXML($I146, ""//p[@class='status-date']""), ""Not Loading""),"""")"),"")</f>
        <v/>
      </c>
      <c r="Q146" s="61"/>
      <c r="R146" s="61"/>
      <c r="S146" s="61"/>
      <c r="T146" s="61"/>
      <c r="U146" s="61" t="str">
        <f t="shared" si="8"/>
        <v>mathew611</v>
      </c>
      <c r="V146" s="62">
        <f>IFERROR(__xludf.DUMMYFUNCTION("iferror(VALUE(left(index(IMPORTXML(I148, ""//div[@class='col-lg-2 user-stat stat-green']""),2,1),len(index(IMPORTXML(I148, ""//div[@class='col-lg-2 user-stat stat-green']""),2,1))-8)),0)"),2.0)</f>
        <v>2</v>
      </c>
      <c r="W146" s="21"/>
      <c r="X146" s="21"/>
      <c r="Y146" s="21"/>
      <c r="Z146" s="21"/>
    </row>
    <row r="147" ht="15.0" customHeight="1">
      <c r="A147" s="51">
        <f t="shared" si="9"/>
        <v>140</v>
      </c>
      <c r="B147" s="52" t="str">
        <f t="shared" si="2"/>
        <v>Japanse 🍁 Maple 🌿 #140 | R17 - C6</v>
      </c>
      <c r="C147" s="53">
        <v>17.0</v>
      </c>
      <c r="D147" s="53">
        <v>6.0</v>
      </c>
      <c r="E147" s="54" t="s">
        <v>461</v>
      </c>
      <c r="F147" s="54" t="s">
        <v>462</v>
      </c>
      <c r="G147" s="55" t="s">
        <v>39</v>
      </c>
      <c r="H147" s="56" t="str">
        <f t="shared" si="3"/>
        <v>Nicolet</v>
      </c>
      <c r="I147" s="63" t="s">
        <v>463</v>
      </c>
      <c r="J147" s="58"/>
      <c r="K147" s="59" t="b">
        <v>1</v>
      </c>
      <c r="L147" s="53">
        <f t="shared" si="12"/>
        <v>0</v>
      </c>
      <c r="M147" s="53">
        <f t="shared" si="13"/>
        <v>0</v>
      </c>
      <c r="N147" s="53">
        <f t="shared" si="14"/>
        <v>0</v>
      </c>
      <c r="O147" s="52" t="str">
        <f t="shared" si="15"/>
        <v/>
      </c>
      <c r="P147" s="60" t="str">
        <f>IFERROR(__xludf.DUMMYFUNCTION("IF($N147=1,IFERROR(IMPORTXML($I147, ""//p[@class='status-date']""), ""Not Loading""),"""")"),"")</f>
        <v/>
      </c>
      <c r="Q147" s="65"/>
      <c r="R147" s="65"/>
      <c r="S147" s="65"/>
      <c r="T147" s="65"/>
      <c r="U147" s="61" t="str">
        <f t="shared" si="8"/>
        <v>Nicolet</v>
      </c>
      <c r="V147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47" s="21"/>
      <c r="X147" s="21"/>
      <c r="Y147" s="21"/>
      <c r="Z147" s="21"/>
    </row>
    <row r="148" ht="15.0" customHeight="1">
      <c r="A148" s="51">
        <f t="shared" si="9"/>
        <v>141</v>
      </c>
      <c r="B148" s="52" t="str">
        <f t="shared" si="2"/>
        <v>Japanse 🍁 Maple 🌿 #141 | R17 - C9</v>
      </c>
      <c r="C148" s="53">
        <v>17.0</v>
      </c>
      <c r="D148" s="53">
        <v>9.0</v>
      </c>
      <c r="E148" s="54" t="s">
        <v>464</v>
      </c>
      <c r="F148" s="54" t="s">
        <v>465</v>
      </c>
      <c r="G148" s="55" t="s">
        <v>405</v>
      </c>
      <c r="H148" s="56" t="str">
        <f t="shared" si="3"/>
        <v>Nicolet</v>
      </c>
      <c r="I148" s="63" t="s">
        <v>466</v>
      </c>
      <c r="J148" s="58"/>
      <c r="K148" s="59" t="b">
        <v>1</v>
      </c>
      <c r="L148" s="53">
        <f t="shared" si="12"/>
        <v>0</v>
      </c>
      <c r="M148" s="53">
        <f t="shared" si="13"/>
        <v>0</v>
      </c>
      <c r="N148" s="53">
        <f t="shared" si="14"/>
        <v>0</v>
      </c>
      <c r="O148" s="52" t="str">
        <f t="shared" si="15"/>
        <v/>
      </c>
      <c r="P148" s="60" t="str">
        <f>IFERROR(__xludf.DUMMYFUNCTION("IF($N148=1,IFERROR(IMPORTXML($I148, ""//p[@class='status-date']""), ""Not Loading""),"""")"),"")</f>
        <v/>
      </c>
      <c r="Q148" s="61"/>
      <c r="R148" s="61"/>
      <c r="S148" s="61"/>
      <c r="T148" s="61"/>
      <c r="U148" s="61" t="str">
        <f t="shared" si="8"/>
        <v>Nicolet</v>
      </c>
      <c r="V148" s="62">
        <f>IFERROR(__xludf.DUMMYFUNCTION("iferror(VALUE(left(index(IMPORTXML(I150, ""//div[@class='col-lg-2 user-stat stat-green']""),2,1),len(index(IMPORTXML(I150, ""//div[@class='col-lg-2 user-stat stat-green']""),2,1))-8)),0)"),2.0)</f>
        <v>2</v>
      </c>
      <c r="W148" s="21"/>
      <c r="X148" s="21"/>
      <c r="Y148" s="21"/>
      <c r="Z148" s="21"/>
    </row>
    <row r="149" ht="15.0" customHeight="1">
      <c r="A149" s="51">
        <f t="shared" si="9"/>
        <v>142</v>
      </c>
      <c r="B149" s="52" t="str">
        <f t="shared" si="2"/>
        <v>Japanse 🍁 Maple 🌿 #142 | R17 - C12</v>
      </c>
      <c r="C149" s="53">
        <v>17.0</v>
      </c>
      <c r="D149" s="53">
        <v>12.0</v>
      </c>
      <c r="E149" s="54" t="s">
        <v>467</v>
      </c>
      <c r="F149" s="54" t="s">
        <v>468</v>
      </c>
      <c r="G149" s="55" t="s">
        <v>39</v>
      </c>
      <c r="H149" s="56" t="str">
        <f t="shared" si="3"/>
        <v>Nicolet</v>
      </c>
      <c r="I149" s="63" t="s">
        <v>469</v>
      </c>
      <c r="J149" s="69"/>
      <c r="K149" s="59" t="b">
        <v>1</v>
      </c>
      <c r="L149" s="53">
        <f t="shared" si="12"/>
        <v>0</v>
      </c>
      <c r="M149" s="53">
        <f t="shared" si="13"/>
        <v>0</v>
      </c>
      <c r="N149" s="53">
        <f t="shared" si="14"/>
        <v>0</v>
      </c>
      <c r="O149" s="52" t="str">
        <f t="shared" si="15"/>
        <v/>
      </c>
      <c r="P149" s="60" t="str">
        <f>IFERROR(__xludf.DUMMYFUNCTION("IF($N149=1,IFERROR(IMPORTXML($I149, ""//p[@class='status-date']""), ""Not Loading""),"""")"),"")</f>
        <v/>
      </c>
      <c r="Q149" s="65"/>
      <c r="R149" s="65"/>
      <c r="S149" s="65"/>
      <c r="T149" s="65"/>
      <c r="U149" s="61" t="str">
        <f t="shared" si="8"/>
        <v>Nicolet</v>
      </c>
      <c r="V149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49" s="21"/>
      <c r="X149" s="21"/>
      <c r="Y149" s="21"/>
      <c r="Z149" s="21"/>
    </row>
    <row r="150" ht="15.0" customHeight="1">
      <c r="A150" s="51">
        <f t="shared" si="9"/>
        <v>143</v>
      </c>
      <c r="B150" s="52" t="str">
        <f t="shared" si="2"/>
        <v>Japanse 🍁 Maple 🌿 #143 | R17 - C13</v>
      </c>
      <c r="C150" s="53">
        <v>17.0</v>
      </c>
      <c r="D150" s="53">
        <v>13.0</v>
      </c>
      <c r="E150" s="54" t="s">
        <v>470</v>
      </c>
      <c r="F150" s="54" t="s">
        <v>471</v>
      </c>
      <c r="G150" s="55" t="s">
        <v>46</v>
      </c>
      <c r="H150" s="56" t="str">
        <f t="shared" si="3"/>
        <v>Kapor24</v>
      </c>
      <c r="I150" s="63" t="s">
        <v>472</v>
      </c>
      <c r="J150" s="64"/>
      <c r="K150" s="59" t="b">
        <v>1</v>
      </c>
      <c r="L150" s="53">
        <f t="shared" si="12"/>
        <v>0</v>
      </c>
      <c r="M150" s="53">
        <f t="shared" si="13"/>
        <v>0</v>
      </c>
      <c r="N150" s="53">
        <f t="shared" si="14"/>
        <v>0</v>
      </c>
      <c r="O150" s="52" t="str">
        <f t="shared" si="15"/>
        <v/>
      </c>
      <c r="P150" s="60" t="str">
        <f>IFERROR(__xludf.DUMMYFUNCTION("IF($N150=1,IFERROR(IMPORTXML($I150, ""//p[@class='status-date']""), ""Not Loading""),"""")"),"")</f>
        <v/>
      </c>
      <c r="Q150" s="61"/>
      <c r="R150" s="61"/>
      <c r="S150" s="61"/>
      <c r="T150" s="61"/>
      <c r="U150" s="61" t="str">
        <f t="shared" si="8"/>
        <v>Kapor24</v>
      </c>
      <c r="V150" s="62">
        <f>IFERROR(__xludf.DUMMYFUNCTION("iferror(VALUE(left(index(IMPORTXML(I152, ""//div[@class='col-lg-2 user-stat stat-green']""),2,1),len(index(IMPORTXML(I152, ""//div[@class='col-lg-2 user-stat stat-green']""),2,1))-8)),0)"),1.0)</f>
        <v>1</v>
      </c>
      <c r="W150" s="21"/>
      <c r="X150" s="21"/>
      <c r="Y150" s="21"/>
      <c r="Z150" s="21"/>
    </row>
    <row r="151" ht="15.0" customHeight="1">
      <c r="A151" s="51">
        <f t="shared" si="9"/>
        <v>144</v>
      </c>
      <c r="B151" s="52" t="str">
        <f t="shared" si="2"/>
        <v>Japanse 🍁 Maple 🌿 #144 | R17 - C14</v>
      </c>
      <c r="C151" s="53">
        <v>17.0</v>
      </c>
      <c r="D151" s="53">
        <v>14.0</v>
      </c>
      <c r="E151" s="54" t="s">
        <v>473</v>
      </c>
      <c r="F151" s="54" t="s">
        <v>474</v>
      </c>
      <c r="G151" s="55" t="s">
        <v>39</v>
      </c>
      <c r="H151" s="56" t="str">
        <f t="shared" si="3"/>
        <v>mathew611</v>
      </c>
      <c r="I151" s="63" t="s">
        <v>475</v>
      </c>
      <c r="J151" s="58"/>
      <c r="K151" s="59" t="b">
        <v>1</v>
      </c>
      <c r="L151" s="53">
        <f t="shared" si="12"/>
        <v>0</v>
      </c>
      <c r="M151" s="53">
        <f t="shared" si="13"/>
        <v>0</v>
      </c>
      <c r="N151" s="53">
        <f t="shared" si="14"/>
        <v>0</v>
      </c>
      <c r="O151" s="52" t="str">
        <f t="shared" si="15"/>
        <v/>
      </c>
      <c r="P151" s="60" t="str">
        <f>IFERROR(__xludf.DUMMYFUNCTION("IF($N151=1,IFERROR(IMPORTXML($I151, ""//p[@class='status-date']""), ""Not Loading""),"""")"),"")</f>
        <v/>
      </c>
      <c r="Q151" s="65"/>
      <c r="R151" s="65"/>
      <c r="S151" s="65"/>
      <c r="T151" s="65"/>
      <c r="U151" s="61" t="str">
        <f t="shared" si="8"/>
        <v>mathew611</v>
      </c>
      <c r="V151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51" s="21"/>
      <c r="X151" s="21"/>
      <c r="Y151" s="21"/>
      <c r="Z151" s="21"/>
    </row>
    <row r="152" ht="15.0" customHeight="1">
      <c r="A152" s="51">
        <f t="shared" si="9"/>
        <v>145</v>
      </c>
      <c r="B152" s="52" t="str">
        <f t="shared" si="2"/>
        <v>Japanse 🍁 Maple 🌿 #145 | R17 - C15</v>
      </c>
      <c r="C152" s="53">
        <v>17.0</v>
      </c>
      <c r="D152" s="53">
        <v>15.0</v>
      </c>
      <c r="E152" s="54" t="s">
        <v>476</v>
      </c>
      <c r="F152" s="54" t="s">
        <v>477</v>
      </c>
      <c r="G152" s="55" t="s">
        <v>35</v>
      </c>
      <c r="H152" s="56" t="str">
        <f t="shared" si="3"/>
        <v>Neloras</v>
      </c>
      <c r="I152" s="63" t="s">
        <v>478</v>
      </c>
      <c r="J152" s="64"/>
      <c r="K152" s="59" t="b">
        <v>1</v>
      </c>
      <c r="L152" s="53">
        <f t="shared" si="12"/>
        <v>0</v>
      </c>
      <c r="M152" s="53">
        <f t="shared" si="13"/>
        <v>0</v>
      </c>
      <c r="N152" s="53">
        <f t="shared" si="14"/>
        <v>0</v>
      </c>
      <c r="O152" s="52" t="str">
        <f t="shared" si="15"/>
        <v/>
      </c>
      <c r="P152" s="60" t="str">
        <f>IFERROR(__xludf.DUMMYFUNCTION("IF($N152=1,IFERROR(IMPORTXML($I152, ""//p[@class='status-date']""), ""Not Loading""),"""")"),"")</f>
        <v/>
      </c>
      <c r="Q152" s="61"/>
      <c r="R152" s="61"/>
      <c r="S152" s="61"/>
      <c r="T152" s="61"/>
      <c r="U152" s="61" t="str">
        <f t="shared" si="8"/>
        <v>Neloras</v>
      </c>
      <c r="V152" s="62">
        <f>IFERROR(__xludf.DUMMYFUNCTION("iferror(VALUE(left(index(IMPORTXML(I154, ""//div[@class='col-lg-2 user-stat stat-green']""),2,1),len(index(IMPORTXML(I154, ""//div[@class='col-lg-2 user-stat stat-green']""),2,1))-8)),0)"),3.0)</f>
        <v>3</v>
      </c>
      <c r="W152" s="21"/>
      <c r="X152" s="21"/>
      <c r="Y152" s="21"/>
      <c r="Z152" s="21"/>
    </row>
    <row r="153" ht="15.0" customHeight="1">
      <c r="A153" s="51">
        <f t="shared" si="9"/>
        <v>146</v>
      </c>
      <c r="B153" s="52" t="str">
        <f t="shared" si="2"/>
        <v>Japanse 🍁 Maple 🌿 #146 | R19 - C9</v>
      </c>
      <c r="C153" s="53">
        <v>19.0</v>
      </c>
      <c r="D153" s="53">
        <v>9.0</v>
      </c>
      <c r="E153" s="54" t="s">
        <v>479</v>
      </c>
      <c r="F153" s="54" t="s">
        <v>480</v>
      </c>
      <c r="G153" s="55" t="s">
        <v>405</v>
      </c>
      <c r="H153" s="56" t="str">
        <f t="shared" si="3"/>
        <v>mathew611</v>
      </c>
      <c r="I153" s="63" t="s">
        <v>481</v>
      </c>
      <c r="J153" s="64"/>
      <c r="K153" s="59" t="b">
        <v>1</v>
      </c>
      <c r="L153" s="53">
        <f t="shared" si="12"/>
        <v>0</v>
      </c>
      <c r="M153" s="53">
        <f t="shared" si="13"/>
        <v>0</v>
      </c>
      <c r="N153" s="53">
        <f t="shared" si="14"/>
        <v>0</v>
      </c>
      <c r="O153" s="52" t="str">
        <f t="shared" si="15"/>
        <v/>
      </c>
      <c r="P153" s="60" t="str">
        <f>IFERROR(__xludf.DUMMYFUNCTION("IF($N153=1,IFERROR(IMPORTXML($I153, ""//p[@class='status-date']""), ""Not Loading""),"""")"),"")</f>
        <v/>
      </c>
      <c r="Q153" s="65"/>
      <c r="R153" s="65"/>
      <c r="S153" s="65"/>
      <c r="T153" s="65"/>
      <c r="U153" s="61" t="str">
        <f t="shared" si="8"/>
        <v>mathew611</v>
      </c>
      <c r="V153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53" s="21"/>
      <c r="X153" s="21"/>
      <c r="Y153" s="21"/>
      <c r="Z153" s="21"/>
    </row>
    <row r="154" ht="15.0" customHeight="1">
      <c r="A154" s="51">
        <f t="shared" si="9"/>
        <v>147</v>
      </c>
      <c r="B154" s="52" t="str">
        <f t="shared" si="2"/>
        <v>Japanse 🍁 Maple 🌿 #147 | R21 - C9</v>
      </c>
      <c r="C154" s="53">
        <v>21.0</v>
      </c>
      <c r="D154" s="53">
        <v>9.0</v>
      </c>
      <c r="E154" s="54" t="s">
        <v>482</v>
      </c>
      <c r="F154" s="54" t="s">
        <v>483</v>
      </c>
      <c r="G154" s="55" t="s">
        <v>405</v>
      </c>
      <c r="H154" s="56" t="str">
        <f t="shared" si="3"/>
        <v>Pronkrug</v>
      </c>
      <c r="I154" s="63" t="s">
        <v>484</v>
      </c>
      <c r="J154" s="58"/>
      <c r="K154" s="59" t="b">
        <v>1</v>
      </c>
      <c r="L154" s="53">
        <f t="shared" si="12"/>
        <v>0</v>
      </c>
      <c r="M154" s="53">
        <f t="shared" si="13"/>
        <v>0</v>
      </c>
      <c r="N154" s="53">
        <f t="shared" si="14"/>
        <v>0</v>
      </c>
      <c r="O154" s="52" t="str">
        <f t="shared" si="15"/>
        <v/>
      </c>
      <c r="P154" s="60" t="str">
        <f>IFERROR(__xludf.DUMMYFUNCTION("IF($N154=1,IFERROR(IMPORTXML($I154, ""//p[@class='status-date']""), ""Not Loading""),"""")"),"")</f>
        <v/>
      </c>
      <c r="Q154" s="61"/>
      <c r="R154" s="61"/>
      <c r="S154" s="61"/>
      <c r="T154" s="61"/>
      <c r="U154" s="61" t="str">
        <f t="shared" si="8"/>
        <v>Pronkrug</v>
      </c>
      <c r="V154" s="62">
        <f>IFERROR(__xludf.DUMMYFUNCTION("iferror(VALUE(left(index(IMPORTXML(#REF!, ""//div[@class='col-lg-2 user-stat stat-green']""),2,1),len(index(IMPORTXML(#REF!, ""//div[@class='col-lg-2 user-stat stat-green']""),2,1))-8)),0)"),0.0)</f>
        <v>0</v>
      </c>
      <c r="W154" s="21"/>
      <c r="X154" s="21"/>
      <c r="Y154" s="21"/>
      <c r="Z154" s="21"/>
    </row>
    <row r="155" ht="15.75" customHeight="1">
      <c r="A155" s="70"/>
      <c r="B155" s="21"/>
      <c r="C155" s="21"/>
      <c r="D155" s="21"/>
      <c r="E155" s="71"/>
      <c r="F155" s="7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70"/>
      <c r="B156" s="21"/>
      <c r="C156" s="21"/>
      <c r="D156" s="21"/>
      <c r="E156" s="71"/>
      <c r="F156" s="7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70"/>
      <c r="B157" s="21"/>
      <c r="C157" s="21"/>
      <c r="D157" s="21"/>
      <c r="E157" s="71"/>
      <c r="F157" s="7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70"/>
      <c r="B158" s="21"/>
      <c r="C158" s="21"/>
      <c r="D158" s="21"/>
      <c r="E158" s="71"/>
      <c r="F158" s="7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70"/>
      <c r="B159" s="21"/>
      <c r="C159" s="21"/>
      <c r="D159" s="21"/>
      <c r="E159" s="71"/>
      <c r="F159" s="7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</sheetData>
  <autoFilter ref="$A$7:$P$98"/>
  <mergeCells count="2">
    <mergeCell ref="K1:P6"/>
    <mergeCell ref="G2:J6"/>
  </mergeCells>
  <conditionalFormatting sqref="H8:H154">
    <cfRule type="expression" dxfId="0" priority="1">
      <formula>$K8=TRUE</formula>
    </cfRule>
  </conditionalFormatting>
  <conditionalFormatting sqref="G1:G154">
    <cfRule type="containsText" dxfId="1" priority="2" operator="containsText" text="Goggles">
      <formula>NOT(ISERROR(SEARCH(("Goggles"),(G1))))</formula>
    </cfRule>
  </conditionalFormatting>
  <conditionalFormatting sqref="G1:G154">
    <cfRule type="containsText" dxfId="2" priority="3" operator="containsText" text="Citrine">
      <formula>NOT(ISERROR(SEARCH(("Citrine"),(G1))))</formula>
    </cfRule>
  </conditionalFormatting>
  <conditionalFormatting sqref="G1:G154">
    <cfRule type="containsText" dxfId="3" priority="4" operator="containsText" text="Onyx">
      <formula>NOT(ISERROR(SEARCH(("Onyx"),(G1))))</formula>
    </cfRule>
  </conditionalFormatting>
  <conditionalFormatting sqref="G1:G154">
    <cfRule type="containsText" dxfId="4" priority="5" operator="containsText" text="POI">
      <formula>NOT(ISERROR(SEARCH(("POI"),(G1))))</formula>
    </cfRule>
  </conditionalFormatting>
  <conditionalFormatting sqref="G1:G154">
    <cfRule type="containsText" dxfId="5" priority="6" operator="containsText" text="Electric M">
      <formula>NOT(ISERROR(SEARCH(("Electric M"),(G1))))</formula>
    </cfRule>
  </conditionalFormatting>
  <conditionalFormatting sqref="G1:G154">
    <cfRule type="containsText" dxfId="6" priority="7" operator="containsText" text="Family">
      <formula>NOT(ISERROR(SEARCH(("Family"),(G1))))</formula>
    </cfRule>
  </conditionalFormatting>
  <conditionalFormatting sqref="G1:G154">
    <cfRule type="containsText" dxfId="7" priority="8" operator="containsText" text="Jelly">
      <formula>NOT(ISERROR(SEARCH(("Jelly"),(G1))))</formula>
    </cfRule>
  </conditionalFormatting>
  <conditionalFormatting sqref="G1:G154">
    <cfRule type="containsText" dxfId="8" priority="9" operator="containsText" text="Bitter">
      <formula>NOT(ISERROR(SEARCH(("Bitter"),(G1))))</formula>
    </cfRule>
  </conditionalFormatting>
  <conditionalFormatting sqref="G1:G154">
    <cfRule type="containsText" dxfId="9" priority="10" operator="containsText" text="Virtual Red">
      <formula>NOT(ISERROR(SEARCH(("Virtual Red"),(G1))))</formula>
    </cfRule>
  </conditionalFormatting>
  <conditionalFormatting sqref="G1:G154">
    <cfRule type="containsText" dxfId="10" priority="11" operator="containsText" text="Timber">
      <formula>NOT(ISERROR(SEARCH(("Timber"),(G1))))</formula>
    </cfRule>
  </conditionalFormatting>
  <conditionalFormatting sqref="G1:G154">
    <cfRule type="containsText" dxfId="11" priority="12" operator="containsText" text="White">
      <formula>NOT(ISERROR(SEARCH(("White"),(G1))))</formula>
    </cfRule>
  </conditionalFormatting>
  <conditionalFormatting sqref="G1:G154">
    <cfRule type="containsText" dxfId="12" priority="13" operator="containsText" text="Rob">
      <formula>NOT(ISERROR(SEARCH(("Rob"),(G1))))</formula>
    </cfRule>
  </conditionalFormatting>
  <conditionalFormatting sqref="G1:G154">
    <cfRule type="containsText" dxfId="13" priority="14" operator="containsText" text="Joystick">
      <formula>NOT(ISERROR(SEARCH(("Joystick"),(G1))))</formula>
    </cfRule>
  </conditionalFormatting>
  <conditionalFormatting sqref="G1:G154">
    <cfRule type="containsText" dxfId="14" priority="15" operator="containsText" text="Wheel">
      <formula>NOT(ISERROR(SEARCH(("Wheel"),(G1))))</formula>
    </cfRule>
  </conditionalFormatting>
  <conditionalFormatting sqref="G1:G154">
    <cfRule type="containsText" dxfId="15" priority="16" operator="containsText" text="Carrot">
      <formula>NOT(ISERROR(SEARCH(("Carrot"),(G1))))</formula>
    </cfRule>
  </conditionalFormatting>
  <conditionalFormatting sqref="G1:G154">
    <cfRule type="cellIs" dxfId="16" priority="17" operator="equal">
      <formula>"Crossbow"</formula>
    </cfRule>
  </conditionalFormatting>
  <conditionalFormatting sqref="G1:G154">
    <cfRule type="containsText" dxfId="17" priority="18" operator="containsText" text="Catapult">
      <formula>NOT(ISERROR(SEARCH(("Catapult"),(G1))))</formula>
    </cfRule>
  </conditionalFormatting>
  <conditionalFormatting sqref="G1:G154">
    <cfRule type="containsText" dxfId="18" priority="19" operator="containsText" text="Car Evo">
      <formula>NOT(ISERROR(SEARCH(("Car Evo"),(G1))))</formula>
    </cfRule>
  </conditionalFormatting>
  <conditionalFormatting sqref="G1:G154">
    <cfRule type="containsText" dxfId="19" priority="20" operator="containsText" text="Sapphire">
      <formula>NOT(ISERROR(SEARCH(("Sapphire"),(G1))))</formula>
    </cfRule>
  </conditionalFormatting>
  <conditionalFormatting sqref="G1:G154">
    <cfRule type="containsText" dxfId="20" priority="21" operator="containsText" text="Dande">
      <formula>NOT(ISERROR(SEARCH(("Dande"),(G1))))</formula>
    </cfRule>
  </conditionalFormatting>
  <conditionalFormatting sqref="G1:G154">
    <cfRule type="containsText" dxfId="21" priority="22" operator="containsText" text="Surprise">
      <formula>NOT(ISERROR(SEARCH(("Surprise"),(G1))))</formula>
    </cfRule>
  </conditionalFormatting>
  <conditionalFormatting sqref="G1:G154">
    <cfRule type="containsText" dxfId="22" priority="23" operator="containsText" text="Field e">
      <formula>NOT(ISERROR(SEARCH(("Field e"),(G1))))</formula>
    </cfRule>
  </conditionalFormatting>
  <conditionalFormatting sqref="G1:G154">
    <cfRule type="containsText" dxfId="23" priority="24" operator="containsText" text="Air Mystery">
      <formula>NOT(ISERROR(SEARCH(("Air Mystery"),(G1))))</formula>
    </cfRule>
  </conditionalFormatting>
  <conditionalFormatting sqref="G1:G154">
    <cfRule type="containsText" dxfId="24" priority="25" operator="containsText" text="White">
      <formula>NOT(ISERROR(SEARCH(("White"),(G1))))</formula>
    </cfRule>
  </conditionalFormatting>
  <conditionalFormatting sqref="G1:G154">
    <cfRule type="containsText" dxfId="25" priority="26" operator="containsText" text="Peas">
      <formula>NOT(ISERROR(SEARCH(("Peas"),(G1))))</formula>
    </cfRule>
  </conditionalFormatting>
  <conditionalFormatting sqref="G1:G154">
    <cfRule type="containsText" dxfId="26" priority="27" operator="containsText" text="Burnt">
      <formula>NOT(ISERROR(SEARCH(("Burnt"),(G1))))</formula>
    </cfRule>
  </conditionalFormatting>
  <conditionalFormatting sqref="G1:G154">
    <cfRule type="containsText" dxfId="27" priority="28" operator="containsText" text="Forest">
      <formula>NOT(ISERROR(SEARCH(("Forest"),(G1))))</formula>
    </cfRule>
  </conditionalFormatting>
  <conditionalFormatting sqref="G1:G154">
    <cfRule type="containsText" dxfId="28" priority="29" operator="containsText" text="Asparagus">
      <formula>NOT(ISERROR(SEARCH(("Asparagus"),(G1))))</formula>
    </cfRule>
  </conditionalFormatting>
  <conditionalFormatting sqref="G1:G154">
    <cfRule type="containsText" dxfId="29" priority="30" operator="containsText" text="Olive">
      <formula>NOT(ISERROR(SEARCH(("Olive"),(G1))))</formula>
    </cfRule>
  </conditionalFormatting>
  <conditionalFormatting sqref="G1:G154">
    <cfRule type="containsText" dxfId="30" priority="31" operator="containsText" text="Yellow Gr">
      <formula>NOT(ISERROR(SEARCH(("Yellow Gr"),(G1))))</formula>
    </cfRule>
  </conditionalFormatting>
  <conditionalFormatting sqref="G1:G154">
    <cfRule type="containsText" dxfId="31" priority="32" operator="containsText" text="Silver">
      <formula>NOT(ISERROR(SEARCH(("Silver"),(G1))))</formula>
    </cfRule>
  </conditionalFormatting>
  <conditionalFormatting sqref="G1:G154">
    <cfRule type="containsText" dxfId="32" priority="33" operator="containsText" text="Eggs">
      <formula>NOT(ISERROR(SEARCH(("Eggs"),(G1))))</formula>
    </cfRule>
  </conditionalFormatting>
  <conditionalFormatting sqref="G1:G154">
    <cfRule type="containsText" dxfId="33" priority="34" operator="containsText" text="Submarine">
      <formula>NOT(ISERROR(SEARCH(("Submarine"),(G1))))</formula>
    </cfRule>
  </conditionalFormatting>
  <conditionalFormatting sqref="G1:G154">
    <cfRule type="containsText" dxfId="34" priority="35" operator="containsText" text="Safari">
      <formula>NOT(ISERROR(SEARCH(("Safari"),(G1))))</formula>
    </cfRule>
  </conditionalFormatting>
  <conditionalFormatting sqref="G1:G154">
    <cfRule type="containsText" dxfId="35" priority="36" operator="containsText" text="Horse">
      <formula>NOT(ISERROR(SEARCH(("Horse"),(G1))))</formula>
    </cfRule>
  </conditionalFormatting>
  <conditionalFormatting sqref="G1:G154">
    <cfRule type="containsText" dxfId="36" priority="37" operator="containsText" text="Amethyst">
      <formula>NOT(ISERROR(SEARCH(("Amethyst"),(G1))))</formula>
    </cfRule>
  </conditionalFormatting>
  <conditionalFormatting sqref="G1:G154">
    <cfRule type="containsText" dxfId="37" priority="38" operator="containsText" text="RUM">
      <formula>NOT(ISERROR(SEARCH(("RUM"),(G1))))</formula>
    </cfRule>
  </conditionalFormatting>
  <conditionalFormatting sqref="G1:G154">
    <cfRule type="containsText" dxfId="38" priority="39" operator="containsText" text="Green">
      <formula>NOT(ISERROR(SEARCH(("Green"),(G1))))</formula>
    </cfRule>
  </conditionalFormatting>
  <conditionalFormatting sqref="G1:G154">
    <cfRule type="containsText" dxfId="39" priority="40" operator="containsText" text="Zodiac">
      <formula>NOT(ISERROR(SEARCH(("Zodiac"),(G1))))</formula>
    </cfRule>
  </conditionalFormatting>
  <conditionalFormatting sqref="G1:G154">
    <cfRule type="containsText" dxfId="40" priority="41" operator="containsText" text="Flat Matt">
      <formula>NOT(ISERROR(SEARCH(("Flat Matt"),(G1))))</formula>
    </cfRule>
  </conditionalFormatting>
  <conditionalFormatting sqref="G1:G154">
    <cfRule type="containsText" dxfId="41" priority="42" operator="containsText" text="Flat Lou">
      <formula>NOT(ISERROR(SEARCH(("Flat Lou"),(G1))))</formula>
    </cfRule>
  </conditionalFormatting>
  <conditionalFormatting sqref="G1:G154">
    <cfRule type="containsText" dxfId="42" priority="43" operator="containsText" text="Hammock">
      <formula>NOT(ISERROR(SEARCH(("Hammock"),(G1))))</formula>
    </cfRule>
  </conditionalFormatting>
  <conditionalFormatting sqref="G1:G154">
    <cfRule type="containsText" dxfId="43" priority="44" operator="containsText" text="Shamrock">
      <formula>NOT(ISERROR(SEARCH(("Shamrock"),(G1))))</formula>
    </cfRule>
  </conditionalFormatting>
  <hyperlinks>
    <hyperlink r:id="rId1" ref="J1"/>
    <hyperlink r:id="rId2" ref="B2"/>
    <hyperlink r:id="rId3" ref="B3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</hyperlinks>
  <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5.5"/>
    <col customWidth="1" min="2" max="2" width="31.5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customWidth="1" hidden="1" min="14" max="27" width="12.63"/>
  </cols>
  <sheetData>
    <row r="1" ht="27.75" customHeight="1">
      <c r="A1" s="72"/>
      <c r="B1" s="73" t="s">
        <v>485</v>
      </c>
      <c r="C1" s="72"/>
      <c r="D1" s="72"/>
      <c r="E1" s="72"/>
      <c r="F1" s="72"/>
      <c r="G1" s="72"/>
      <c r="H1" s="74"/>
      <c r="I1" s="75"/>
      <c r="J1" s="72"/>
      <c r="K1" s="74"/>
      <c r="L1" s="72"/>
      <c r="M1" s="74"/>
      <c r="N1" s="74"/>
      <c r="O1" s="74"/>
      <c r="P1" s="72"/>
      <c r="Q1" s="72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ht="15.75" hidden="1" customHeight="1">
      <c r="A2" s="77"/>
      <c r="B2" s="77"/>
      <c r="C2" s="77"/>
      <c r="D2" s="77"/>
      <c r="E2" s="77"/>
      <c r="F2" s="77"/>
      <c r="G2" s="77"/>
      <c r="H2" s="77"/>
      <c r="I2" s="78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ht="15.75" hidden="1" customHeight="1">
      <c r="A3" s="77"/>
      <c r="B3" s="77"/>
      <c r="C3" s="77"/>
      <c r="D3" s="77"/>
      <c r="E3" s="77"/>
      <c r="F3" s="77"/>
      <c r="G3" s="77"/>
      <c r="H3" s="77"/>
      <c r="I3" s="78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ht="15.75" customHeight="1">
      <c r="A4" s="79"/>
      <c r="B4" s="79"/>
      <c r="C4" s="79"/>
      <c r="D4" s="79"/>
      <c r="E4" s="79"/>
      <c r="F4" s="79"/>
      <c r="G4" s="79"/>
      <c r="H4" s="79"/>
      <c r="I4" s="80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ht="15.75" customHeight="1">
      <c r="A5" s="81"/>
      <c r="B5" s="82" t="str">
        <f>Garden!$B$1</f>
        <v>Japanse 🍁 Maple 🌿</v>
      </c>
      <c r="C5" s="83"/>
      <c r="D5" s="84" t="s">
        <v>486</v>
      </c>
      <c r="E5" s="85" t="s">
        <v>487</v>
      </c>
      <c r="F5" s="86" t="s">
        <v>488</v>
      </c>
      <c r="G5" s="87" t="s">
        <v>489</v>
      </c>
      <c r="H5" s="88" t="s">
        <v>26</v>
      </c>
      <c r="I5" s="89" t="s">
        <v>490</v>
      </c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ht="15.75" customHeight="1">
      <c r="B6" s="91" t="s">
        <v>491</v>
      </c>
      <c r="C6" s="92" t="s">
        <v>492</v>
      </c>
      <c r="D6" s="93">
        <f>counta(Garden!B8:B154)</f>
        <v>147</v>
      </c>
      <c r="E6" s="93">
        <f>countif(Garden!$K:$K,TRUE)</f>
        <v>147</v>
      </c>
      <c r="F6" s="93">
        <f>sum(Garden!$N:$N)</f>
        <v>0</v>
      </c>
      <c r="G6" s="93">
        <f>sum(Garden!$M:$M)</f>
        <v>0</v>
      </c>
      <c r="H6" s="94">
        <f>sum(Garden!$L:$L)</f>
        <v>0</v>
      </c>
      <c r="I6" s="95">
        <f t="shared" ref="I6:I30" si="1">iferror($E6/$D6,0)</f>
        <v>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ht="15.75" customHeight="1">
      <c r="B7" s="96" t="s">
        <v>111</v>
      </c>
      <c r="C7" s="97" t="s">
        <v>493</v>
      </c>
      <c r="D7" s="98">
        <f>countif(Garden!$G:$G,$B7)</f>
        <v>5</v>
      </c>
      <c r="E7" s="98">
        <f>countifs(Garden!$G:$G,$B7,Garden!$K:$K,TRUE)</f>
        <v>5</v>
      </c>
      <c r="F7" s="98">
        <f>countifs(Garden!$G:$G,$B7,Garden!$N:$N,"1")</f>
        <v>0</v>
      </c>
      <c r="G7" s="98">
        <f>countifs(Garden!$G:$G,$B7,Garden!$M:$M,"1")</f>
        <v>0</v>
      </c>
      <c r="H7" s="99">
        <f>countifs(Garden!$G:$G,$B7,Garden!$L:$L,"1")</f>
        <v>0</v>
      </c>
      <c r="I7" s="100">
        <f t="shared" si="1"/>
        <v>1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 ht="15.75" customHeight="1">
      <c r="B8" s="96" t="s">
        <v>77</v>
      </c>
      <c r="C8" s="97" t="s">
        <v>494</v>
      </c>
      <c r="D8" s="98">
        <f>countif(Garden!$G:$G,$B8)</f>
        <v>8</v>
      </c>
      <c r="E8" s="98">
        <f>countifs(Garden!$G:$G,$B8,Garden!$K:$K,TRUE)</f>
        <v>8</v>
      </c>
      <c r="F8" s="98">
        <f>countifs(Garden!$G:$G,$B8,Garden!$N:$N,"1")</f>
        <v>0</v>
      </c>
      <c r="G8" s="98">
        <f>countifs(Garden!$G:$G,$B8,Garden!$M:$M,"1")</f>
        <v>0</v>
      </c>
      <c r="H8" s="99">
        <f>countifs(Garden!$G:$G,$B8,Garden!$L:$L,"1")</f>
        <v>0</v>
      </c>
      <c r="I8" s="100">
        <f t="shared" si="1"/>
        <v>1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ht="15.75" customHeight="1">
      <c r="B9" s="96" t="s">
        <v>50</v>
      </c>
      <c r="C9" s="97" t="s">
        <v>494</v>
      </c>
      <c r="D9" s="98">
        <f>countif(Garden!$G:$G,$B9)</f>
        <v>6</v>
      </c>
      <c r="E9" s="98">
        <f>countifs(Garden!$G:$G,$B9,Garden!$K:$K,TRUE)</f>
        <v>6</v>
      </c>
      <c r="F9" s="98">
        <f>countifs(Garden!$G:$G,$B9,Garden!$N:$N,"1")</f>
        <v>0</v>
      </c>
      <c r="G9" s="98">
        <f>countifs(Garden!$G:$G,$B9,Garden!$M:$M,"1")</f>
        <v>0</v>
      </c>
      <c r="H9" s="99">
        <f>countifs(Garden!$G:$G,$B9,Garden!$L:$L,"1")</f>
        <v>0</v>
      </c>
      <c r="I9" s="100">
        <f t="shared" si="1"/>
        <v>1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ht="15.75" customHeight="1">
      <c r="B10" s="96" t="s">
        <v>310</v>
      </c>
      <c r="C10" s="97" t="s">
        <v>494</v>
      </c>
      <c r="D10" s="98">
        <f>countif(Garden!$G:$G,$B10)</f>
        <v>6</v>
      </c>
      <c r="E10" s="98">
        <f>countifs(Garden!$G:$G,$B10,Garden!$K:$K,TRUE)</f>
        <v>6</v>
      </c>
      <c r="F10" s="98">
        <f>countifs(Garden!$G:$G,$B10,Garden!$N:$N,"1")</f>
        <v>0</v>
      </c>
      <c r="G10" s="98">
        <f>countifs(Garden!$G:$G,$B10,Garden!$M:$M,"1")</f>
        <v>0</v>
      </c>
      <c r="H10" s="99">
        <f>countifs(Garden!$G:$G,$B10,Garden!$L:$L,"1")</f>
        <v>0</v>
      </c>
      <c r="I10" s="100">
        <f t="shared" si="1"/>
        <v>1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ht="15.75" customHeight="1">
      <c r="B11" s="96" t="s">
        <v>39</v>
      </c>
      <c r="C11" s="97" t="s">
        <v>495</v>
      </c>
      <c r="D11" s="101">
        <f>countif(Garden!$G:$G,$B11)</f>
        <v>34</v>
      </c>
      <c r="E11" s="101">
        <f>countifs(Garden!$G:$G,$B11,Garden!$K:$K,TRUE)</f>
        <v>34</v>
      </c>
      <c r="F11" s="101">
        <f>countifs(Garden!$G:$G,$B11,Garden!$N:$N,"1")</f>
        <v>0</v>
      </c>
      <c r="G11" s="101">
        <f>countifs(Garden!$G:$G,$B11,Garden!$M:$M,"1")</f>
        <v>0</v>
      </c>
      <c r="H11" s="102">
        <f>countifs(Garden!$G:$G,$B11,Garden!$L:$L,"1")</f>
        <v>0</v>
      </c>
      <c r="I11" s="103">
        <f t="shared" si="1"/>
        <v>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ht="15.75" customHeight="1">
      <c r="B12" s="104" t="s">
        <v>35</v>
      </c>
      <c r="C12" s="97" t="s">
        <v>495</v>
      </c>
      <c r="D12" s="101">
        <f>countif(Garden!$G:$G,$B12)</f>
        <v>5</v>
      </c>
      <c r="E12" s="101">
        <f>countifs(Garden!$G:$G,$B12,Garden!$K:$K,TRUE)</f>
        <v>5</v>
      </c>
      <c r="F12" s="101">
        <f>countifs(Garden!$G:$G,$B12,Garden!$N:$N,"1")</f>
        <v>0</v>
      </c>
      <c r="G12" s="101">
        <f>countifs(Garden!$G:$G,$B12,Garden!$M:$M,"1")</f>
        <v>0</v>
      </c>
      <c r="H12" s="102">
        <f>countifs(Garden!$G:$G,$B12,Garden!$L:$L,"1")</f>
        <v>0</v>
      </c>
      <c r="I12" s="103">
        <f t="shared" si="1"/>
        <v>1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ht="15.75" customHeight="1">
      <c r="B13" s="105" t="s">
        <v>405</v>
      </c>
      <c r="C13" s="97" t="s">
        <v>496</v>
      </c>
      <c r="D13" s="101">
        <f>countif(Garden!$G:$G,$B13)</f>
        <v>4</v>
      </c>
      <c r="E13" s="101">
        <f>countifs(Garden!$G:$G,$B13,Garden!$K:$K,TRUE)</f>
        <v>4</v>
      </c>
      <c r="F13" s="101">
        <f>countifs(Garden!$G:$G,$B13,Garden!$N:$N,"1")</f>
        <v>0</v>
      </c>
      <c r="G13" s="101">
        <f>countifs(Garden!$G:$G,$B13,Garden!$M:$M,"1")</f>
        <v>0</v>
      </c>
      <c r="H13" s="102">
        <f>countifs(Garden!$G:$G,$B13,Garden!$L:$L,"1")</f>
        <v>0</v>
      </c>
      <c r="I13" s="103">
        <f t="shared" si="1"/>
        <v>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ht="15.75" customHeight="1">
      <c r="B14" s="105" t="s">
        <v>64</v>
      </c>
      <c r="C14" s="97" t="s">
        <v>497</v>
      </c>
      <c r="D14" s="101">
        <f>countif(Garden!$G:$G,$B14)</f>
        <v>23</v>
      </c>
      <c r="E14" s="101">
        <f>countifs(Garden!$G:$G,$B14,Garden!$K:$K,TRUE)</f>
        <v>23</v>
      </c>
      <c r="F14" s="101">
        <f>countifs(Garden!$G:$G,$B14,Garden!$N:$N,"1")</f>
        <v>0</v>
      </c>
      <c r="G14" s="101">
        <f>countifs(Garden!$G:$G,$B14,Garden!$M:$M,"1")</f>
        <v>0</v>
      </c>
      <c r="H14" s="102">
        <f>countifs(Garden!$G:$G,$B14,Garden!$L:$L,"1")</f>
        <v>0</v>
      </c>
      <c r="I14" s="103">
        <f t="shared" si="1"/>
        <v>1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ht="15.75" customHeight="1">
      <c r="B15" s="96" t="s">
        <v>60</v>
      </c>
      <c r="C15" s="97" t="s">
        <v>497</v>
      </c>
      <c r="D15" s="101">
        <f>countif(Garden!$G:$G,$B15)</f>
        <v>23</v>
      </c>
      <c r="E15" s="101">
        <f>countifs(Garden!$G:$G,$B15,Garden!$K:$K,TRUE)</f>
        <v>23</v>
      </c>
      <c r="F15" s="101">
        <f>countifs(Garden!$G:$G,$B15,Garden!$N:$N,"1")</f>
        <v>0</v>
      </c>
      <c r="G15" s="101">
        <f>countifs(Garden!$G:$G,$B15,Garden!$M:$M,"1")</f>
        <v>0</v>
      </c>
      <c r="H15" s="102">
        <f>countifs(Garden!$G:$G,$B15,Garden!$L:$L,"1")</f>
        <v>0</v>
      </c>
      <c r="I15" s="103">
        <f t="shared" si="1"/>
        <v>1</v>
      </c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ht="15.75" customHeight="1">
      <c r="B16" s="104" t="s">
        <v>46</v>
      </c>
      <c r="C16" s="97" t="s">
        <v>498</v>
      </c>
      <c r="D16" s="101">
        <f>countif(Garden!$G:$G,$B16)</f>
        <v>32</v>
      </c>
      <c r="E16" s="101">
        <f>countifs(Garden!$G:$G,$B16,Garden!$K:$K,TRUE)</f>
        <v>32</v>
      </c>
      <c r="F16" s="101">
        <f>countifs(Garden!$G:$G,$B16,Garden!$N:$N,"1")</f>
        <v>0</v>
      </c>
      <c r="G16" s="101">
        <f>countifs(Garden!$G:$G,$B16,Garden!$M:$M,"1")</f>
        <v>0</v>
      </c>
      <c r="H16" s="102">
        <f>countifs(Garden!$G:$G,$B16,Garden!$L:$L,"1")</f>
        <v>0</v>
      </c>
      <c r="I16" s="103">
        <f t="shared" si="1"/>
        <v>1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ht="15.75" hidden="1" customHeight="1">
      <c r="B17" s="106"/>
      <c r="C17" s="107" t="s">
        <v>499</v>
      </c>
      <c r="D17" s="101">
        <f>countif(Garden!$G:$G,$B17)</f>
        <v>0</v>
      </c>
      <c r="E17" s="101">
        <f>countifs(Garden!$G:$G,$B17,Garden!$K:$K,TRUE)</f>
        <v>0</v>
      </c>
      <c r="F17" s="101">
        <f>countifs(Garden!$G:$G,$B17,Garden!$N:$N,"1")</f>
        <v>0</v>
      </c>
      <c r="G17" s="101">
        <f>countifs(Garden!$G:$G,$B17,Garden!$M:$M,"1")</f>
        <v>0</v>
      </c>
      <c r="H17" s="102">
        <f>countifs(Garden!$G:$G,$B17,Garden!$L:$L,"1")</f>
        <v>0</v>
      </c>
      <c r="I17" s="103">
        <f t="shared" si="1"/>
        <v>0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ht="15.75" hidden="1" customHeight="1">
      <c r="B18" s="106"/>
      <c r="C18" s="107" t="s">
        <v>499</v>
      </c>
      <c r="D18" s="98">
        <f>countif(Garden!$G:$G,$B18)</f>
        <v>0</v>
      </c>
      <c r="E18" s="98">
        <f>countifs(Garden!$G:$G,$B18,Garden!$K:$K,TRUE)</f>
        <v>0</v>
      </c>
      <c r="F18" s="98">
        <f>countifs(Garden!$G:$G,$B18,Garden!$N:$N,"1")</f>
        <v>0</v>
      </c>
      <c r="G18" s="98">
        <f>countifs(Garden!$G:$G,$B18,Garden!$M:$M,"1")</f>
        <v>0</v>
      </c>
      <c r="H18" s="99">
        <f>countifs(Garden!$G:$G,$B18,Garden!$L:$L,"1")</f>
        <v>0</v>
      </c>
      <c r="I18" s="100">
        <f t="shared" si="1"/>
        <v>0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ht="15.75" hidden="1" customHeight="1">
      <c r="B19" s="106"/>
      <c r="C19" s="107" t="s">
        <v>499</v>
      </c>
      <c r="D19" s="101">
        <f>countif(Garden!$G:$G,$B19)</f>
        <v>0</v>
      </c>
      <c r="E19" s="101">
        <f>countifs(Garden!$G:$G,$B19,Garden!$K:$K,TRUE)</f>
        <v>0</v>
      </c>
      <c r="F19" s="101">
        <f>countifs(Garden!$G:$G,$B19,Garden!$N:$N,"1")</f>
        <v>0</v>
      </c>
      <c r="G19" s="101">
        <f>countifs(Garden!$G:$G,$B19,Garden!$M:$M,"1")</f>
        <v>0</v>
      </c>
      <c r="H19" s="102">
        <f>countifs(Garden!$G:$G,$B19,Garden!$L:$L,"1")</f>
        <v>0</v>
      </c>
      <c r="I19" s="103">
        <f t="shared" si="1"/>
        <v>0</v>
      </c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ht="15.75" hidden="1" customHeight="1">
      <c r="B20" s="106"/>
      <c r="C20" s="107" t="s">
        <v>496</v>
      </c>
      <c r="D20" s="101">
        <f>countif(Garden!$G:$G,$B20)</f>
        <v>0</v>
      </c>
      <c r="E20" s="101">
        <f>countifs(Garden!$G:$G,$B20,Garden!$K:$K,TRUE)</f>
        <v>0</v>
      </c>
      <c r="F20" s="101">
        <f>countifs(Garden!$G:$G,$B20,Garden!$N:$N,"1")</f>
        <v>0</v>
      </c>
      <c r="G20" s="101">
        <f>countifs(Garden!$G:$G,$B20,Garden!$M:$M,"1")</f>
        <v>0</v>
      </c>
      <c r="H20" s="102">
        <f>countifs(Garden!$G:$G,$B20,Garden!$L:$L,"1")</f>
        <v>0</v>
      </c>
      <c r="I20" s="103">
        <f t="shared" si="1"/>
        <v>0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ht="15.75" hidden="1" customHeight="1">
      <c r="B21" s="106"/>
      <c r="C21" s="107" t="s">
        <v>496</v>
      </c>
      <c r="D21" s="101">
        <f>countif(Garden!$G:$G,$B21)</f>
        <v>0</v>
      </c>
      <c r="E21" s="101">
        <f>countifs(Garden!$G:$G,$B21,Garden!$K:$K,TRUE)</f>
        <v>0</v>
      </c>
      <c r="F21" s="101">
        <f>countifs(Garden!$G:$G,$B21,Garden!$N:$N,"1")</f>
        <v>0</v>
      </c>
      <c r="G21" s="101">
        <f>countifs(Garden!$G:$G,$B21,Garden!$M:$M,"1")</f>
        <v>0</v>
      </c>
      <c r="H21" s="102">
        <f>countifs(Garden!$G:$G,$B21,Garden!$L:$L,"1")</f>
        <v>0</v>
      </c>
      <c r="I21" s="103">
        <f t="shared" si="1"/>
        <v>0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ht="15.75" hidden="1" customHeight="1">
      <c r="B22" s="106"/>
      <c r="C22" s="107" t="s">
        <v>494</v>
      </c>
      <c r="D22" s="101">
        <f>countif(Garden!$G:$G,$B22)</f>
        <v>0</v>
      </c>
      <c r="E22" s="101">
        <f>countifs(Garden!$G:$G,$B22,Garden!$K:$K,TRUE)</f>
        <v>0</v>
      </c>
      <c r="F22" s="101">
        <f>countifs(Garden!$G:$G,$B22,Garden!$N:$N,"1")</f>
        <v>0</v>
      </c>
      <c r="G22" s="101">
        <f>countifs(Garden!$G:$G,$B22,Garden!$M:$M,"1")</f>
        <v>0</v>
      </c>
      <c r="H22" s="102">
        <f>countifs(Garden!$G:$G,$B22,Garden!$L:$L,"1")</f>
        <v>0</v>
      </c>
      <c r="I22" s="103">
        <f t="shared" si="1"/>
        <v>0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ht="15.75" hidden="1" customHeight="1">
      <c r="B23" s="106"/>
      <c r="C23" s="107" t="s">
        <v>494</v>
      </c>
      <c r="D23" s="101">
        <f>countif(Garden!$G:$G,$B23)</f>
        <v>0</v>
      </c>
      <c r="E23" s="101">
        <f>countifs(Garden!$G:$G,$B23,Garden!$K:$K,TRUE)</f>
        <v>0</v>
      </c>
      <c r="F23" s="101">
        <f>countifs(Garden!$G:$G,$B23,Garden!$N:$N,"1")</f>
        <v>0</v>
      </c>
      <c r="G23" s="101">
        <f>countifs(Garden!$G:$G,$B23,Garden!$M:$M,"1")</f>
        <v>0</v>
      </c>
      <c r="H23" s="102">
        <f>countifs(Garden!$G:$G,$B23,Garden!$L:$L,"1")</f>
        <v>0</v>
      </c>
      <c r="I23" s="103">
        <f t="shared" si="1"/>
        <v>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ht="15.75" hidden="1" customHeight="1">
      <c r="B24" s="108"/>
      <c r="C24" s="107" t="s">
        <v>493</v>
      </c>
      <c r="D24" s="101">
        <f>countif(Garden!$G:$G,$B24)</f>
        <v>0</v>
      </c>
      <c r="E24" s="101">
        <f>countifs(Garden!$G:$G,$B24,Garden!$K:$K,TRUE)</f>
        <v>0</v>
      </c>
      <c r="F24" s="101">
        <f>countifs(Garden!$G:$G,$B24,Garden!$N:$N,"1")</f>
        <v>0</v>
      </c>
      <c r="G24" s="101">
        <f>countifs(Garden!$G:$G,$B24,Garden!$M:$M,"1")</f>
        <v>0</v>
      </c>
      <c r="H24" s="102">
        <f>countifs(Garden!$G:$G,$B24,Garden!$L:$L,"1")</f>
        <v>0</v>
      </c>
      <c r="I24" s="103">
        <f t="shared" si="1"/>
        <v>0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ht="15.75" hidden="1" customHeight="1">
      <c r="B25" s="106"/>
      <c r="C25" s="107" t="s">
        <v>500</v>
      </c>
      <c r="D25" s="101">
        <f>countif(Garden!$G:$G,$B25)</f>
        <v>0</v>
      </c>
      <c r="E25" s="101">
        <f>countifs(Garden!$G:$G,$B25,Garden!$K:$K,TRUE)</f>
        <v>0</v>
      </c>
      <c r="F25" s="101">
        <f>countifs(Garden!$G:$G,$B25,Garden!$N:$N,"1")</f>
        <v>0</v>
      </c>
      <c r="G25" s="101">
        <f>countifs(Garden!$G:$G,$B25,Garden!$M:$M,"1")</f>
        <v>0</v>
      </c>
      <c r="H25" s="102">
        <f>countifs(Garden!$G:$G,$B25,Garden!$L:$L,"1")</f>
        <v>0</v>
      </c>
      <c r="I25" s="103">
        <f t="shared" si="1"/>
        <v>0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ht="15.75" customHeight="1">
      <c r="B26" s="109" t="s">
        <v>344</v>
      </c>
      <c r="C26" s="110" t="s">
        <v>501</v>
      </c>
      <c r="D26" s="111">
        <f>countif(Garden!$G:$G,$B26)</f>
        <v>1</v>
      </c>
      <c r="E26" s="111">
        <f>countifs(Garden!$G:$G,$B26,Garden!$K:$K,TRUE)</f>
        <v>1</v>
      </c>
      <c r="F26" s="111">
        <f>countifs(Garden!$G:$G,$B26,Garden!$N:$N,"1")</f>
        <v>0</v>
      </c>
      <c r="G26" s="111">
        <f>countifs(Garden!$G:$G,$B26,Garden!$M:$M,"1")</f>
        <v>0</v>
      </c>
      <c r="H26" s="112">
        <f>countifs(Garden!$G:$G,$B26,Garden!$L:$L,"1")</f>
        <v>0</v>
      </c>
      <c r="I26" s="113">
        <f t="shared" si="1"/>
        <v>1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ht="15.75" hidden="1" customHeight="1">
      <c r="B27" s="106"/>
      <c r="C27" s="107" t="s">
        <v>502</v>
      </c>
      <c r="D27" s="98">
        <f>countif(Garden!$G:$G,$B27)</f>
        <v>0</v>
      </c>
      <c r="E27" s="98">
        <f>countifs(Garden!$G:$G,$B27,Garden!$K:$K,TRUE)</f>
        <v>0</v>
      </c>
      <c r="F27" s="98">
        <f>countifs(Garden!$G:$G,$B27,Garden!$N:$N,"1")</f>
        <v>0</v>
      </c>
      <c r="G27" s="98">
        <f>countifs(Garden!$G:$G,$B27,Garden!$M:$M,"1")</f>
        <v>0</v>
      </c>
      <c r="H27" s="99">
        <f>countifs(Garden!$G:$G,$B27,Garden!$L:$L,"1")</f>
        <v>0</v>
      </c>
      <c r="I27" s="100">
        <f t="shared" si="1"/>
        <v>0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ht="15.75" hidden="1" customHeight="1">
      <c r="B28" s="106"/>
      <c r="C28" s="107" t="s">
        <v>502</v>
      </c>
      <c r="D28" s="101">
        <f>countif(Garden!$G:$G,$B28)</f>
        <v>0</v>
      </c>
      <c r="E28" s="101">
        <f>countifs(Garden!$G:$G,$B28,Garden!$K:$K,TRUE)</f>
        <v>0</v>
      </c>
      <c r="F28" s="101">
        <f>countifs(Garden!$G:$G,$B28,Garden!$N:$N,"1")</f>
        <v>0</v>
      </c>
      <c r="G28" s="101">
        <f>countifs(Garden!$G:$G,$B28,Garden!$M:$M,"1")</f>
        <v>0</v>
      </c>
      <c r="H28" s="102">
        <f>countifs(Garden!$G:$G,$B28,Garden!$L:$L,"1")</f>
        <v>0</v>
      </c>
      <c r="I28" s="103">
        <f t="shared" si="1"/>
        <v>0</v>
      </c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ht="15.75" hidden="1" customHeight="1">
      <c r="B29" s="106"/>
      <c r="C29" s="107" t="s">
        <v>502</v>
      </c>
      <c r="D29" s="101">
        <f>countif(Garden!$G:$G,$B29)</f>
        <v>0</v>
      </c>
      <c r="E29" s="101">
        <f>countifs(Garden!$G:$G,$B29,Garden!$K:$K,TRUE)</f>
        <v>0</v>
      </c>
      <c r="F29" s="101">
        <f>countifs(Garden!$G:$G,$B29,Garden!$N:$N,"1")</f>
        <v>0</v>
      </c>
      <c r="G29" s="101">
        <f>countifs(Garden!$G:$G,$B29,Garden!$M:$M,"1")</f>
        <v>0</v>
      </c>
      <c r="H29" s="102">
        <f>countifs(Garden!$G:$G,$B29,Garden!$L:$L,"1")</f>
        <v>0</v>
      </c>
      <c r="I29" s="103">
        <f t="shared" si="1"/>
        <v>0</v>
      </c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ht="15.75" hidden="1" customHeight="1">
      <c r="B30" s="106"/>
      <c r="C30" s="107" t="s">
        <v>502</v>
      </c>
      <c r="D30" s="101">
        <f>countif(Garden!$G:$G,$B30)</f>
        <v>0</v>
      </c>
      <c r="E30" s="101">
        <f>countifs(Garden!$G:$G,$B30,Garden!$K:$K,TRUE)</f>
        <v>0</v>
      </c>
      <c r="F30" s="101">
        <f>countifs(Garden!$G:$G,$B30,Garden!$N:$N,"1")</f>
        <v>0</v>
      </c>
      <c r="G30" s="101">
        <f>countifs(Garden!$G:$G,$B30,Garden!$M:$M,"1")</f>
        <v>0</v>
      </c>
      <c r="H30" s="102">
        <f>countifs(Garden!$G:$G,$B30,Garden!$L:$L,"1")</f>
        <v>0</v>
      </c>
      <c r="I30" s="103">
        <f t="shared" si="1"/>
        <v>0</v>
      </c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ht="15.75" customHeight="1">
      <c r="B31" s="114"/>
      <c r="C31" s="77"/>
      <c r="D31" s="77"/>
      <c r="E31" s="77"/>
      <c r="F31" s="77"/>
      <c r="G31" s="77"/>
      <c r="H31" s="77"/>
      <c r="I31" s="78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ht="15.75" hidden="1" customHeight="1">
      <c r="B32" s="114"/>
      <c r="C32" s="77"/>
      <c r="D32" s="77"/>
      <c r="E32" s="77"/>
      <c r="F32" s="77"/>
      <c r="G32" s="77"/>
      <c r="H32" s="77"/>
      <c r="I32" s="78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ht="15.75" hidden="1" customHeight="1">
      <c r="B33" s="114"/>
      <c r="C33" s="77"/>
      <c r="D33" s="77"/>
      <c r="E33" s="77"/>
      <c r="F33" s="77"/>
      <c r="G33" s="77"/>
      <c r="H33" s="77"/>
      <c r="I33" s="78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ht="15.75" hidden="1" customHeight="1">
      <c r="B34" s="114"/>
      <c r="C34" s="77"/>
      <c r="D34" s="77"/>
      <c r="E34" s="77"/>
      <c r="F34" s="77"/>
      <c r="G34" s="77"/>
      <c r="H34" s="77"/>
      <c r="I34" s="78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ht="15.75" customHeight="1">
      <c r="B35" s="114" t="s">
        <v>503</v>
      </c>
      <c r="C35" s="77"/>
      <c r="D35" s="77"/>
      <c r="E35" s="77"/>
      <c r="F35" s="77"/>
      <c r="G35" s="77"/>
      <c r="H35" s="77"/>
      <c r="I35" s="78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ht="15.75" customHeight="1">
      <c r="B36" s="115" t="s">
        <v>504</v>
      </c>
      <c r="C36" s="77"/>
      <c r="D36" s="77"/>
      <c r="E36" s="77"/>
      <c r="F36" s="77"/>
      <c r="G36" s="77"/>
      <c r="H36" s="77"/>
      <c r="I36" s="78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ht="15.75" customHeight="1">
      <c r="B37" s="77"/>
      <c r="C37" s="77"/>
      <c r="D37" s="77"/>
      <c r="E37" s="77"/>
      <c r="F37" s="77"/>
      <c r="G37" s="77"/>
      <c r="H37" s="77"/>
      <c r="I37" s="78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ht="15.75" customHeight="1">
      <c r="B38" s="114"/>
      <c r="C38" s="77"/>
      <c r="D38" s="77"/>
      <c r="E38" s="77"/>
      <c r="F38" s="77"/>
      <c r="G38" s="77"/>
      <c r="H38" s="77"/>
      <c r="I38" s="78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ht="15.75" hidden="1" customHeight="1">
      <c r="A39" s="77"/>
      <c r="B39" s="115" t="s">
        <v>504</v>
      </c>
      <c r="C39" s="77"/>
      <c r="D39" s="77"/>
      <c r="E39" s="77"/>
      <c r="F39" s="77"/>
      <c r="G39" s="77"/>
      <c r="H39" s="77"/>
      <c r="I39" s="78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ht="15.75" hidden="1" customHeight="1">
      <c r="A40" s="77"/>
      <c r="B40" s="77"/>
      <c r="C40" s="77"/>
      <c r="D40" s="77"/>
      <c r="E40" s="77"/>
      <c r="F40" s="77"/>
      <c r="G40" s="77"/>
      <c r="H40" s="77"/>
      <c r="I40" s="78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ht="15.75" hidden="1" customHeight="1">
      <c r="A41" s="77"/>
      <c r="B41" s="77"/>
      <c r="C41" s="77"/>
      <c r="D41" s="77"/>
      <c r="E41" s="77"/>
      <c r="F41" s="77"/>
      <c r="G41" s="77"/>
      <c r="H41" s="77"/>
      <c r="I41" s="78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ht="15.75" hidden="1" customHeight="1">
      <c r="A42" s="77"/>
      <c r="B42" s="77"/>
      <c r="C42" s="77"/>
      <c r="D42" s="77"/>
      <c r="E42" s="77"/>
      <c r="F42" s="77"/>
      <c r="G42" s="77"/>
      <c r="H42" s="77"/>
      <c r="I42" s="78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ht="15.75" hidden="1" customHeight="1">
      <c r="A43" s="77"/>
      <c r="B43" s="77"/>
      <c r="C43" s="77"/>
      <c r="D43" s="77"/>
      <c r="E43" s="77"/>
      <c r="F43" s="77"/>
      <c r="G43" s="77"/>
      <c r="H43" s="77"/>
      <c r="I43" s="78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ht="15.75" hidden="1" customHeight="1">
      <c r="A44" s="77"/>
      <c r="B44" s="77"/>
      <c r="C44" s="77"/>
      <c r="D44" s="77"/>
      <c r="E44" s="77"/>
      <c r="F44" s="77"/>
      <c r="G44" s="77"/>
      <c r="H44" s="77"/>
      <c r="I44" s="78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ht="15.75" hidden="1" customHeight="1">
      <c r="A45" s="77"/>
      <c r="B45" s="77"/>
      <c r="C45" s="77"/>
      <c r="D45" s="77"/>
      <c r="E45" s="77"/>
      <c r="F45" s="77"/>
      <c r="G45" s="77"/>
      <c r="H45" s="77"/>
      <c r="I45" s="78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ht="15.75" hidden="1" customHeight="1">
      <c r="A46" s="77"/>
      <c r="B46" s="77"/>
      <c r="C46" s="77"/>
      <c r="D46" s="77"/>
      <c r="E46" s="77"/>
      <c r="F46" s="77"/>
      <c r="G46" s="77"/>
      <c r="H46" s="77"/>
      <c r="I46" s="78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ht="15.75" hidden="1" customHeight="1">
      <c r="A47" s="77"/>
      <c r="B47" s="77"/>
      <c r="C47" s="77"/>
      <c r="D47" s="77"/>
      <c r="E47" s="77"/>
      <c r="F47" s="77"/>
      <c r="G47" s="77"/>
      <c r="H47" s="77"/>
      <c r="I47" s="78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ht="15.75" hidden="1" customHeight="1">
      <c r="A48" s="77"/>
      <c r="B48" s="77"/>
      <c r="C48" s="77"/>
      <c r="D48" s="77"/>
      <c r="E48" s="77"/>
      <c r="F48" s="77"/>
      <c r="G48" s="77"/>
      <c r="H48" s="77"/>
      <c r="I48" s="78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ht="15.75" hidden="1" customHeight="1">
      <c r="A49" s="77"/>
      <c r="B49" s="77"/>
      <c r="C49" s="77"/>
      <c r="D49" s="77"/>
      <c r="E49" s="77"/>
      <c r="F49" s="77"/>
      <c r="G49" s="77"/>
      <c r="H49" s="77"/>
      <c r="I49" s="78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ht="15.75" hidden="1" customHeight="1">
      <c r="A50" s="77"/>
      <c r="B50" s="77"/>
      <c r="C50" s="77"/>
      <c r="D50" s="77"/>
      <c r="E50" s="77"/>
      <c r="F50" s="77"/>
      <c r="G50" s="77"/>
      <c r="H50" s="77"/>
      <c r="I50" s="78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ht="15.75" hidden="1" customHeight="1">
      <c r="A51" s="77"/>
      <c r="B51" s="77"/>
      <c r="C51" s="77"/>
      <c r="D51" s="77"/>
      <c r="E51" s="77"/>
      <c r="F51" s="77"/>
      <c r="G51" s="77"/>
      <c r="H51" s="77"/>
      <c r="I51" s="78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ht="15.75" hidden="1" customHeight="1">
      <c r="A52" s="77"/>
      <c r="B52" s="77"/>
      <c r="C52" s="77"/>
      <c r="D52" s="77"/>
      <c r="E52" s="77"/>
      <c r="F52" s="77"/>
      <c r="G52" s="77"/>
      <c r="H52" s="77"/>
      <c r="I52" s="78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ht="15.75" hidden="1" customHeight="1">
      <c r="A53" s="77"/>
      <c r="B53" s="77"/>
      <c r="C53" s="77"/>
      <c r="D53" s="77"/>
      <c r="E53" s="77"/>
      <c r="F53" s="77"/>
      <c r="G53" s="77"/>
      <c r="H53" s="77"/>
      <c r="I53" s="78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ht="15.75" hidden="1" customHeight="1">
      <c r="A54" s="77"/>
      <c r="B54" s="77"/>
      <c r="C54" s="77"/>
      <c r="D54" s="77"/>
      <c r="E54" s="77"/>
      <c r="F54" s="77"/>
      <c r="G54" s="77"/>
      <c r="H54" s="77"/>
      <c r="I54" s="78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ht="15.75" hidden="1" customHeight="1">
      <c r="A55" s="77"/>
      <c r="B55" s="77"/>
      <c r="C55" s="77"/>
      <c r="D55" s="77"/>
      <c r="E55" s="77"/>
      <c r="F55" s="77"/>
      <c r="G55" s="77"/>
      <c r="H55" s="77"/>
      <c r="I55" s="78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ht="15.75" hidden="1" customHeight="1">
      <c r="A56" s="77"/>
      <c r="B56" s="77"/>
      <c r="C56" s="77"/>
      <c r="D56" s="77"/>
      <c r="E56" s="77"/>
      <c r="F56" s="77"/>
      <c r="G56" s="77"/>
      <c r="H56" s="77"/>
      <c r="I56" s="78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ht="15.75" hidden="1" customHeight="1">
      <c r="A57" s="77"/>
      <c r="B57" s="77"/>
      <c r="C57" s="77"/>
      <c r="D57" s="77"/>
      <c r="E57" s="77"/>
      <c r="F57" s="77"/>
      <c r="G57" s="77"/>
      <c r="H57" s="77"/>
      <c r="I57" s="78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ht="15.75" hidden="1" customHeight="1">
      <c r="A58" s="77"/>
      <c r="B58" s="77"/>
      <c r="C58" s="77"/>
      <c r="D58" s="77"/>
      <c r="E58" s="77"/>
      <c r="F58" s="77"/>
      <c r="G58" s="77"/>
      <c r="H58" s="77"/>
      <c r="I58" s="78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ht="15.75" hidden="1" customHeight="1">
      <c r="A59" s="77"/>
      <c r="B59" s="77"/>
      <c r="C59" s="77"/>
      <c r="D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ht="15.75" hidden="1" customHeight="1">
      <c r="A60" s="77"/>
      <c r="B60" s="77"/>
      <c r="C60" s="77"/>
      <c r="D60" s="77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ht="15.75" hidden="1" customHeight="1">
      <c r="A61" s="77"/>
      <c r="B61" s="77"/>
      <c r="C61" s="77"/>
      <c r="D61" s="77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ht="15.75" hidden="1" customHeight="1">
      <c r="A62" s="77"/>
      <c r="B62" s="77"/>
      <c r="C62" s="77"/>
      <c r="D62" s="77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ht="15.75" hidden="1" customHeight="1">
      <c r="A63" s="77"/>
      <c r="B63" s="77"/>
      <c r="C63" s="77"/>
      <c r="D63" s="77"/>
      <c r="E63" s="77"/>
      <c r="F63" s="77"/>
      <c r="G63" s="77"/>
      <c r="H63" s="77"/>
      <c r="I63" s="78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ht="15.75" hidden="1" customHeight="1">
      <c r="A64" s="77"/>
      <c r="B64" s="77"/>
      <c r="C64" s="77"/>
      <c r="D64" s="77"/>
      <c r="E64" s="77"/>
      <c r="F64" s="77"/>
      <c r="G64" s="77"/>
      <c r="H64" s="77"/>
      <c r="I64" s="78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ht="15.75" hidden="1" customHeight="1">
      <c r="A65" s="77"/>
      <c r="B65" s="77"/>
      <c r="C65" s="77"/>
      <c r="D65" s="77"/>
      <c r="E65" s="77"/>
      <c r="F65" s="77"/>
      <c r="G65" s="77"/>
      <c r="H65" s="77"/>
      <c r="I65" s="78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ht="15.75" hidden="1" customHeight="1">
      <c r="A66" s="77"/>
      <c r="B66" s="77"/>
      <c r="C66" s="77"/>
      <c r="D66" s="77"/>
      <c r="E66" s="77"/>
      <c r="F66" s="77"/>
      <c r="G66" s="77"/>
      <c r="H66" s="77"/>
      <c r="I66" s="78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ht="15.75" hidden="1" customHeight="1">
      <c r="A67" s="77"/>
      <c r="B67" s="77"/>
      <c r="C67" s="77"/>
      <c r="D67" s="77"/>
      <c r="E67" s="77"/>
      <c r="F67" s="77"/>
      <c r="G67" s="77"/>
      <c r="H67" s="77"/>
      <c r="I67" s="78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ht="15.75" hidden="1" customHeight="1">
      <c r="A68" s="77"/>
      <c r="B68" s="77"/>
      <c r="C68" s="77"/>
      <c r="D68" s="77"/>
      <c r="E68" s="77"/>
      <c r="F68" s="77"/>
      <c r="G68" s="77"/>
      <c r="H68" s="77"/>
      <c r="I68" s="78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ht="15.75" hidden="1" customHeight="1">
      <c r="A69" s="77"/>
      <c r="B69" s="77"/>
      <c r="C69" s="77"/>
      <c r="D69" s="77"/>
      <c r="E69" s="77"/>
      <c r="F69" s="77"/>
      <c r="G69" s="77"/>
      <c r="H69" s="77"/>
      <c r="I69" s="78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ht="15.75" hidden="1" customHeight="1">
      <c r="A70" s="77"/>
      <c r="B70" s="77"/>
      <c r="C70" s="77"/>
      <c r="D70" s="77"/>
      <c r="E70" s="77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ht="15.75" hidden="1" customHeight="1">
      <c r="A71" s="77"/>
      <c r="B71" s="77"/>
      <c r="C71" s="77"/>
      <c r="D71" s="77"/>
      <c r="E71" s="77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ht="15.75" hidden="1" customHeight="1">
      <c r="A72" s="77"/>
      <c r="B72" s="77"/>
      <c r="C72" s="77"/>
      <c r="D72" s="77"/>
      <c r="E72" s="77"/>
      <c r="F72" s="77"/>
      <c r="G72" s="77"/>
      <c r="H72" s="77"/>
      <c r="I72" s="78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ht="15.75" hidden="1" customHeight="1">
      <c r="A73" s="77"/>
      <c r="B73" s="77"/>
      <c r="C73" s="77"/>
      <c r="D73" s="77"/>
      <c r="E73" s="77"/>
      <c r="F73" s="77"/>
      <c r="G73" s="77"/>
      <c r="H73" s="77"/>
      <c r="I73" s="78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ht="15.75" hidden="1" customHeight="1">
      <c r="A74" s="77"/>
      <c r="B74" s="77"/>
      <c r="C74" s="77"/>
      <c r="D74" s="77"/>
      <c r="E74" s="77"/>
      <c r="F74" s="77"/>
      <c r="G74" s="77"/>
      <c r="H74" s="77"/>
      <c r="I74" s="78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ht="15.75" hidden="1" customHeight="1">
      <c r="A75" s="77"/>
      <c r="B75" s="77"/>
      <c r="C75" s="77"/>
      <c r="D75" s="77"/>
      <c r="E75" s="77"/>
      <c r="F75" s="77"/>
      <c r="G75" s="77"/>
      <c r="H75" s="77"/>
      <c r="I75" s="78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ht="15.75" hidden="1" customHeight="1">
      <c r="A76" s="77"/>
      <c r="B76" s="77"/>
      <c r="C76" s="77"/>
      <c r="D76" s="77"/>
      <c r="E76" s="77"/>
      <c r="F76" s="77"/>
      <c r="G76" s="77"/>
      <c r="H76" s="77"/>
      <c r="I76" s="78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ht="15.75" hidden="1" customHeight="1">
      <c r="A77" s="77"/>
      <c r="B77" s="77"/>
      <c r="C77" s="77"/>
      <c r="D77" s="77"/>
      <c r="E77" s="77"/>
      <c r="F77" s="77"/>
      <c r="G77" s="77"/>
      <c r="H77" s="77"/>
      <c r="I77" s="78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ht="15.75" hidden="1" customHeight="1">
      <c r="A78" s="77"/>
      <c r="B78" s="77"/>
      <c r="C78" s="77"/>
      <c r="D78" s="77"/>
      <c r="E78" s="77"/>
      <c r="F78" s="77"/>
      <c r="G78" s="77"/>
      <c r="H78" s="77"/>
      <c r="I78" s="78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ht="15.75" hidden="1" customHeight="1">
      <c r="A79" s="77"/>
      <c r="B79" s="77"/>
      <c r="C79" s="77"/>
      <c r="D79" s="77"/>
      <c r="E79" s="77"/>
      <c r="F79" s="77"/>
      <c r="G79" s="77"/>
      <c r="H79" s="77"/>
      <c r="I79" s="78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ht="15.75" hidden="1" customHeight="1">
      <c r="A80" s="77"/>
      <c r="B80" s="77"/>
      <c r="C80" s="77"/>
      <c r="D80" s="77"/>
      <c r="E80" s="77"/>
      <c r="F80" s="77"/>
      <c r="G80" s="77"/>
      <c r="H80" s="77"/>
      <c r="I80" s="78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ht="15.75" hidden="1" customHeight="1">
      <c r="A81" s="77"/>
      <c r="B81" s="77"/>
      <c r="C81" s="77"/>
      <c r="D81" s="77"/>
      <c r="E81" s="77"/>
      <c r="F81" s="77"/>
      <c r="G81" s="77"/>
      <c r="H81" s="77"/>
      <c r="I81" s="78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ht="15.75" hidden="1" customHeight="1">
      <c r="A82" s="77"/>
      <c r="B82" s="77"/>
      <c r="C82" s="77"/>
      <c r="D82" s="77"/>
      <c r="E82" s="77"/>
      <c r="F82" s="77"/>
      <c r="G82" s="77"/>
      <c r="H82" s="77"/>
      <c r="I82" s="78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ht="15.75" hidden="1" customHeight="1">
      <c r="A83" s="77"/>
      <c r="B83" s="77"/>
      <c r="C83" s="77"/>
      <c r="D83" s="77"/>
      <c r="E83" s="77"/>
      <c r="F83" s="77"/>
      <c r="G83" s="77"/>
      <c r="H83" s="77"/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ht="15.75" hidden="1" customHeight="1">
      <c r="A84" s="77"/>
      <c r="B84" s="77"/>
      <c r="C84" s="77"/>
      <c r="D84" s="77"/>
      <c r="E84" s="77"/>
      <c r="F84" s="77"/>
      <c r="G84" s="77"/>
      <c r="H84" s="77"/>
      <c r="I84" s="78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ht="15.75" hidden="1" customHeight="1">
      <c r="A85" s="77"/>
      <c r="B85" s="77"/>
      <c r="C85" s="77"/>
      <c r="D85" s="77"/>
      <c r="E85" s="77"/>
      <c r="F85" s="77"/>
      <c r="G85" s="77"/>
      <c r="H85" s="77"/>
      <c r="I85" s="78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ht="15.75" hidden="1" customHeight="1">
      <c r="A86" s="77"/>
      <c r="B86" s="77"/>
      <c r="C86" s="77"/>
      <c r="D86" s="77"/>
      <c r="E86" s="77"/>
      <c r="F86" s="77"/>
      <c r="G86" s="77"/>
      <c r="H86" s="77"/>
      <c r="I86" s="78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ht="15.75" hidden="1" customHeight="1">
      <c r="A87" s="77"/>
      <c r="B87" s="77"/>
      <c r="C87" s="77"/>
      <c r="D87" s="77"/>
      <c r="E87" s="77"/>
      <c r="F87" s="77"/>
      <c r="G87" s="77"/>
      <c r="H87" s="77"/>
      <c r="I87" s="78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ht="15.75" hidden="1" customHeight="1">
      <c r="A88" s="77"/>
      <c r="B88" s="77"/>
      <c r="C88" s="77"/>
      <c r="D88" s="77"/>
      <c r="E88" s="77"/>
      <c r="F88" s="77"/>
      <c r="G88" s="77"/>
      <c r="H88" s="77"/>
      <c r="I88" s="78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ht="15.75" hidden="1" customHeight="1">
      <c r="A89" s="77"/>
      <c r="B89" s="77"/>
      <c r="C89" s="77"/>
      <c r="D89" s="77"/>
      <c r="E89" s="77"/>
      <c r="F89" s="77"/>
      <c r="G89" s="77"/>
      <c r="H89" s="77"/>
      <c r="I89" s="78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ht="15.75" hidden="1" customHeight="1">
      <c r="A90" s="77"/>
      <c r="B90" s="77"/>
      <c r="C90" s="77"/>
      <c r="D90" s="77"/>
      <c r="E90" s="77"/>
      <c r="F90" s="77"/>
      <c r="G90" s="77"/>
      <c r="H90" s="77"/>
      <c r="I90" s="78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ht="15.75" hidden="1" customHeight="1">
      <c r="A91" s="77"/>
      <c r="B91" s="77"/>
      <c r="C91" s="77"/>
      <c r="D91" s="77"/>
      <c r="E91" s="77"/>
      <c r="F91" s="77"/>
      <c r="G91" s="77"/>
      <c r="H91" s="77"/>
      <c r="I91" s="78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ht="15.75" hidden="1" customHeight="1">
      <c r="A92" s="77"/>
      <c r="B92" s="77"/>
      <c r="C92" s="77"/>
      <c r="D92" s="77"/>
      <c r="E92" s="77"/>
      <c r="F92" s="77"/>
      <c r="G92" s="77"/>
      <c r="H92" s="77"/>
      <c r="I92" s="78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ht="15.75" hidden="1" customHeight="1">
      <c r="A93" s="77"/>
      <c r="B93" s="77"/>
      <c r="C93" s="77"/>
      <c r="D93" s="77"/>
      <c r="E93" s="77"/>
      <c r="F93" s="77"/>
      <c r="G93" s="77"/>
      <c r="H93" s="77"/>
      <c r="I93" s="78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ht="15.75" hidden="1" customHeight="1">
      <c r="A94" s="77"/>
      <c r="B94" s="77"/>
      <c r="C94" s="77"/>
      <c r="D94" s="77"/>
      <c r="E94" s="77"/>
      <c r="F94" s="77"/>
      <c r="G94" s="77"/>
      <c r="H94" s="77"/>
      <c r="I94" s="78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ht="15.75" hidden="1" customHeight="1">
      <c r="A95" s="77"/>
      <c r="B95" s="77"/>
      <c r="C95" s="77"/>
      <c r="D95" s="77"/>
      <c r="E95" s="77"/>
      <c r="F95" s="77"/>
      <c r="G95" s="77"/>
      <c r="H95" s="77"/>
      <c r="I95" s="78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ht="15.75" hidden="1" customHeight="1">
      <c r="A96" s="77"/>
      <c r="B96" s="77"/>
      <c r="C96" s="77"/>
      <c r="D96" s="77"/>
      <c r="E96" s="77"/>
      <c r="F96" s="77"/>
      <c r="G96" s="77"/>
      <c r="H96" s="77"/>
      <c r="I96" s="78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ht="15.75" hidden="1" customHeight="1">
      <c r="A97" s="77"/>
      <c r="B97" s="77"/>
      <c r="C97" s="77"/>
      <c r="D97" s="77"/>
      <c r="E97" s="77"/>
      <c r="F97" s="77"/>
      <c r="G97" s="77"/>
      <c r="H97" s="77"/>
      <c r="I97" s="78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ht="15.75" hidden="1" customHeight="1">
      <c r="A98" s="77"/>
      <c r="B98" s="77"/>
      <c r="C98" s="77"/>
      <c r="D98" s="77"/>
      <c r="E98" s="77"/>
      <c r="F98" s="77"/>
      <c r="G98" s="77"/>
      <c r="H98" s="77"/>
      <c r="I98" s="78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ht="15.75" hidden="1" customHeight="1">
      <c r="A99" s="77"/>
      <c r="B99" s="77"/>
      <c r="C99" s="77"/>
      <c r="D99" s="77"/>
      <c r="E99" s="77"/>
      <c r="F99" s="77"/>
      <c r="G99" s="77"/>
      <c r="H99" s="77"/>
      <c r="I99" s="78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ht="15.75" hidden="1" customHeight="1">
      <c r="A100" s="77"/>
      <c r="B100" s="77"/>
      <c r="C100" s="77"/>
      <c r="D100" s="77"/>
      <c r="E100" s="77"/>
      <c r="F100" s="77"/>
      <c r="G100" s="77"/>
      <c r="H100" s="77"/>
      <c r="I100" s="78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ht="15.75" hidden="1" customHeight="1">
      <c r="A101" s="77"/>
      <c r="B101" s="77"/>
      <c r="C101" s="77"/>
      <c r="D101" s="77"/>
      <c r="E101" s="77"/>
      <c r="F101" s="77"/>
      <c r="G101" s="77"/>
      <c r="H101" s="77"/>
      <c r="I101" s="78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ht="15.75" hidden="1" customHeight="1">
      <c r="A102" s="77"/>
      <c r="B102" s="77"/>
      <c r="C102" s="77"/>
      <c r="D102" s="77"/>
      <c r="E102" s="77"/>
      <c r="F102" s="77"/>
      <c r="G102" s="77"/>
      <c r="H102" s="77"/>
      <c r="I102" s="78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ht="15.75" hidden="1" customHeight="1">
      <c r="A103" s="77"/>
      <c r="B103" s="77"/>
      <c r="C103" s="77"/>
      <c r="D103" s="77"/>
      <c r="E103" s="77"/>
      <c r="F103" s="77"/>
      <c r="G103" s="77"/>
      <c r="H103" s="77"/>
      <c r="I103" s="78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ht="15.75" hidden="1" customHeight="1">
      <c r="A104" s="77"/>
      <c r="B104" s="77"/>
      <c r="C104" s="77"/>
      <c r="D104" s="77"/>
      <c r="E104" s="77"/>
      <c r="F104" s="77"/>
      <c r="G104" s="77"/>
      <c r="H104" s="77"/>
      <c r="I104" s="78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ht="15.75" hidden="1" customHeight="1">
      <c r="A105" s="77"/>
      <c r="B105" s="77"/>
      <c r="C105" s="77"/>
      <c r="D105" s="77"/>
      <c r="E105" s="77"/>
      <c r="F105" s="77"/>
      <c r="G105" s="77"/>
      <c r="H105" s="77"/>
      <c r="I105" s="78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ht="15.75" hidden="1" customHeight="1">
      <c r="A106" s="77"/>
      <c r="B106" s="77"/>
      <c r="C106" s="77"/>
      <c r="D106" s="77"/>
      <c r="E106" s="77"/>
      <c r="F106" s="77"/>
      <c r="G106" s="77"/>
      <c r="H106" s="77"/>
      <c r="I106" s="78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ht="15.75" hidden="1" customHeight="1">
      <c r="A107" s="77"/>
      <c r="B107" s="77"/>
      <c r="C107" s="77"/>
      <c r="D107" s="77"/>
      <c r="E107" s="77"/>
      <c r="F107" s="77"/>
      <c r="G107" s="77"/>
      <c r="H107" s="77"/>
      <c r="I107" s="78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ht="15.75" hidden="1" customHeight="1">
      <c r="A108" s="77"/>
      <c r="B108" s="77"/>
      <c r="C108" s="77"/>
      <c r="D108" s="77"/>
      <c r="E108" s="77"/>
      <c r="F108" s="77"/>
      <c r="G108" s="77"/>
      <c r="H108" s="77"/>
      <c r="I108" s="78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ht="15.75" hidden="1" customHeight="1">
      <c r="A109" s="77"/>
      <c r="B109" s="77"/>
      <c r="C109" s="77"/>
      <c r="D109" s="77"/>
      <c r="E109" s="77"/>
      <c r="F109" s="77"/>
      <c r="G109" s="77"/>
      <c r="H109" s="77"/>
      <c r="I109" s="78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ht="15.75" hidden="1" customHeight="1">
      <c r="A110" s="77"/>
      <c r="B110" s="77"/>
      <c r="C110" s="77"/>
      <c r="D110" s="77"/>
      <c r="E110" s="77"/>
      <c r="F110" s="77"/>
      <c r="G110" s="77"/>
      <c r="H110" s="77"/>
      <c r="I110" s="78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ht="15.75" hidden="1" customHeight="1">
      <c r="A111" s="77"/>
      <c r="B111" s="77"/>
      <c r="C111" s="77"/>
      <c r="D111" s="77"/>
      <c r="E111" s="77"/>
      <c r="F111" s="77"/>
      <c r="G111" s="77"/>
      <c r="H111" s="77"/>
      <c r="I111" s="78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ht="15.75" hidden="1" customHeight="1">
      <c r="A112" s="77"/>
      <c r="B112" s="77"/>
      <c r="C112" s="77"/>
      <c r="D112" s="77"/>
      <c r="E112" s="77"/>
      <c r="F112" s="77"/>
      <c r="G112" s="77"/>
      <c r="H112" s="77"/>
      <c r="I112" s="78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ht="15.75" hidden="1" customHeight="1">
      <c r="A113" s="77"/>
      <c r="B113" s="77"/>
      <c r="C113" s="77"/>
      <c r="D113" s="77"/>
      <c r="E113" s="77"/>
      <c r="F113" s="77"/>
      <c r="G113" s="77"/>
      <c r="H113" s="77"/>
      <c r="I113" s="78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ht="15.75" hidden="1" customHeight="1">
      <c r="A114" s="77"/>
      <c r="B114" s="77"/>
      <c r="C114" s="77"/>
      <c r="D114" s="77"/>
      <c r="E114" s="77"/>
      <c r="F114" s="77"/>
      <c r="G114" s="77"/>
      <c r="H114" s="77"/>
      <c r="I114" s="78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ht="15.75" hidden="1" customHeight="1">
      <c r="A115" s="77"/>
      <c r="B115" s="77"/>
      <c r="C115" s="77"/>
      <c r="D115" s="77"/>
      <c r="E115" s="77"/>
      <c r="F115" s="77"/>
      <c r="G115" s="77"/>
      <c r="H115" s="77"/>
      <c r="I115" s="78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ht="15.75" hidden="1" customHeight="1">
      <c r="A116" s="77"/>
      <c r="B116" s="77"/>
      <c r="C116" s="77"/>
      <c r="D116" s="77"/>
      <c r="E116" s="77"/>
      <c r="F116" s="77"/>
      <c r="G116" s="77"/>
      <c r="H116" s="77"/>
      <c r="I116" s="78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ht="15.75" hidden="1" customHeight="1">
      <c r="A117" s="77"/>
      <c r="B117" s="77"/>
      <c r="C117" s="77"/>
      <c r="D117" s="77"/>
      <c r="E117" s="77"/>
      <c r="F117" s="77"/>
      <c r="G117" s="77"/>
      <c r="H117" s="77"/>
      <c r="I117" s="78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ht="15.75" hidden="1" customHeight="1">
      <c r="A118" s="77"/>
      <c r="B118" s="77"/>
      <c r="C118" s="77"/>
      <c r="D118" s="77"/>
      <c r="E118" s="77"/>
      <c r="F118" s="77"/>
      <c r="G118" s="77"/>
      <c r="H118" s="77"/>
      <c r="I118" s="78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ht="15.75" hidden="1" customHeight="1">
      <c r="A119" s="77"/>
      <c r="B119" s="77"/>
      <c r="C119" s="77"/>
      <c r="D119" s="77"/>
      <c r="E119" s="77"/>
      <c r="F119" s="77"/>
      <c r="G119" s="77"/>
      <c r="H119" s="77"/>
      <c r="I119" s="78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ht="15.75" hidden="1" customHeight="1">
      <c r="A120" s="77"/>
      <c r="B120" s="77"/>
      <c r="C120" s="77"/>
      <c r="D120" s="77"/>
      <c r="E120" s="77"/>
      <c r="F120" s="77"/>
      <c r="G120" s="77"/>
      <c r="H120" s="77"/>
      <c r="I120" s="78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ht="15.75" hidden="1" customHeight="1">
      <c r="A121" s="77"/>
      <c r="B121" s="77"/>
      <c r="C121" s="77"/>
      <c r="D121" s="77"/>
      <c r="E121" s="77"/>
      <c r="F121" s="77"/>
      <c r="G121" s="77"/>
      <c r="H121" s="77"/>
      <c r="I121" s="78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ht="15.75" hidden="1" customHeight="1">
      <c r="A122" s="77"/>
      <c r="B122" s="77"/>
      <c r="C122" s="77"/>
      <c r="D122" s="77"/>
      <c r="E122" s="77"/>
      <c r="F122" s="77"/>
      <c r="G122" s="77"/>
      <c r="H122" s="77"/>
      <c r="I122" s="78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ht="15.75" hidden="1" customHeight="1">
      <c r="A123" s="77"/>
      <c r="B123" s="77"/>
      <c r="C123" s="77"/>
      <c r="D123" s="77"/>
      <c r="E123" s="77"/>
      <c r="F123" s="77"/>
      <c r="G123" s="77"/>
      <c r="H123" s="77"/>
      <c r="I123" s="78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ht="15.75" hidden="1" customHeight="1">
      <c r="A124" s="77"/>
      <c r="B124" s="77"/>
      <c r="C124" s="77"/>
      <c r="D124" s="77"/>
      <c r="E124" s="77"/>
      <c r="F124" s="77"/>
      <c r="G124" s="77"/>
      <c r="H124" s="77"/>
      <c r="I124" s="78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ht="15.75" hidden="1" customHeight="1">
      <c r="A125" s="77"/>
      <c r="B125" s="77"/>
      <c r="C125" s="77"/>
      <c r="D125" s="77"/>
      <c r="E125" s="77"/>
      <c r="F125" s="77"/>
      <c r="G125" s="77"/>
      <c r="H125" s="77"/>
      <c r="I125" s="78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ht="15.75" hidden="1" customHeight="1">
      <c r="A126" s="77"/>
      <c r="B126" s="77"/>
      <c r="C126" s="77"/>
      <c r="D126" s="77"/>
      <c r="E126" s="77"/>
      <c r="F126" s="77"/>
      <c r="G126" s="77"/>
      <c r="H126" s="77"/>
      <c r="I126" s="78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ht="15.75" hidden="1" customHeight="1">
      <c r="A127" s="77"/>
      <c r="B127" s="77"/>
      <c r="C127" s="77"/>
      <c r="D127" s="77"/>
      <c r="E127" s="77"/>
      <c r="F127" s="77"/>
      <c r="G127" s="77"/>
      <c r="H127" s="77"/>
      <c r="I127" s="78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ht="15.75" hidden="1" customHeight="1">
      <c r="A128" s="77"/>
      <c r="B128" s="77"/>
      <c r="C128" s="77"/>
      <c r="D128" s="77"/>
      <c r="E128" s="77"/>
      <c r="F128" s="77"/>
      <c r="G128" s="77"/>
      <c r="H128" s="77"/>
      <c r="I128" s="78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ht="15.75" hidden="1" customHeight="1">
      <c r="A129" s="77"/>
      <c r="B129" s="77"/>
      <c r="C129" s="77"/>
      <c r="D129" s="77"/>
      <c r="E129" s="77"/>
      <c r="F129" s="77"/>
      <c r="G129" s="77"/>
      <c r="H129" s="77"/>
      <c r="I129" s="78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ht="15.75" hidden="1" customHeight="1">
      <c r="A130" s="77"/>
      <c r="B130" s="77"/>
      <c r="C130" s="77"/>
      <c r="D130" s="77"/>
      <c r="E130" s="77"/>
      <c r="F130" s="77"/>
      <c r="G130" s="77"/>
      <c r="H130" s="77"/>
      <c r="I130" s="78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ht="15.75" hidden="1" customHeight="1">
      <c r="A131" s="77"/>
      <c r="B131" s="77"/>
      <c r="C131" s="77"/>
      <c r="D131" s="77"/>
      <c r="E131" s="77"/>
      <c r="F131" s="77"/>
      <c r="G131" s="77"/>
      <c r="H131" s="77"/>
      <c r="I131" s="78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ht="15.75" hidden="1" customHeight="1">
      <c r="A132" s="77"/>
      <c r="B132" s="77"/>
      <c r="C132" s="77"/>
      <c r="D132" s="77"/>
      <c r="E132" s="77"/>
      <c r="F132" s="77"/>
      <c r="G132" s="77"/>
      <c r="H132" s="77"/>
      <c r="I132" s="78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ht="15.75" hidden="1" customHeight="1">
      <c r="A133" s="77"/>
      <c r="B133" s="77"/>
      <c r="C133" s="77"/>
      <c r="D133" s="77"/>
      <c r="E133" s="77"/>
      <c r="F133" s="77"/>
      <c r="G133" s="77"/>
      <c r="H133" s="77"/>
      <c r="I133" s="78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ht="15.75" hidden="1" customHeight="1">
      <c r="A134" s="77"/>
      <c r="B134" s="77"/>
      <c r="C134" s="77"/>
      <c r="D134" s="77"/>
      <c r="E134" s="77"/>
      <c r="F134" s="77"/>
      <c r="G134" s="77"/>
      <c r="H134" s="77"/>
      <c r="I134" s="78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ht="15.75" hidden="1" customHeight="1">
      <c r="A135" s="77"/>
      <c r="B135" s="77"/>
      <c r="C135" s="77"/>
      <c r="D135" s="77"/>
      <c r="E135" s="77"/>
      <c r="F135" s="77"/>
      <c r="G135" s="77"/>
      <c r="H135" s="77"/>
      <c r="I135" s="78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ht="15.75" hidden="1" customHeight="1">
      <c r="A136" s="77"/>
      <c r="B136" s="77"/>
      <c r="C136" s="77"/>
      <c r="D136" s="77"/>
      <c r="E136" s="77"/>
      <c r="F136" s="77"/>
      <c r="G136" s="77"/>
      <c r="H136" s="77"/>
      <c r="I136" s="78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ht="15.75" hidden="1" customHeight="1">
      <c r="A137" s="77"/>
      <c r="B137" s="77"/>
      <c r="C137" s="77"/>
      <c r="D137" s="77"/>
      <c r="E137" s="77"/>
      <c r="F137" s="77"/>
      <c r="G137" s="77"/>
      <c r="H137" s="77"/>
      <c r="I137" s="78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ht="15.75" hidden="1" customHeight="1">
      <c r="A138" s="77"/>
      <c r="B138" s="77"/>
      <c r="C138" s="77"/>
      <c r="D138" s="77"/>
      <c r="E138" s="77"/>
      <c r="F138" s="77"/>
      <c r="G138" s="77"/>
      <c r="H138" s="77"/>
      <c r="I138" s="78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ht="15.75" hidden="1" customHeight="1">
      <c r="A139" s="77"/>
      <c r="B139" s="77"/>
      <c r="C139" s="77"/>
      <c r="D139" s="77"/>
      <c r="E139" s="77"/>
      <c r="F139" s="77"/>
      <c r="G139" s="77"/>
      <c r="H139" s="77"/>
      <c r="I139" s="78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ht="15.75" hidden="1" customHeight="1">
      <c r="A140" s="77"/>
      <c r="B140" s="77"/>
      <c r="C140" s="77"/>
      <c r="D140" s="77"/>
      <c r="E140" s="77"/>
      <c r="F140" s="77"/>
      <c r="G140" s="77"/>
      <c r="H140" s="77"/>
      <c r="I140" s="78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ht="15.75" hidden="1" customHeight="1">
      <c r="A141" s="77"/>
      <c r="B141" s="77"/>
      <c r="C141" s="77"/>
      <c r="D141" s="77"/>
      <c r="E141" s="77"/>
      <c r="F141" s="77"/>
      <c r="G141" s="77"/>
      <c r="H141" s="77"/>
      <c r="I141" s="78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ht="15.75" hidden="1" customHeight="1">
      <c r="A142" s="77"/>
      <c r="B142" s="77"/>
      <c r="C142" s="77"/>
      <c r="D142" s="77"/>
      <c r="E142" s="77"/>
      <c r="F142" s="77"/>
      <c r="G142" s="77"/>
      <c r="H142" s="77"/>
      <c r="I142" s="78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ht="15.75" hidden="1" customHeight="1">
      <c r="A143" s="77"/>
      <c r="B143" s="77"/>
      <c r="C143" s="77"/>
      <c r="D143" s="77"/>
      <c r="E143" s="77"/>
      <c r="F143" s="77"/>
      <c r="G143" s="77"/>
      <c r="H143" s="77"/>
      <c r="I143" s="78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ht="15.75" hidden="1" customHeight="1">
      <c r="A144" s="77"/>
      <c r="B144" s="77"/>
      <c r="C144" s="77"/>
      <c r="D144" s="77"/>
      <c r="E144" s="77"/>
      <c r="F144" s="77"/>
      <c r="G144" s="77"/>
      <c r="H144" s="77"/>
      <c r="I144" s="78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ht="15.75" hidden="1" customHeight="1">
      <c r="A145" s="77"/>
      <c r="B145" s="77"/>
      <c r="C145" s="77"/>
      <c r="D145" s="77"/>
      <c r="E145" s="77"/>
      <c r="F145" s="77"/>
      <c r="G145" s="77"/>
      <c r="H145" s="77"/>
      <c r="I145" s="78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ht="15.75" hidden="1" customHeight="1">
      <c r="A146" s="77"/>
      <c r="B146" s="77"/>
      <c r="C146" s="77"/>
      <c r="D146" s="77"/>
      <c r="E146" s="77"/>
      <c r="F146" s="77"/>
      <c r="G146" s="77"/>
      <c r="H146" s="77"/>
      <c r="I146" s="78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ht="15.75" hidden="1" customHeight="1">
      <c r="A147" s="77"/>
      <c r="B147" s="77"/>
      <c r="C147" s="77"/>
      <c r="D147" s="77"/>
      <c r="E147" s="77"/>
      <c r="F147" s="77"/>
      <c r="G147" s="77"/>
      <c r="H147" s="77"/>
      <c r="I147" s="78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ht="15.75" hidden="1" customHeight="1">
      <c r="A148" s="77"/>
      <c r="B148" s="77"/>
      <c r="C148" s="77"/>
      <c r="D148" s="77"/>
      <c r="E148" s="77"/>
      <c r="F148" s="77"/>
      <c r="G148" s="77"/>
      <c r="H148" s="77"/>
      <c r="I148" s="78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ht="15.75" hidden="1" customHeight="1">
      <c r="A149" s="77"/>
      <c r="B149" s="77"/>
      <c r="C149" s="77"/>
      <c r="D149" s="77"/>
      <c r="E149" s="77"/>
      <c r="F149" s="77"/>
      <c r="G149" s="77"/>
      <c r="H149" s="77"/>
      <c r="I149" s="78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ht="15.75" hidden="1" customHeight="1">
      <c r="A150" s="77"/>
      <c r="B150" s="77"/>
      <c r="C150" s="77"/>
      <c r="D150" s="77"/>
      <c r="E150" s="77"/>
      <c r="F150" s="77"/>
      <c r="G150" s="77"/>
      <c r="H150" s="77"/>
      <c r="I150" s="78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ht="15.75" hidden="1" customHeight="1">
      <c r="A151" s="77"/>
      <c r="B151" s="77"/>
      <c r="C151" s="77"/>
      <c r="D151" s="77"/>
      <c r="E151" s="77"/>
      <c r="F151" s="77"/>
      <c r="G151" s="77"/>
      <c r="H151" s="77"/>
      <c r="I151" s="78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ht="15.75" hidden="1" customHeight="1">
      <c r="A152" s="77"/>
      <c r="B152" s="77"/>
      <c r="C152" s="77"/>
      <c r="D152" s="77"/>
      <c r="E152" s="77"/>
      <c r="F152" s="77"/>
      <c r="G152" s="77"/>
      <c r="H152" s="77"/>
      <c r="I152" s="78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ht="15.75" hidden="1" customHeight="1">
      <c r="A153" s="77"/>
      <c r="B153" s="77"/>
      <c r="C153" s="77"/>
      <c r="D153" s="77"/>
      <c r="E153" s="77"/>
      <c r="F153" s="77"/>
      <c r="G153" s="77"/>
      <c r="H153" s="77"/>
      <c r="I153" s="78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ht="15.75" hidden="1" customHeight="1">
      <c r="A154" s="77"/>
      <c r="B154" s="77"/>
      <c r="C154" s="77"/>
      <c r="D154" s="77"/>
      <c r="E154" s="77"/>
      <c r="F154" s="77"/>
      <c r="G154" s="77"/>
      <c r="H154" s="77"/>
      <c r="I154" s="78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ht="15.75" hidden="1" customHeight="1">
      <c r="A155" s="77"/>
      <c r="B155" s="77"/>
      <c r="C155" s="77"/>
      <c r="D155" s="77"/>
      <c r="E155" s="77"/>
      <c r="F155" s="77"/>
      <c r="G155" s="77"/>
      <c r="H155" s="77"/>
      <c r="I155" s="78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ht="15.75" hidden="1" customHeight="1">
      <c r="A156" s="77"/>
      <c r="B156" s="77"/>
      <c r="C156" s="77"/>
      <c r="D156" s="77"/>
      <c r="E156" s="77"/>
      <c r="F156" s="77"/>
      <c r="G156" s="77"/>
      <c r="H156" s="77"/>
      <c r="I156" s="78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ht="15.75" hidden="1" customHeight="1">
      <c r="A157" s="77"/>
      <c r="B157" s="77"/>
      <c r="C157" s="77"/>
      <c r="D157" s="77"/>
      <c r="E157" s="77"/>
      <c r="F157" s="77"/>
      <c r="G157" s="77"/>
      <c r="H157" s="77"/>
      <c r="I157" s="78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ht="15.75" hidden="1" customHeight="1">
      <c r="A158" s="77"/>
      <c r="B158" s="77"/>
      <c r="C158" s="77"/>
      <c r="D158" s="77"/>
      <c r="E158" s="77"/>
      <c r="F158" s="77"/>
      <c r="G158" s="77"/>
      <c r="H158" s="77"/>
      <c r="I158" s="78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ht="15.75" hidden="1" customHeight="1">
      <c r="A159" s="77"/>
      <c r="B159" s="77"/>
      <c r="C159" s="77"/>
      <c r="D159" s="77"/>
      <c r="E159" s="77"/>
      <c r="F159" s="77"/>
      <c r="G159" s="77"/>
      <c r="H159" s="77"/>
      <c r="I159" s="78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ht="15.75" hidden="1" customHeight="1">
      <c r="A160" s="77"/>
      <c r="B160" s="77"/>
      <c r="C160" s="77"/>
      <c r="D160" s="77"/>
      <c r="E160" s="77"/>
      <c r="F160" s="77"/>
      <c r="G160" s="77"/>
      <c r="H160" s="77"/>
      <c r="I160" s="78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ht="15.75" hidden="1" customHeight="1">
      <c r="A161" s="77"/>
      <c r="B161" s="77"/>
      <c r="C161" s="77"/>
      <c r="D161" s="77"/>
      <c r="E161" s="77"/>
      <c r="F161" s="77"/>
      <c r="G161" s="77"/>
      <c r="H161" s="77"/>
      <c r="I161" s="78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ht="15.75" hidden="1" customHeight="1">
      <c r="A162" s="77"/>
      <c r="B162" s="77"/>
      <c r="C162" s="77"/>
      <c r="D162" s="77"/>
      <c r="E162" s="77"/>
      <c r="F162" s="77"/>
      <c r="G162" s="77"/>
      <c r="H162" s="77"/>
      <c r="I162" s="78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ht="15.75" hidden="1" customHeight="1">
      <c r="A163" s="77"/>
      <c r="B163" s="77"/>
      <c r="C163" s="77"/>
      <c r="D163" s="77"/>
      <c r="E163" s="77"/>
      <c r="F163" s="77"/>
      <c r="G163" s="77"/>
      <c r="H163" s="77"/>
      <c r="I163" s="78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ht="15.75" hidden="1" customHeight="1">
      <c r="A164" s="77"/>
      <c r="B164" s="77"/>
      <c r="C164" s="77"/>
      <c r="D164" s="77"/>
      <c r="E164" s="77"/>
      <c r="F164" s="77"/>
      <c r="G164" s="77"/>
      <c r="H164" s="77"/>
      <c r="I164" s="78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ht="15.75" hidden="1" customHeight="1">
      <c r="A165" s="77"/>
      <c r="B165" s="77"/>
      <c r="C165" s="77"/>
      <c r="D165" s="77"/>
      <c r="E165" s="77"/>
      <c r="F165" s="77"/>
      <c r="G165" s="77"/>
      <c r="H165" s="77"/>
      <c r="I165" s="78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ht="15.75" hidden="1" customHeight="1">
      <c r="A166" s="77"/>
      <c r="B166" s="77"/>
      <c r="C166" s="77"/>
      <c r="D166" s="77"/>
      <c r="E166" s="77"/>
      <c r="F166" s="77"/>
      <c r="G166" s="77"/>
      <c r="H166" s="77"/>
      <c r="I166" s="78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ht="15.75" hidden="1" customHeight="1">
      <c r="A167" s="77"/>
      <c r="B167" s="77"/>
      <c r="C167" s="77"/>
      <c r="D167" s="77"/>
      <c r="E167" s="77"/>
      <c r="F167" s="77"/>
      <c r="G167" s="77"/>
      <c r="H167" s="77"/>
      <c r="I167" s="78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ht="15.75" hidden="1" customHeight="1">
      <c r="A168" s="77"/>
      <c r="B168" s="77"/>
      <c r="C168" s="77"/>
      <c r="D168" s="77"/>
      <c r="E168" s="77"/>
      <c r="F168" s="77"/>
      <c r="G168" s="77"/>
      <c r="H168" s="77"/>
      <c r="I168" s="78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ht="15.75" hidden="1" customHeight="1">
      <c r="A169" s="77"/>
      <c r="B169" s="77"/>
      <c r="C169" s="77"/>
      <c r="D169" s="77"/>
      <c r="E169" s="77"/>
      <c r="F169" s="77"/>
      <c r="G169" s="77"/>
      <c r="H169" s="77"/>
      <c r="I169" s="78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ht="15.75" hidden="1" customHeight="1">
      <c r="A170" s="77"/>
      <c r="B170" s="77"/>
      <c r="C170" s="77"/>
      <c r="D170" s="77"/>
      <c r="E170" s="77"/>
      <c r="F170" s="77"/>
      <c r="G170" s="77"/>
      <c r="H170" s="77"/>
      <c r="I170" s="78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ht="15.75" hidden="1" customHeight="1">
      <c r="A171" s="77"/>
      <c r="B171" s="77"/>
      <c r="C171" s="77"/>
      <c r="D171" s="77"/>
      <c r="E171" s="77"/>
      <c r="F171" s="77"/>
      <c r="G171" s="77"/>
      <c r="H171" s="77"/>
      <c r="I171" s="78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ht="15.75" hidden="1" customHeight="1">
      <c r="A172" s="77"/>
      <c r="B172" s="77"/>
      <c r="C172" s="77"/>
      <c r="D172" s="77"/>
      <c r="E172" s="77"/>
      <c r="F172" s="77"/>
      <c r="G172" s="77"/>
      <c r="H172" s="77"/>
      <c r="I172" s="78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ht="15.75" hidden="1" customHeight="1">
      <c r="A173" s="77"/>
      <c r="B173" s="77"/>
      <c r="C173" s="77"/>
      <c r="D173" s="77"/>
      <c r="E173" s="77"/>
      <c r="F173" s="77"/>
      <c r="G173" s="77"/>
      <c r="H173" s="77"/>
      <c r="I173" s="78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ht="15.75" hidden="1" customHeight="1">
      <c r="A174" s="77"/>
      <c r="B174" s="77"/>
      <c r="C174" s="77"/>
      <c r="D174" s="77"/>
      <c r="E174" s="77"/>
      <c r="F174" s="77"/>
      <c r="G174" s="77"/>
      <c r="H174" s="77"/>
      <c r="I174" s="78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ht="15.75" hidden="1" customHeight="1">
      <c r="A175" s="77"/>
      <c r="B175" s="77"/>
      <c r="C175" s="77"/>
      <c r="D175" s="77"/>
      <c r="E175" s="77"/>
      <c r="F175" s="77"/>
      <c r="G175" s="77"/>
      <c r="H175" s="77"/>
      <c r="I175" s="78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ht="15.75" hidden="1" customHeight="1">
      <c r="A176" s="77"/>
      <c r="B176" s="77"/>
      <c r="C176" s="77"/>
      <c r="D176" s="77"/>
      <c r="E176" s="77"/>
      <c r="F176" s="77"/>
      <c r="G176" s="77"/>
      <c r="H176" s="77"/>
      <c r="I176" s="78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ht="15.75" hidden="1" customHeight="1">
      <c r="A177" s="77"/>
      <c r="B177" s="77"/>
      <c r="C177" s="77"/>
      <c r="D177" s="77"/>
      <c r="E177" s="77"/>
      <c r="F177" s="77"/>
      <c r="G177" s="77"/>
      <c r="H177" s="77"/>
      <c r="I177" s="78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ht="15.75" hidden="1" customHeight="1">
      <c r="A178" s="77"/>
      <c r="B178" s="77"/>
      <c r="C178" s="77"/>
      <c r="D178" s="77"/>
      <c r="E178" s="77"/>
      <c r="F178" s="77"/>
      <c r="G178" s="77"/>
      <c r="H178" s="77"/>
      <c r="I178" s="78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ht="15.75" hidden="1" customHeight="1">
      <c r="A179" s="77"/>
      <c r="B179" s="77"/>
      <c r="C179" s="77"/>
      <c r="D179" s="77"/>
      <c r="E179" s="77"/>
      <c r="F179" s="77"/>
      <c r="G179" s="77"/>
      <c r="H179" s="77"/>
      <c r="I179" s="78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ht="15.75" hidden="1" customHeight="1">
      <c r="A180" s="77"/>
      <c r="B180" s="77"/>
      <c r="C180" s="77"/>
      <c r="D180" s="77"/>
      <c r="E180" s="77"/>
      <c r="F180" s="77"/>
      <c r="G180" s="77"/>
      <c r="H180" s="77"/>
      <c r="I180" s="78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ht="15.75" hidden="1" customHeight="1">
      <c r="A181" s="77"/>
      <c r="B181" s="77"/>
      <c r="C181" s="77"/>
      <c r="D181" s="77"/>
      <c r="E181" s="77"/>
      <c r="F181" s="77"/>
      <c r="G181" s="77"/>
      <c r="H181" s="77"/>
      <c r="I181" s="78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ht="15.75" hidden="1" customHeight="1">
      <c r="A182" s="77"/>
      <c r="B182" s="77"/>
      <c r="C182" s="77"/>
      <c r="D182" s="77"/>
      <c r="E182" s="77"/>
      <c r="F182" s="77"/>
      <c r="G182" s="77"/>
      <c r="H182" s="77"/>
      <c r="I182" s="78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ht="15.75" hidden="1" customHeight="1">
      <c r="A183" s="77"/>
      <c r="B183" s="77"/>
      <c r="C183" s="77"/>
      <c r="D183" s="77"/>
      <c r="E183" s="77"/>
      <c r="F183" s="77"/>
      <c r="G183" s="77"/>
      <c r="H183" s="77"/>
      <c r="I183" s="78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ht="15.75" hidden="1" customHeight="1">
      <c r="A184" s="77"/>
      <c r="B184" s="77"/>
      <c r="C184" s="77"/>
      <c r="D184" s="77"/>
      <c r="E184" s="77"/>
      <c r="F184" s="77"/>
      <c r="G184" s="77"/>
      <c r="H184" s="77"/>
      <c r="I184" s="78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ht="15.75" hidden="1" customHeight="1">
      <c r="A185" s="77"/>
      <c r="B185" s="77"/>
      <c r="C185" s="77"/>
      <c r="D185" s="77"/>
      <c r="E185" s="77"/>
      <c r="F185" s="77"/>
      <c r="G185" s="77"/>
      <c r="H185" s="77"/>
      <c r="I185" s="78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ht="15.75" hidden="1" customHeight="1">
      <c r="A186" s="77"/>
      <c r="B186" s="77"/>
      <c r="C186" s="77"/>
      <c r="D186" s="77"/>
      <c r="E186" s="77"/>
      <c r="F186" s="77"/>
      <c r="G186" s="77"/>
      <c r="H186" s="77"/>
      <c r="I186" s="78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ht="15.75" hidden="1" customHeight="1">
      <c r="A187" s="77"/>
      <c r="B187" s="77"/>
      <c r="C187" s="77"/>
      <c r="D187" s="77"/>
      <c r="E187" s="77"/>
      <c r="F187" s="77"/>
      <c r="G187" s="77"/>
      <c r="H187" s="77"/>
      <c r="I187" s="78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ht="15.75" hidden="1" customHeight="1">
      <c r="A188" s="77"/>
      <c r="B188" s="77"/>
      <c r="C188" s="77"/>
      <c r="D188" s="77"/>
      <c r="E188" s="77"/>
      <c r="F188" s="77"/>
      <c r="G188" s="77"/>
      <c r="H188" s="77"/>
      <c r="I188" s="78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ht="15.75" hidden="1" customHeight="1">
      <c r="A189" s="77"/>
      <c r="B189" s="77"/>
      <c r="C189" s="77"/>
      <c r="D189" s="77"/>
      <c r="E189" s="77"/>
      <c r="F189" s="77"/>
      <c r="G189" s="77"/>
      <c r="H189" s="77"/>
      <c r="I189" s="78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ht="15.75" hidden="1" customHeight="1">
      <c r="A190" s="77"/>
      <c r="B190" s="77"/>
      <c r="C190" s="77"/>
      <c r="D190" s="77"/>
      <c r="E190" s="77"/>
      <c r="F190" s="77"/>
      <c r="G190" s="77"/>
      <c r="H190" s="77"/>
      <c r="I190" s="78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ht="15.75" hidden="1" customHeight="1">
      <c r="A191" s="77"/>
      <c r="B191" s="77"/>
      <c r="C191" s="77"/>
      <c r="D191" s="77"/>
      <c r="E191" s="77"/>
      <c r="F191" s="77"/>
      <c r="G191" s="77"/>
      <c r="H191" s="77"/>
      <c r="I191" s="78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ht="15.75" hidden="1" customHeight="1">
      <c r="A192" s="77"/>
      <c r="B192" s="77"/>
      <c r="C192" s="77"/>
      <c r="D192" s="77"/>
      <c r="E192" s="77"/>
      <c r="F192" s="77"/>
      <c r="G192" s="77"/>
      <c r="H192" s="77"/>
      <c r="I192" s="78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ht="15.75" hidden="1" customHeight="1">
      <c r="A193" s="77"/>
      <c r="B193" s="77"/>
      <c r="C193" s="77"/>
      <c r="D193" s="77"/>
      <c r="E193" s="77"/>
      <c r="F193" s="77"/>
      <c r="G193" s="77"/>
      <c r="H193" s="77"/>
      <c r="I193" s="78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ht="15.75" hidden="1" customHeight="1">
      <c r="A194" s="77"/>
      <c r="B194" s="77"/>
      <c r="C194" s="77"/>
      <c r="D194" s="77"/>
      <c r="E194" s="77"/>
      <c r="F194" s="77"/>
      <c r="G194" s="77"/>
      <c r="H194" s="77"/>
      <c r="I194" s="78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ht="15.75" hidden="1" customHeight="1">
      <c r="A195" s="77"/>
      <c r="B195" s="77"/>
      <c r="C195" s="77"/>
      <c r="D195" s="77"/>
      <c r="E195" s="77"/>
      <c r="F195" s="77"/>
      <c r="G195" s="77"/>
      <c r="H195" s="77"/>
      <c r="I195" s="78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ht="15.75" hidden="1" customHeight="1">
      <c r="A196" s="77"/>
      <c r="B196" s="77"/>
      <c r="C196" s="77"/>
      <c r="D196" s="77"/>
      <c r="E196" s="77"/>
      <c r="F196" s="77"/>
      <c r="G196" s="77"/>
      <c r="H196" s="77"/>
      <c r="I196" s="78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ht="15.75" hidden="1" customHeight="1">
      <c r="A197" s="77"/>
      <c r="B197" s="77"/>
      <c r="C197" s="77"/>
      <c r="D197" s="77"/>
      <c r="E197" s="77"/>
      <c r="F197" s="77"/>
      <c r="G197" s="77"/>
      <c r="H197" s="77"/>
      <c r="I197" s="78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ht="15.75" hidden="1" customHeight="1">
      <c r="A198" s="77"/>
      <c r="B198" s="77"/>
      <c r="C198" s="77"/>
      <c r="D198" s="77"/>
      <c r="E198" s="77"/>
      <c r="F198" s="77"/>
      <c r="G198" s="77"/>
      <c r="H198" s="77"/>
      <c r="I198" s="78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ht="15.75" hidden="1" customHeight="1">
      <c r="A199" s="77"/>
      <c r="B199" s="77"/>
      <c r="C199" s="77"/>
      <c r="D199" s="77"/>
      <c r="E199" s="77"/>
      <c r="F199" s="77"/>
      <c r="G199" s="77"/>
      <c r="H199" s="77"/>
      <c r="I199" s="78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ht="15.75" hidden="1" customHeight="1">
      <c r="A200" s="77"/>
      <c r="B200" s="77"/>
      <c r="C200" s="77"/>
      <c r="D200" s="77"/>
      <c r="E200" s="77"/>
      <c r="F200" s="77"/>
      <c r="G200" s="77"/>
      <c r="H200" s="77"/>
      <c r="I200" s="78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ht="15.75" hidden="1" customHeight="1">
      <c r="A201" s="77"/>
      <c r="B201" s="77"/>
      <c r="C201" s="77"/>
      <c r="D201" s="77"/>
      <c r="E201" s="77"/>
      <c r="F201" s="77"/>
      <c r="G201" s="77"/>
      <c r="H201" s="77"/>
      <c r="I201" s="78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ht="15.75" hidden="1" customHeight="1">
      <c r="A202" s="77"/>
      <c r="B202" s="77"/>
      <c r="C202" s="77"/>
      <c r="D202" s="77"/>
      <c r="E202" s="77"/>
      <c r="F202" s="77"/>
      <c r="G202" s="77"/>
      <c r="H202" s="77"/>
      <c r="I202" s="78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ht="15.75" hidden="1" customHeight="1">
      <c r="A203" s="77"/>
      <c r="B203" s="77"/>
      <c r="C203" s="77"/>
      <c r="D203" s="77"/>
      <c r="E203" s="77"/>
      <c r="F203" s="77"/>
      <c r="G203" s="77"/>
      <c r="H203" s="77"/>
      <c r="I203" s="78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ht="15.75" hidden="1" customHeight="1">
      <c r="A204" s="77"/>
      <c r="B204" s="77"/>
      <c r="C204" s="77"/>
      <c r="D204" s="77"/>
      <c r="E204" s="77"/>
      <c r="F204" s="77"/>
      <c r="G204" s="77"/>
      <c r="H204" s="77"/>
      <c r="I204" s="78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ht="15.75" hidden="1" customHeight="1">
      <c r="A205" s="77"/>
      <c r="B205" s="77"/>
      <c r="C205" s="77"/>
      <c r="D205" s="77"/>
      <c r="E205" s="77"/>
      <c r="F205" s="77"/>
      <c r="G205" s="77"/>
      <c r="H205" s="77"/>
      <c r="I205" s="78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ht="15.75" hidden="1" customHeight="1">
      <c r="A206" s="77"/>
      <c r="B206" s="77"/>
      <c r="C206" s="77"/>
      <c r="D206" s="77"/>
      <c r="E206" s="77"/>
      <c r="F206" s="77"/>
      <c r="G206" s="77"/>
      <c r="H206" s="77"/>
      <c r="I206" s="78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ht="15.75" hidden="1" customHeight="1">
      <c r="A207" s="77"/>
      <c r="B207" s="77"/>
      <c r="C207" s="77"/>
      <c r="D207" s="77"/>
      <c r="E207" s="77"/>
      <c r="F207" s="77"/>
      <c r="G207" s="77"/>
      <c r="H207" s="77"/>
      <c r="I207" s="78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ht="15.75" hidden="1" customHeight="1">
      <c r="A208" s="77"/>
      <c r="B208" s="77"/>
      <c r="C208" s="77"/>
      <c r="D208" s="77"/>
      <c r="E208" s="77"/>
      <c r="F208" s="77"/>
      <c r="G208" s="77"/>
      <c r="H208" s="77"/>
      <c r="I208" s="78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5.75" hidden="1" customHeight="1">
      <c r="A209" s="77"/>
      <c r="B209" s="77"/>
      <c r="C209" s="77"/>
      <c r="D209" s="77"/>
      <c r="E209" s="77"/>
      <c r="F209" s="77"/>
      <c r="G209" s="77"/>
      <c r="H209" s="77"/>
      <c r="I209" s="78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5.75" hidden="1" customHeight="1">
      <c r="A210" s="77"/>
      <c r="B210" s="77"/>
      <c r="C210" s="77"/>
      <c r="D210" s="77"/>
      <c r="E210" s="77"/>
      <c r="F210" s="77"/>
      <c r="G210" s="77"/>
      <c r="H210" s="77"/>
      <c r="I210" s="78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5.75" hidden="1" customHeight="1">
      <c r="A211" s="77"/>
      <c r="B211" s="77"/>
      <c r="C211" s="77"/>
      <c r="D211" s="77"/>
      <c r="E211" s="77"/>
      <c r="F211" s="77"/>
      <c r="G211" s="77"/>
      <c r="H211" s="77"/>
      <c r="I211" s="78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5.75" hidden="1" customHeight="1">
      <c r="A212" s="77"/>
      <c r="B212" s="77"/>
      <c r="C212" s="77"/>
      <c r="D212" s="77"/>
      <c r="E212" s="77"/>
      <c r="F212" s="77"/>
      <c r="G212" s="77"/>
      <c r="H212" s="77"/>
      <c r="I212" s="78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5.75" hidden="1" customHeight="1">
      <c r="A213" s="77"/>
      <c r="B213" s="77"/>
      <c r="C213" s="77"/>
      <c r="D213" s="77"/>
      <c r="E213" s="77"/>
      <c r="F213" s="77"/>
      <c r="G213" s="77"/>
      <c r="H213" s="77"/>
      <c r="I213" s="78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5.75" hidden="1" customHeight="1">
      <c r="A214" s="77"/>
      <c r="B214" s="77"/>
      <c r="C214" s="77"/>
      <c r="D214" s="77"/>
      <c r="E214" s="77"/>
      <c r="F214" s="77"/>
      <c r="G214" s="77"/>
      <c r="H214" s="77"/>
      <c r="I214" s="78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5.75" hidden="1" customHeight="1">
      <c r="A215" s="77"/>
      <c r="B215" s="77"/>
      <c r="C215" s="77"/>
      <c r="D215" s="77"/>
      <c r="E215" s="77"/>
      <c r="F215" s="77"/>
      <c r="G215" s="77"/>
      <c r="H215" s="77"/>
      <c r="I215" s="78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5.75" hidden="1" customHeight="1">
      <c r="A216" s="77"/>
      <c r="B216" s="77"/>
      <c r="C216" s="77"/>
      <c r="D216" s="77"/>
      <c r="E216" s="77"/>
      <c r="F216" s="77"/>
      <c r="G216" s="77"/>
      <c r="H216" s="77"/>
      <c r="I216" s="78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5.75" hidden="1" customHeight="1">
      <c r="A217" s="77"/>
      <c r="B217" s="77"/>
      <c r="C217" s="77"/>
      <c r="D217" s="77"/>
      <c r="E217" s="77"/>
      <c r="F217" s="77"/>
      <c r="G217" s="77"/>
      <c r="H217" s="77"/>
      <c r="I217" s="78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5.75" hidden="1" customHeight="1">
      <c r="A218" s="77"/>
      <c r="B218" s="77"/>
      <c r="C218" s="77"/>
      <c r="D218" s="77"/>
      <c r="E218" s="77"/>
      <c r="F218" s="77"/>
      <c r="G218" s="77"/>
      <c r="H218" s="77"/>
      <c r="I218" s="78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ht="15.75" hidden="1" customHeight="1">
      <c r="A219" s="77"/>
      <c r="B219" s="77"/>
      <c r="C219" s="77"/>
      <c r="D219" s="77"/>
      <c r="E219" s="77"/>
      <c r="F219" s="77"/>
      <c r="G219" s="77"/>
      <c r="H219" s="77"/>
      <c r="I219" s="78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ht="15.75" hidden="1" customHeight="1">
      <c r="A220" s="77"/>
      <c r="B220" s="77"/>
      <c r="C220" s="77"/>
      <c r="D220" s="77"/>
      <c r="E220" s="77"/>
      <c r="F220" s="77"/>
      <c r="G220" s="77"/>
      <c r="H220" s="77"/>
      <c r="I220" s="78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ht="15.75" hidden="1" customHeight="1">
      <c r="A221" s="77"/>
      <c r="B221" s="77"/>
      <c r="C221" s="77"/>
      <c r="D221" s="77"/>
      <c r="E221" s="77"/>
      <c r="F221" s="77"/>
      <c r="G221" s="77"/>
      <c r="H221" s="77"/>
      <c r="I221" s="78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ht="15.75" hidden="1" customHeight="1">
      <c r="A222" s="77"/>
      <c r="B222" s="77"/>
      <c r="C222" s="77"/>
      <c r="D222" s="77"/>
      <c r="E222" s="77"/>
      <c r="F222" s="77"/>
      <c r="G222" s="77"/>
      <c r="H222" s="77"/>
      <c r="I222" s="78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ht="15.75" hidden="1" customHeight="1">
      <c r="A223" s="77"/>
      <c r="B223" s="77"/>
      <c r="C223" s="77"/>
      <c r="D223" s="77"/>
      <c r="E223" s="77"/>
      <c r="F223" s="77"/>
      <c r="G223" s="77"/>
      <c r="H223" s="77"/>
      <c r="I223" s="78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ht="15.75" hidden="1" customHeight="1">
      <c r="A224" s="77"/>
      <c r="B224" s="77"/>
      <c r="C224" s="77"/>
      <c r="D224" s="77"/>
      <c r="E224" s="77"/>
      <c r="F224" s="77"/>
      <c r="G224" s="77"/>
      <c r="H224" s="77"/>
      <c r="I224" s="78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ht="15.75" hidden="1" customHeight="1">
      <c r="A225" s="77"/>
      <c r="B225" s="77"/>
      <c r="C225" s="77"/>
      <c r="D225" s="77"/>
      <c r="E225" s="77"/>
      <c r="F225" s="77"/>
      <c r="G225" s="77"/>
      <c r="H225" s="77"/>
      <c r="I225" s="78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ht="15.75" hidden="1" customHeight="1">
      <c r="A226" s="77"/>
      <c r="B226" s="77"/>
      <c r="C226" s="77"/>
      <c r="D226" s="77"/>
      <c r="E226" s="77"/>
      <c r="F226" s="77"/>
      <c r="G226" s="77"/>
      <c r="H226" s="77"/>
      <c r="I226" s="78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ht="15.75" hidden="1" customHeight="1">
      <c r="A227" s="77"/>
      <c r="B227" s="77"/>
      <c r="C227" s="77"/>
      <c r="D227" s="77"/>
      <c r="E227" s="77"/>
      <c r="F227" s="77"/>
      <c r="G227" s="77"/>
      <c r="H227" s="77"/>
      <c r="I227" s="78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ht="15.75" hidden="1" customHeight="1">
      <c r="A228" s="77"/>
      <c r="B228" s="77"/>
      <c r="C228" s="77"/>
      <c r="D228" s="77"/>
      <c r="E228" s="77"/>
      <c r="F228" s="77"/>
      <c r="G228" s="77"/>
      <c r="H228" s="77"/>
      <c r="I228" s="78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ht="15.75" hidden="1" customHeight="1">
      <c r="A229" s="77"/>
      <c r="B229" s="77"/>
      <c r="C229" s="77"/>
      <c r="D229" s="77"/>
      <c r="E229" s="77"/>
      <c r="F229" s="77"/>
      <c r="G229" s="77"/>
      <c r="H229" s="77"/>
      <c r="I229" s="78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ht="15.75" hidden="1" customHeight="1">
      <c r="A230" s="77"/>
      <c r="B230" s="77"/>
      <c r="C230" s="77"/>
      <c r="D230" s="77"/>
      <c r="E230" s="77"/>
      <c r="F230" s="77"/>
      <c r="G230" s="77"/>
      <c r="H230" s="77"/>
      <c r="I230" s="78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ht="15.75" hidden="1" customHeight="1">
      <c r="A231" s="77"/>
      <c r="B231" s="77"/>
      <c r="C231" s="77"/>
      <c r="D231" s="77"/>
      <c r="E231" s="77"/>
      <c r="F231" s="77"/>
      <c r="G231" s="77"/>
      <c r="H231" s="77"/>
      <c r="I231" s="78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ht="15.75" hidden="1" customHeight="1">
      <c r="A232" s="77"/>
      <c r="B232" s="77"/>
      <c r="C232" s="77"/>
      <c r="D232" s="77"/>
      <c r="E232" s="77"/>
      <c r="F232" s="77"/>
      <c r="G232" s="77"/>
      <c r="H232" s="77"/>
      <c r="I232" s="78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ht="15.75" hidden="1" customHeight="1">
      <c r="A233" s="77"/>
      <c r="B233" s="77"/>
      <c r="C233" s="77"/>
      <c r="D233" s="77"/>
      <c r="E233" s="77"/>
      <c r="F233" s="77"/>
      <c r="G233" s="77"/>
      <c r="H233" s="77"/>
      <c r="I233" s="78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ht="15.75" hidden="1" customHeight="1">
      <c r="A234" s="77"/>
      <c r="B234" s="77"/>
      <c r="C234" s="77"/>
      <c r="D234" s="77"/>
      <c r="E234" s="77"/>
      <c r="F234" s="77"/>
      <c r="G234" s="77"/>
      <c r="H234" s="77"/>
      <c r="I234" s="78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ht="15.75" hidden="1" customHeight="1">
      <c r="A235" s="77"/>
      <c r="B235" s="77"/>
      <c r="C235" s="77"/>
      <c r="D235" s="77"/>
      <c r="E235" s="77"/>
      <c r="F235" s="77"/>
      <c r="G235" s="77"/>
      <c r="H235" s="77"/>
      <c r="I235" s="78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ht="15.75" hidden="1" customHeight="1">
      <c r="A236" s="77"/>
      <c r="B236" s="77"/>
      <c r="C236" s="77"/>
      <c r="D236" s="77"/>
      <c r="E236" s="77"/>
      <c r="F236" s="77"/>
      <c r="G236" s="77"/>
      <c r="H236" s="77"/>
      <c r="I236" s="78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ht="15.75" hidden="1" customHeight="1">
      <c r="A237" s="77"/>
      <c r="B237" s="77"/>
      <c r="C237" s="77"/>
      <c r="D237" s="77"/>
      <c r="E237" s="77"/>
      <c r="F237" s="77"/>
      <c r="G237" s="77"/>
      <c r="H237" s="77"/>
      <c r="I237" s="78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ht="15.75" hidden="1" customHeight="1">
      <c r="A238" s="77"/>
      <c r="B238" s="77"/>
      <c r="C238" s="77"/>
      <c r="D238" s="77"/>
      <c r="E238" s="77"/>
      <c r="F238" s="77"/>
      <c r="G238" s="77"/>
      <c r="H238" s="77"/>
      <c r="I238" s="78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ht="15.75" hidden="1" customHeight="1">
      <c r="A239" s="77"/>
      <c r="B239" s="77"/>
      <c r="C239" s="77"/>
      <c r="D239" s="77"/>
      <c r="E239" s="77"/>
      <c r="F239" s="77"/>
      <c r="G239" s="77"/>
      <c r="H239" s="77"/>
      <c r="I239" s="78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5:A38"/>
    <mergeCell ref="B5:C5"/>
  </mergeCells>
  <conditionalFormatting sqref="B7:B30">
    <cfRule type="containsText" dxfId="44" priority="1" operator="containsText" text="NIght">
      <formula>NOT(ISERROR(SEARCH(("NIght"),(B7))))</formula>
    </cfRule>
  </conditionalFormatting>
  <conditionalFormatting sqref="B7:B30">
    <cfRule type="containsText" dxfId="2" priority="2" operator="containsText" text="Citrine">
      <formula>NOT(ISERROR(SEARCH(("Citrine"),(B7))))</formula>
    </cfRule>
  </conditionalFormatting>
  <conditionalFormatting sqref="B7:B30">
    <cfRule type="containsText" dxfId="3" priority="3" operator="containsText" text="Onyx">
      <formula>NOT(ISERROR(SEARCH(("Onyx"),(B7))))</formula>
    </cfRule>
  </conditionalFormatting>
  <conditionalFormatting sqref="B7:B30">
    <cfRule type="containsText" dxfId="4" priority="4" operator="containsText" text="POI">
      <formula>NOT(ISERROR(SEARCH(("POI"),(B7))))</formula>
    </cfRule>
  </conditionalFormatting>
  <conditionalFormatting sqref="B7:B30">
    <cfRule type="containsText" dxfId="5" priority="5" operator="containsText" text="Electric M">
      <formula>NOT(ISERROR(SEARCH(("Electric M"),(B7))))</formula>
    </cfRule>
  </conditionalFormatting>
  <conditionalFormatting sqref="B7:B30">
    <cfRule type="containsText" dxfId="6" priority="6" operator="containsText" text="Family">
      <formula>NOT(ISERROR(SEARCH(("Family"),(B7))))</formula>
    </cfRule>
  </conditionalFormatting>
  <conditionalFormatting sqref="B7:B30">
    <cfRule type="containsText" dxfId="7" priority="7" operator="containsText" text="Jelly">
      <formula>NOT(ISERROR(SEARCH(("Jelly"),(B7))))</formula>
    </cfRule>
  </conditionalFormatting>
  <conditionalFormatting sqref="B7:B30">
    <cfRule type="containsText" dxfId="8" priority="8" operator="containsText" text="Bitter">
      <formula>NOT(ISERROR(SEARCH(("Bitter"),(B7))))</formula>
    </cfRule>
  </conditionalFormatting>
  <conditionalFormatting sqref="B7:B30">
    <cfRule type="containsText" dxfId="9" priority="9" operator="containsText" text="Red">
      <formula>NOT(ISERROR(SEARCH(("Red"),(B7))))</formula>
    </cfRule>
  </conditionalFormatting>
  <conditionalFormatting sqref="B7:B30">
    <cfRule type="containsText" dxfId="10" priority="10" operator="containsText" text="Timber">
      <formula>NOT(ISERROR(SEARCH(("Timber"),(B7))))</formula>
    </cfRule>
  </conditionalFormatting>
  <conditionalFormatting sqref="B7:B30">
    <cfRule type="containsText" dxfId="11" priority="11" operator="containsText" text="White">
      <formula>NOT(ISERROR(SEARCH(("White"),(B7))))</formula>
    </cfRule>
  </conditionalFormatting>
  <conditionalFormatting sqref="B7:B30">
    <cfRule type="containsText" dxfId="12" priority="12" operator="containsText" text="Rob">
      <formula>NOT(ISERROR(SEARCH(("Rob"),(B7))))</formula>
    </cfRule>
  </conditionalFormatting>
  <conditionalFormatting sqref="B7:B30">
    <cfRule type="containsText" dxfId="13" priority="13" operator="containsText" text="Joystick">
      <formula>NOT(ISERROR(SEARCH(("Joystick"),(B7))))</formula>
    </cfRule>
  </conditionalFormatting>
  <conditionalFormatting sqref="B7:B30">
    <cfRule type="containsText" dxfId="14" priority="14" operator="containsText" text="Wheel">
      <formula>NOT(ISERROR(SEARCH(("Wheel"),(B7))))</formula>
    </cfRule>
  </conditionalFormatting>
  <conditionalFormatting sqref="B7:B30">
    <cfRule type="containsText" dxfId="15" priority="15" operator="containsText" text="Carrot">
      <formula>NOT(ISERROR(SEARCH(("Carrot"),(B7))))</formula>
    </cfRule>
  </conditionalFormatting>
  <conditionalFormatting sqref="B7:B30">
    <cfRule type="cellIs" dxfId="16" priority="16" operator="equal">
      <formula>"Crossbow"</formula>
    </cfRule>
  </conditionalFormatting>
  <conditionalFormatting sqref="B7:B30">
    <cfRule type="containsText" dxfId="17" priority="17" operator="containsText" text="Catapult">
      <formula>NOT(ISERROR(SEARCH(("Catapult"),(B7))))</formula>
    </cfRule>
  </conditionalFormatting>
  <conditionalFormatting sqref="B7:B30">
    <cfRule type="containsText" dxfId="18" priority="18" operator="containsText" text="Car Evo">
      <formula>NOT(ISERROR(SEARCH(("Car Evo"),(B7))))</formula>
    </cfRule>
  </conditionalFormatting>
  <conditionalFormatting sqref="B7:B30">
    <cfRule type="containsText" dxfId="19" priority="19" operator="containsText" text="Sapphire">
      <formula>NOT(ISERROR(SEARCH(("Sapphire"),(B7))))</formula>
    </cfRule>
  </conditionalFormatting>
  <conditionalFormatting sqref="B7:B30">
    <cfRule type="containsText" dxfId="20" priority="20" operator="containsText" text="Dande">
      <formula>NOT(ISERROR(SEARCH(("Dande"),(B7))))</formula>
    </cfRule>
  </conditionalFormatting>
  <conditionalFormatting sqref="B7:B30">
    <cfRule type="containsText" dxfId="21" priority="21" operator="containsText" text="Surprise">
      <formula>NOT(ISERROR(SEARCH(("Surprise"),(B7))))</formula>
    </cfRule>
  </conditionalFormatting>
  <conditionalFormatting sqref="B7:B30">
    <cfRule type="containsText" dxfId="22" priority="22" operator="containsText" text="Field e">
      <formula>NOT(ISERROR(SEARCH(("Field e"),(B7))))</formula>
    </cfRule>
  </conditionalFormatting>
  <conditionalFormatting sqref="B7:B30">
    <cfRule type="containsText" dxfId="23" priority="23" operator="containsText" text="Air Mystery">
      <formula>NOT(ISERROR(SEARCH(("Air Mystery"),(B7))))</formula>
    </cfRule>
  </conditionalFormatting>
  <conditionalFormatting sqref="B7:B30">
    <cfRule type="containsText" dxfId="24" priority="24" operator="containsText" text="White">
      <formula>NOT(ISERROR(SEARCH(("White"),(B7))))</formula>
    </cfRule>
  </conditionalFormatting>
  <conditionalFormatting sqref="B7:B30">
    <cfRule type="containsText" dxfId="25" priority="25" operator="containsText" text="Peas">
      <formula>NOT(ISERROR(SEARCH(("Peas"),(B7))))</formula>
    </cfRule>
  </conditionalFormatting>
  <conditionalFormatting sqref="B7:B30">
    <cfRule type="containsText" dxfId="26" priority="26" operator="containsText" text="Burnt">
      <formula>NOT(ISERROR(SEARCH(("Burnt"),(B7))))</formula>
    </cfRule>
  </conditionalFormatting>
  <conditionalFormatting sqref="B7:B30">
    <cfRule type="containsText" dxfId="27" priority="27" operator="containsText" text="Forest">
      <formula>NOT(ISERROR(SEARCH(("Forest"),(B7))))</formula>
    </cfRule>
  </conditionalFormatting>
  <conditionalFormatting sqref="B7:B30">
    <cfRule type="containsText" dxfId="28" priority="28" operator="containsText" text="Asparagus">
      <formula>NOT(ISERROR(SEARCH(("Asparagus"),(B7))))</formula>
    </cfRule>
  </conditionalFormatting>
  <conditionalFormatting sqref="B7:B30">
    <cfRule type="containsText" dxfId="29" priority="29" operator="containsText" text="Olive">
      <formula>NOT(ISERROR(SEARCH(("Olive"),(B7))))</formula>
    </cfRule>
  </conditionalFormatting>
  <conditionalFormatting sqref="B7:B30">
    <cfRule type="containsText" dxfId="30" priority="30" operator="containsText" text="Yellow Gr">
      <formula>NOT(ISERROR(SEARCH(("Yellow Gr"),(B7))))</formula>
    </cfRule>
  </conditionalFormatting>
  <conditionalFormatting sqref="B7:B30">
    <cfRule type="containsText" dxfId="31" priority="31" operator="containsText" text="Silver">
      <formula>NOT(ISERROR(SEARCH(("Silver"),(B7))))</formula>
    </cfRule>
  </conditionalFormatting>
  <conditionalFormatting sqref="B7:B30">
    <cfRule type="containsText" dxfId="32" priority="32" operator="containsText" text="Eggs">
      <formula>NOT(ISERROR(SEARCH(("Eggs"),(B7))))</formula>
    </cfRule>
  </conditionalFormatting>
  <conditionalFormatting sqref="B7:B30">
    <cfRule type="containsText" dxfId="33" priority="33" operator="containsText" text="Submarine">
      <formula>NOT(ISERROR(SEARCH(("Submarine"),(B7))))</formula>
    </cfRule>
  </conditionalFormatting>
  <conditionalFormatting sqref="B7:B30">
    <cfRule type="containsText" dxfId="34" priority="34" operator="containsText" text="Safari">
      <formula>NOT(ISERROR(SEARCH(("Safari"),(B7))))</formula>
    </cfRule>
  </conditionalFormatting>
  <conditionalFormatting sqref="B7:B30">
    <cfRule type="containsText" dxfId="35" priority="35" operator="containsText" text="Horse">
      <formula>NOT(ISERROR(SEARCH(("Horse"),(B7))))</formula>
    </cfRule>
  </conditionalFormatting>
  <conditionalFormatting sqref="A1 B1">
    <cfRule type="expression" dxfId="45" priority="36">
      <formula>$L1=TRUE</formula>
    </cfRule>
  </conditionalFormatting>
  <conditionalFormatting sqref="I7:I30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30">
    <cfRule type="cellIs" dxfId="46" priority="38" operator="greaterThan">
      <formula>0</formula>
    </cfRule>
  </conditionalFormatting>
  <conditionalFormatting sqref="B1:B1004">
    <cfRule type="containsText" dxfId="36" priority="39" operator="containsText" text="Amethyst">
      <formula>NOT(ISERROR(SEARCH(("Amethyst"),(B1))))</formula>
    </cfRule>
  </conditionalFormatting>
  <conditionalFormatting sqref="B1:B1004">
    <cfRule type="containsText" dxfId="47" priority="40" operator="containsText" text="Green">
      <formula>NOT(ISERROR(SEARCH(("Green"),(B1))))</formula>
    </cfRule>
  </conditionalFormatting>
  <conditionalFormatting sqref="B1:B1003">
    <cfRule type="containsText" dxfId="48" priority="41" operator="containsText" text="Shamrock">
      <formula>NOT(ISERROR(SEARCH(("Shamrock"),(B1))))</formula>
    </cfRule>
  </conditionalFormatting>
  <hyperlinks>
    <hyperlink r:id="rId1" ref="B36"/>
    <hyperlink r:id="rId2" ref="B3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 ht="15.75" customHeight="1">
      <c r="A1" s="116"/>
      <c r="B1" s="117" t="s">
        <v>505</v>
      </c>
      <c r="C1" s="118">
        <f>COUNTIFS(B7:B652,"*",E7:E652,"&gt;0")</f>
        <v>35</v>
      </c>
      <c r="D1" s="119"/>
      <c r="E1" s="116"/>
      <c r="F1" s="116"/>
      <c r="G1" s="116"/>
      <c r="H1" s="116"/>
      <c r="I1" s="116"/>
      <c r="J1" s="116"/>
      <c r="K1" s="116"/>
      <c r="L1" s="116"/>
      <c r="M1" s="120" t="s">
        <v>506</v>
      </c>
      <c r="N1" s="121"/>
    </row>
    <row r="2" ht="15.75" customHeight="1">
      <c r="A2" s="116"/>
      <c r="B2" s="117" t="s">
        <v>507</v>
      </c>
      <c r="C2" s="118">
        <f>SUM(C7:C151)</f>
        <v>0</v>
      </c>
      <c r="D2" s="118" t="str">
        <f>IF(C2=Garden!E3,"Correct","Difficult")</f>
        <v>Correct</v>
      </c>
      <c r="E2" s="116"/>
      <c r="F2" s="116"/>
      <c r="G2" s="116"/>
      <c r="H2" s="116"/>
      <c r="I2" s="116"/>
      <c r="J2" s="116"/>
      <c r="K2" s="116"/>
      <c r="L2" s="116"/>
      <c r="M2" s="122" t="s">
        <v>508</v>
      </c>
      <c r="N2" s="123"/>
    </row>
    <row r="3" ht="15.75" customHeight="1">
      <c r="A3" s="116"/>
      <c r="B3" s="117" t="s">
        <v>509</v>
      </c>
      <c r="C3" s="118">
        <f>SUM(D7:D151)</f>
        <v>0</v>
      </c>
      <c r="D3" s="118" t="str">
        <f>IF(C3=Garden!E4,"Correct","Difficult")</f>
        <v>Correct</v>
      </c>
      <c r="E3" s="116"/>
      <c r="F3" s="116"/>
      <c r="G3" s="124"/>
      <c r="H3" s="124"/>
      <c r="I3" s="116"/>
      <c r="J3" s="124"/>
      <c r="K3" s="124"/>
      <c r="L3" s="116"/>
      <c r="M3" s="124"/>
      <c r="N3" s="125"/>
    </row>
    <row r="4" ht="15.75" customHeight="1">
      <c r="A4" s="116"/>
      <c r="B4" s="117" t="s">
        <v>510</v>
      </c>
      <c r="C4" s="118">
        <f>SUM(E7:E151)</f>
        <v>147</v>
      </c>
      <c r="D4" s="118" t="str">
        <f>IF(C4=Garden!E5,"Correct","Difficult")</f>
        <v>Correct</v>
      </c>
      <c r="E4" s="116"/>
      <c r="F4" s="126"/>
      <c r="G4" s="127" t="s">
        <v>511</v>
      </c>
      <c r="H4" s="128"/>
      <c r="I4" s="126"/>
      <c r="J4" s="127" t="s">
        <v>512</v>
      </c>
      <c r="K4" s="128"/>
      <c r="L4" s="126"/>
      <c r="M4" s="127" t="s">
        <v>513</v>
      </c>
      <c r="N4" s="128"/>
    </row>
    <row r="5" ht="15.75" customHeight="1">
      <c r="A5" s="124"/>
      <c r="B5" s="124"/>
      <c r="C5" s="124"/>
      <c r="D5" s="124"/>
      <c r="E5" s="124"/>
      <c r="F5" s="126"/>
      <c r="G5" s="129"/>
      <c r="H5" s="130"/>
      <c r="I5" s="126"/>
      <c r="J5" s="129"/>
      <c r="K5" s="130"/>
      <c r="L5" s="131" t="s">
        <v>514</v>
      </c>
      <c r="M5" s="129"/>
      <c r="N5" s="130"/>
    </row>
    <row r="6" ht="15.75" customHeight="1">
      <c r="A6" s="132" t="s">
        <v>15</v>
      </c>
      <c r="B6" s="133" t="s">
        <v>515</v>
      </c>
      <c r="C6" s="134" t="s">
        <v>27</v>
      </c>
      <c r="D6" s="134" t="s">
        <v>488</v>
      </c>
      <c r="E6" s="134" t="s">
        <v>487</v>
      </c>
      <c r="F6" s="126"/>
      <c r="G6" s="134" t="s">
        <v>515</v>
      </c>
      <c r="H6" s="134" t="s">
        <v>516</v>
      </c>
      <c r="I6" s="126"/>
      <c r="J6" s="134" t="s">
        <v>515</v>
      </c>
      <c r="K6" s="135" t="s">
        <v>517</v>
      </c>
      <c r="L6" s="136" t="s">
        <v>518</v>
      </c>
      <c r="M6" s="133" t="s">
        <v>515</v>
      </c>
      <c r="N6" s="134" t="s">
        <v>517</v>
      </c>
    </row>
    <row r="7" ht="15.75" customHeight="1">
      <c r="A7" s="137">
        <v>1.0</v>
      </c>
      <c r="B7" s="138" t="str">
        <f>IFERROR(__xludf.DUMMYFUNCTION("SORT(UNIQUE(Garden!$H$8:$H154),1,TRUE)"),"29Februaris")</f>
        <v>29Februaris</v>
      </c>
      <c r="C7" s="139">
        <f>IF(ISNUMBER($A7)=TRUE,COUNTIFS(Garden!$H$8:$H154,$B7,Garden!$M$8:$M154,"&gt;0"),"")</f>
        <v>0</v>
      </c>
      <c r="D7" s="139">
        <f>IF(ISNUMBER($A7)=TRUE,COUNTIFS(Garden!$H$8:$H154,$B7,Garden!$N$8:$N154,"&gt;0"),"")</f>
        <v>0</v>
      </c>
      <c r="E7" s="139">
        <f>IF(ISNUMBER($A7)=TRUE,COUNTIFS(Garden!$H$8:$H154,$B7,Garden!$K$8:$K154,"TRUE"),"")</f>
        <v>2</v>
      </c>
      <c r="F7" s="126"/>
      <c r="G7" s="140" t="str">
        <f>IFERROR(__xludf.DUMMYFUNCTION("SORT(QUERY($B7:$E$151,""select B,E where (E&gt;0)""),2,FALSE)"),"Nicolet")</f>
        <v>Nicolet</v>
      </c>
      <c r="H7" s="141">
        <f>IFERROR(__xludf.DUMMYFUNCTION("""COMPUTED_VALUE"""),18.0)</f>
        <v>18</v>
      </c>
      <c r="I7" s="126"/>
      <c r="J7" s="142" t="str">
        <f>IFERROR(__xludf.DUMMYFUNCTION("SORT(QUERY($B$7:$E$151,""select B,D where (D&gt;0)""),2,FALSE)"),"#N/A")</f>
        <v>#N/A</v>
      </c>
      <c r="K7" s="143"/>
      <c r="L7" s="144" t="str">
        <f t="shared" ref="L7:L151" si="1">IF(ISTEXT(J7),Hyperlink($L$5&amp;J7&amp;"/deploys/","Deploys"),"")</f>
        <v/>
      </c>
      <c r="M7" s="145" t="str">
        <f>IFERROR(__xludf.DUMMYFUNCTION("SORT(QUERY($B$7:$E$151,""select B,C where (C&gt;0)""),2,FALSE)"),"#N/A")</f>
        <v>#N/A</v>
      </c>
      <c r="N7" s="141"/>
    </row>
    <row r="8" ht="15.75" customHeight="1">
      <c r="A8" s="137">
        <f t="shared" ref="A8:A151" si="2">IF(ISTEXT(B8)=TRUE,MAX($A$6:$A7)+1,"")</f>
        <v>2</v>
      </c>
      <c r="B8" s="138" t="str">
        <f>IFERROR(__xludf.DUMMYFUNCTION("""COMPUTED_VALUE"""),"5Star")</f>
        <v>5Star</v>
      </c>
      <c r="C8" s="139">
        <f>IF(ISNUMBER($A8)=TRUE,COUNTIFS(Garden!$H$8:$H154,$B8,Garden!$M$8:$M154,"&gt;0"),"")</f>
        <v>0</v>
      </c>
      <c r="D8" s="139">
        <f>IF(ISNUMBER($A8)=TRUE,COUNTIFS(Garden!$H$8:$H154,$B8,Garden!$N$8:$N154,"&gt;0"),"")</f>
        <v>0</v>
      </c>
      <c r="E8" s="139">
        <f>IF(ISNUMBER($A8)=TRUE,COUNTIFS(Garden!$H$8:$H154,$B8,Garden!$K$8:$K154,"TRUE"),"")</f>
        <v>1</v>
      </c>
      <c r="F8" s="126"/>
      <c r="G8" s="140" t="str">
        <f>IFERROR(__xludf.DUMMYFUNCTION("""COMPUTED_VALUE"""),"mathew611")</f>
        <v>mathew611</v>
      </c>
      <c r="H8" s="141">
        <f>IFERROR(__xludf.DUMMYFUNCTION("""COMPUTED_VALUE"""),17.0)</f>
        <v>17</v>
      </c>
      <c r="I8" s="126"/>
      <c r="J8" s="140"/>
      <c r="K8" s="141"/>
      <c r="L8" s="146" t="str">
        <f t="shared" si="1"/>
        <v/>
      </c>
      <c r="M8" s="138"/>
      <c r="N8" s="141"/>
    </row>
    <row r="9" ht="15.75" customHeight="1">
      <c r="A9" s="137">
        <f t="shared" si="2"/>
        <v>3</v>
      </c>
      <c r="B9" s="138" t="str">
        <f>IFERROR(__xludf.DUMMYFUNCTION("""COMPUTED_VALUE"""),"Adushka")</f>
        <v>Adushka</v>
      </c>
      <c r="C9" s="139">
        <f>IF(ISNUMBER($A9)=TRUE,COUNTIFS(Garden!$H$8:$H154,$B9,Garden!$M$8:$M154,"&gt;0"),"")</f>
        <v>0</v>
      </c>
      <c r="D9" s="139">
        <f>IF(ISNUMBER($A9)=TRUE,COUNTIFS(Garden!$H$8:$H154,$B9,Garden!$N$8:$N154,"&gt;0"),"")</f>
        <v>0</v>
      </c>
      <c r="E9" s="139">
        <f>IF(ISNUMBER($A9)=TRUE,COUNTIFS(Garden!$H$8:$H154,$B9,Garden!$K$8:$K154,"TRUE"),"")</f>
        <v>2</v>
      </c>
      <c r="F9" s="126"/>
      <c r="G9" s="140" t="str">
        <f>IFERROR(__xludf.DUMMYFUNCTION("""COMPUTED_VALUE"""),"Neloras")</f>
        <v>Neloras</v>
      </c>
      <c r="H9" s="141">
        <f>IFERROR(__xludf.DUMMYFUNCTION("""COMPUTED_VALUE"""),17.0)</f>
        <v>17</v>
      </c>
      <c r="I9" s="126"/>
      <c r="J9" s="140"/>
      <c r="K9" s="141"/>
      <c r="L9" s="146" t="str">
        <f t="shared" si="1"/>
        <v/>
      </c>
      <c r="M9" s="138"/>
      <c r="N9" s="141"/>
    </row>
    <row r="10" ht="15.75" customHeight="1">
      <c r="A10" s="137">
        <f t="shared" si="2"/>
        <v>4</v>
      </c>
      <c r="B10" s="138" t="str">
        <f>IFERROR(__xludf.DUMMYFUNCTION("""COMPUTED_VALUE"""),"and2470")</f>
        <v>and2470</v>
      </c>
      <c r="C10" s="139">
        <f>IF(ISNUMBER($A10)=TRUE,COUNTIFS(Garden!$H$8:$H154,$B10,Garden!$M$8:$M154,"&gt;0"),"")</f>
        <v>0</v>
      </c>
      <c r="D10" s="139">
        <f>IF(ISNUMBER($A10)=TRUE,COUNTIFS(Garden!$H$8:$H154,$B10,Garden!$N$8:$N154,"&gt;0"),"")</f>
        <v>0</v>
      </c>
      <c r="E10" s="139">
        <f>IF(ISNUMBER($A10)=TRUE,COUNTIFS(Garden!$H$8:$H154,$B10,Garden!$K$8:$K154,"TRUE"),"")</f>
        <v>10</v>
      </c>
      <c r="F10" s="126"/>
      <c r="G10" s="140" t="str">
        <f>IFERROR(__xludf.DUMMYFUNCTION("""COMPUTED_VALUE"""),"Kapor24")</f>
        <v>Kapor24</v>
      </c>
      <c r="H10" s="141">
        <f>IFERROR(__xludf.DUMMYFUNCTION("""COMPUTED_VALUE"""),15.0)</f>
        <v>15</v>
      </c>
      <c r="I10" s="126"/>
      <c r="J10" s="140"/>
      <c r="K10" s="141"/>
      <c r="L10" s="146" t="str">
        <f t="shared" si="1"/>
        <v/>
      </c>
      <c r="M10" s="138"/>
      <c r="N10" s="141"/>
    </row>
    <row r="11" ht="15.75" customHeight="1">
      <c r="A11" s="137">
        <f t="shared" si="2"/>
        <v>5</v>
      </c>
      <c r="B11" s="138" t="str">
        <f>IFERROR(__xludf.DUMMYFUNCTION("""COMPUTED_VALUE"""),"Arendsoog")</f>
        <v>Arendsoog</v>
      </c>
      <c r="C11" s="139">
        <f>IF(ISNUMBER($A11)=TRUE,COUNTIFS(Garden!$H$8:$H154,$B11,Garden!$M$8:$M154,"&gt;0"),"")</f>
        <v>0</v>
      </c>
      <c r="D11" s="139">
        <f>IF(ISNUMBER($A11)=TRUE,COUNTIFS(Garden!$H$8:$H154,$B11,Garden!$N$8:$N154,"&gt;0"),"")</f>
        <v>0</v>
      </c>
      <c r="E11" s="139">
        <f>IF(ISNUMBER($A11)=TRUE,COUNTIFS(Garden!$H$8:$H154,$B11,Garden!$K$8:$K154,"TRUE"),"")</f>
        <v>3</v>
      </c>
      <c r="F11" s="126"/>
      <c r="G11" s="140" t="str">
        <f>IFERROR(__xludf.DUMMYFUNCTION("""COMPUTED_VALUE"""),"EeveeFox")</f>
        <v>EeveeFox</v>
      </c>
      <c r="H11" s="141">
        <f>IFERROR(__xludf.DUMMYFUNCTION("""COMPUTED_VALUE"""),11.0)</f>
        <v>11</v>
      </c>
      <c r="I11" s="126"/>
      <c r="J11" s="140"/>
      <c r="K11" s="141"/>
      <c r="L11" s="146" t="str">
        <f t="shared" si="1"/>
        <v/>
      </c>
      <c r="M11" s="138"/>
      <c r="N11" s="141"/>
    </row>
    <row r="12" ht="15.75" customHeight="1">
      <c r="A12" s="137">
        <f t="shared" si="2"/>
        <v>6</v>
      </c>
      <c r="B12" s="138" t="str">
        <f>IFERROR(__xludf.DUMMYFUNCTION("""COMPUTED_VALUE"""),"BenandJules")</f>
        <v>BenandJules</v>
      </c>
      <c r="C12" s="139">
        <f>IF(ISNUMBER($A12)=TRUE,COUNTIFS(Garden!$H$8:$H154,$B12,Garden!$M$8:$M154,"&gt;0"),"")</f>
        <v>0</v>
      </c>
      <c r="D12" s="139">
        <f>IF(ISNUMBER($A12)=TRUE,COUNTIFS(Garden!$H$8:$H154,$B12,Garden!$N$8:$N154,"&gt;0"),"")</f>
        <v>0</v>
      </c>
      <c r="E12" s="139">
        <f>IF(ISNUMBER($A12)=TRUE,COUNTIFS(Garden!$H$8:$H154,$B12,Garden!$K$8:$K154,"TRUE"),"")</f>
        <v>1</v>
      </c>
      <c r="F12" s="126"/>
      <c r="G12" s="140" t="str">
        <f>IFERROR(__xludf.DUMMYFUNCTION("""COMPUTED_VALUE"""),"and2470")</f>
        <v>and2470</v>
      </c>
      <c r="H12" s="141">
        <f>IFERROR(__xludf.DUMMYFUNCTION("""COMPUTED_VALUE"""),10.0)</f>
        <v>10</v>
      </c>
      <c r="I12" s="126"/>
      <c r="J12" s="140"/>
      <c r="K12" s="141"/>
      <c r="L12" s="146" t="str">
        <f t="shared" si="1"/>
        <v/>
      </c>
      <c r="M12" s="138"/>
      <c r="N12" s="141"/>
    </row>
    <row r="13" ht="15.75" customHeight="1">
      <c r="A13" s="137">
        <f t="shared" si="2"/>
        <v>7</v>
      </c>
      <c r="B13" s="138" t="str">
        <f>IFERROR(__xludf.DUMMYFUNCTION("""COMPUTED_VALUE"""),"CambridgeHannons")</f>
        <v>CambridgeHannons</v>
      </c>
      <c r="C13" s="139">
        <f>IF(ISNUMBER($A13)=TRUE,COUNTIFS(Garden!$H$8:$H154,$B13,Garden!$M$8:$M154,"&gt;0"),"")</f>
        <v>0</v>
      </c>
      <c r="D13" s="139">
        <f>IF(ISNUMBER($A13)=TRUE,COUNTIFS(Garden!$H$8:$H154,$B13,Garden!$N$8:$N154,"&gt;0"),"")</f>
        <v>0</v>
      </c>
      <c r="E13" s="139">
        <f>IF(ISNUMBER($A13)=TRUE,COUNTIFS(Garden!$H$8:$H154,$B13,Garden!$K$8:$K154,"TRUE"),"")</f>
        <v>1</v>
      </c>
      <c r="F13" s="126"/>
      <c r="G13" s="140" t="str">
        <f>IFERROR(__xludf.DUMMYFUNCTION("""COMPUTED_VALUE"""),"Charonovci")</f>
        <v>Charonovci</v>
      </c>
      <c r="H13" s="141">
        <f>IFERROR(__xludf.DUMMYFUNCTION("""COMPUTED_VALUE"""),10.0)</f>
        <v>10</v>
      </c>
      <c r="I13" s="126"/>
      <c r="J13" s="140"/>
      <c r="K13" s="141"/>
      <c r="L13" s="146" t="str">
        <f t="shared" si="1"/>
        <v/>
      </c>
      <c r="M13" s="138"/>
      <c r="N13" s="141"/>
    </row>
    <row r="14" ht="15.75" customHeight="1">
      <c r="A14" s="137">
        <f t="shared" si="2"/>
        <v>8</v>
      </c>
      <c r="B14" s="138" t="str">
        <f>IFERROR(__xludf.DUMMYFUNCTION("""COMPUTED_VALUE"""),"Dazzaf")</f>
        <v>Dazzaf</v>
      </c>
      <c r="C14" s="139">
        <f>IF(ISNUMBER($A14)=TRUE,COUNTIFS(Garden!$H$8:$H154,$B14,Garden!$M$8:$M154,"&gt;0"),"")</f>
        <v>0</v>
      </c>
      <c r="D14" s="139">
        <f>IF(ISNUMBER($A14)=TRUE,COUNTIFS(Garden!$H$8:$H154,$B14,Garden!$N$8:$N154,"&gt;0"),"")</f>
        <v>0</v>
      </c>
      <c r="E14" s="139">
        <f>IF(ISNUMBER($A14)=TRUE,COUNTIFS(Garden!$H$8:$H154,$B14,Garden!$K$8:$K154,"TRUE"),"")</f>
        <v>1</v>
      </c>
      <c r="F14" s="126"/>
      <c r="G14" s="140" t="str">
        <f>IFERROR(__xludf.DUMMYFUNCTION("""COMPUTED_VALUE"""),"Rikitan")</f>
        <v>Rikitan</v>
      </c>
      <c r="H14" s="141">
        <f>IFERROR(__xludf.DUMMYFUNCTION("""COMPUTED_VALUE"""),9.0)</f>
        <v>9</v>
      </c>
      <c r="I14" s="126"/>
      <c r="J14" s="140"/>
      <c r="K14" s="141"/>
      <c r="L14" s="146" t="str">
        <f t="shared" si="1"/>
        <v/>
      </c>
      <c r="M14" s="138"/>
      <c r="N14" s="141"/>
    </row>
    <row r="15" ht="15.75" customHeight="1">
      <c r="A15" s="137">
        <f t="shared" si="2"/>
        <v>9</v>
      </c>
      <c r="B15" s="138" t="str">
        <f>IFERROR(__xludf.DUMMYFUNCTION("""COMPUTED_VALUE"""),"EeveeFox")</f>
        <v>EeveeFox</v>
      </c>
      <c r="C15" s="139">
        <f>IF(ISNUMBER($A15)=TRUE,COUNTIFS(Garden!$H$8:$H154,$B15,Garden!$M$8:$M154,"&gt;0"),"")</f>
        <v>0</v>
      </c>
      <c r="D15" s="139">
        <f>IF(ISNUMBER($A15)=TRUE,COUNTIFS(Garden!$H$8:$H154,$B15,Garden!$N$8:$N154,"&gt;0"),"")</f>
        <v>0</v>
      </c>
      <c r="E15" s="139">
        <f>IF(ISNUMBER($A15)=TRUE,COUNTIFS(Garden!$H$8:$H154,$B15,Garden!$K$8:$K154,"TRUE"),"")</f>
        <v>11</v>
      </c>
      <c r="F15" s="126"/>
      <c r="G15" s="140" t="str">
        <f>IFERROR(__xludf.DUMMYFUNCTION("""COMPUTED_VALUE"""),"MacickaLizza")</f>
        <v>MacickaLizza</v>
      </c>
      <c r="H15" s="141">
        <f>IFERROR(__xludf.DUMMYFUNCTION("""COMPUTED_VALUE"""),8.0)</f>
        <v>8</v>
      </c>
      <c r="I15" s="126"/>
      <c r="J15" s="140"/>
      <c r="K15" s="141"/>
      <c r="L15" s="146" t="str">
        <f t="shared" si="1"/>
        <v/>
      </c>
      <c r="M15" s="138"/>
      <c r="N15" s="141"/>
    </row>
    <row r="16" ht="15.75" customHeight="1">
      <c r="A16" s="137">
        <f t="shared" si="2"/>
        <v>10</v>
      </c>
      <c r="B16" s="138" t="str">
        <f>IFERROR(__xludf.DUMMYFUNCTION("""COMPUTED_VALUE"""),"EmeraldAngel")</f>
        <v>EmeraldAngel</v>
      </c>
      <c r="C16" s="139">
        <f>IF(ISNUMBER($A16)=TRUE,COUNTIFS(Garden!$H$8:$H154,$B16,Garden!$M$8:$M154,"&gt;0"),"")</f>
        <v>0</v>
      </c>
      <c r="D16" s="139">
        <f>IF(ISNUMBER($A16)=TRUE,COUNTIFS(Garden!$H$8:$H154,$B16,Garden!$N$8:$N154,"&gt;0"),"")</f>
        <v>0</v>
      </c>
      <c r="E16" s="139">
        <f>IF(ISNUMBER($A16)=TRUE,COUNTIFS(Garden!$H$8:$H154,$B16,Garden!$K$8:$K154,"TRUE"),"")</f>
        <v>1</v>
      </c>
      <c r="F16" s="126"/>
      <c r="G16" s="140" t="str">
        <f>IFERROR(__xludf.DUMMYFUNCTION("""COMPUTED_VALUE"""),"Arendsoog")</f>
        <v>Arendsoog</v>
      </c>
      <c r="H16" s="141">
        <f>IFERROR(__xludf.DUMMYFUNCTION("""COMPUTED_VALUE"""),3.0)</f>
        <v>3</v>
      </c>
      <c r="I16" s="126"/>
      <c r="J16" s="140"/>
      <c r="K16" s="141"/>
      <c r="L16" s="146" t="str">
        <f t="shared" si="1"/>
        <v/>
      </c>
      <c r="M16" s="138"/>
      <c r="N16" s="141"/>
    </row>
    <row r="17" ht="15.75" customHeight="1">
      <c r="A17" s="137">
        <f t="shared" si="2"/>
        <v>11</v>
      </c>
      <c r="B17" s="138" t="str">
        <f>IFERROR(__xludf.DUMMYFUNCTION("""COMPUTED_VALUE"""),"gd")</f>
        <v>gd</v>
      </c>
      <c r="C17" s="139">
        <f>IF(ISNUMBER($A17)=TRUE,COUNTIFS(Garden!$H$8:$H154,$B17,Garden!$M$8:$M154,"&gt;0"),"")</f>
        <v>0</v>
      </c>
      <c r="D17" s="139">
        <f>IF(ISNUMBER($A17)=TRUE,COUNTIFS(Garden!$H$8:$H154,$B17,Garden!$N$8:$N154,"&gt;0"),"")</f>
        <v>0</v>
      </c>
      <c r="E17" s="139">
        <f>IF(ISNUMBER($A17)=TRUE,COUNTIFS(Garden!$H$8:$H154,$B17,Garden!$K$8:$K154,"TRUE"),"")</f>
        <v>1</v>
      </c>
      <c r="F17" s="126"/>
      <c r="G17" s="140" t="str">
        <f>IFERROR(__xludf.DUMMYFUNCTION("""COMPUTED_VALUE"""),"29Februaris")</f>
        <v>29Februaris</v>
      </c>
      <c r="H17" s="141">
        <f>IFERROR(__xludf.DUMMYFUNCTION("""COMPUTED_VALUE"""),2.0)</f>
        <v>2</v>
      </c>
      <c r="I17" s="126"/>
      <c r="J17" s="140"/>
      <c r="K17" s="141"/>
      <c r="L17" s="146" t="str">
        <f t="shared" si="1"/>
        <v/>
      </c>
      <c r="M17" s="138"/>
      <c r="N17" s="141"/>
    </row>
    <row r="18" ht="15.75" customHeight="1">
      <c r="A18" s="137">
        <f t="shared" si="2"/>
        <v>12</v>
      </c>
      <c r="B18" s="138" t="str">
        <f>IFERROR(__xludf.DUMMYFUNCTION("""COMPUTED_VALUE"""),"georeyna")</f>
        <v>georeyna</v>
      </c>
      <c r="C18" s="139">
        <f>IF(ISNUMBER($A18)=TRUE,COUNTIFS(Garden!$H$8:$H154,$B18,Garden!$M$8:$M154,"&gt;0"),"")</f>
        <v>0</v>
      </c>
      <c r="D18" s="139">
        <f>IF(ISNUMBER($A18)=TRUE,COUNTIFS(Garden!$H$8:$H154,$B18,Garden!$N$8:$N154,"&gt;0"),"")</f>
        <v>0</v>
      </c>
      <c r="E18" s="139">
        <f>IF(ISNUMBER($A18)=TRUE,COUNTIFS(Garden!$H$8:$H154,$B18,Garden!$K$8:$K154,"TRUE"),"")</f>
        <v>2</v>
      </c>
      <c r="F18" s="126"/>
      <c r="G18" s="140" t="str">
        <f>IFERROR(__xludf.DUMMYFUNCTION("""COMPUTED_VALUE"""),"Adushka")</f>
        <v>Adushka</v>
      </c>
      <c r="H18" s="141">
        <f>IFERROR(__xludf.DUMMYFUNCTION("""COMPUTED_VALUE"""),2.0)</f>
        <v>2</v>
      </c>
      <c r="I18" s="126"/>
      <c r="J18" s="140"/>
      <c r="K18" s="141"/>
      <c r="L18" s="146" t="str">
        <f t="shared" si="1"/>
        <v/>
      </c>
      <c r="M18" s="138"/>
      <c r="N18" s="141"/>
    </row>
    <row r="19" ht="15.75" customHeight="1">
      <c r="A19" s="137">
        <f t="shared" si="2"/>
        <v>13</v>
      </c>
      <c r="B19" s="138" t="str">
        <f>IFERROR(__xludf.DUMMYFUNCTION("""COMPUTED_VALUE"""),"Havenicedayjoe")</f>
        <v>Havenicedayjoe</v>
      </c>
      <c r="C19" s="139">
        <f>IF(ISNUMBER($A19)=TRUE,COUNTIFS(Garden!$H$8:$H154,$B19,Garden!$M$8:$M154,"&gt;0"),"")</f>
        <v>0</v>
      </c>
      <c r="D19" s="139">
        <f>IF(ISNUMBER($A19)=TRUE,COUNTIFS(Garden!$H$8:$H154,$B19,Garden!$N$8:$N154,"&gt;0"),"")</f>
        <v>0</v>
      </c>
      <c r="E19" s="139">
        <f>IF(ISNUMBER($A19)=TRUE,COUNTIFS(Garden!$H$8:$H154,$B19,Garden!$K$8:$K154,"TRUE"),"")</f>
        <v>1</v>
      </c>
      <c r="F19" s="126"/>
      <c r="G19" s="140" t="str">
        <f>IFERROR(__xludf.DUMMYFUNCTION("""COMPUTED_VALUE"""),"georeyna")</f>
        <v>georeyna</v>
      </c>
      <c r="H19" s="141">
        <f>IFERROR(__xludf.DUMMYFUNCTION("""COMPUTED_VALUE"""),2.0)</f>
        <v>2</v>
      </c>
      <c r="I19" s="126"/>
      <c r="J19" s="140"/>
      <c r="K19" s="141"/>
      <c r="L19" s="146" t="str">
        <f t="shared" si="1"/>
        <v/>
      </c>
      <c r="M19" s="138"/>
      <c r="N19" s="141"/>
    </row>
    <row r="20" ht="15.75" customHeight="1">
      <c r="A20" s="137">
        <f t="shared" si="2"/>
        <v>14</v>
      </c>
      <c r="B20" s="138" t="str">
        <f>IFERROR(__xludf.DUMMYFUNCTION("""COMPUTED_VALUE"""),"Charonovci")</f>
        <v>Charonovci</v>
      </c>
      <c r="C20" s="139">
        <f>IF(ISNUMBER($A20)=TRUE,COUNTIFS(Garden!$H$8:$H154,$B20,Garden!$M$8:$M154,"&gt;0"),"")</f>
        <v>0</v>
      </c>
      <c r="D20" s="139">
        <f>IF(ISNUMBER($A20)=TRUE,COUNTIFS(Garden!$H$8:$H154,$B20,Garden!$N$8:$N154,"&gt;0"),"")</f>
        <v>0</v>
      </c>
      <c r="E20" s="139">
        <f>IF(ISNUMBER($A20)=TRUE,COUNTIFS(Garden!$H$8:$H154,$B20,Garden!$K$8:$K154,"TRUE"),"")</f>
        <v>10</v>
      </c>
      <c r="F20" s="126"/>
      <c r="G20" s="140" t="str">
        <f>IFERROR(__xludf.DUMMYFUNCTION("""COMPUTED_VALUE"""),"Kumahelion")</f>
        <v>Kumahelion</v>
      </c>
      <c r="H20" s="141">
        <f>IFERROR(__xludf.DUMMYFUNCTION("""COMPUTED_VALUE"""),2.0)</f>
        <v>2</v>
      </c>
      <c r="I20" s="126"/>
      <c r="J20" s="140"/>
      <c r="K20" s="141"/>
      <c r="L20" s="146" t="str">
        <f t="shared" si="1"/>
        <v/>
      </c>
      <c r="M20" s="138"/>
      <c r="N20" s="141"/>
    </row>
    <row r="21" ht="15.75" customHeight="1">
      <c r="A21" s="137">
        <f t="shared" si="2"/>
        <v>15</v>
      </c>
      <c r="B21" s="138" t="str">
        <f>IFERROR(__xludf.DUMMYFUNCTION("""COMPUTED_VALUE"""),"J1Huisman")</f>
        <v>J1Huisman</v>
      </c>
      <c r="C21" s="139">
        <f>IF(ISNUMBER($A21)=TRUE,COUNTIFS(Garden!$H$8:$H154,$B21,Garden!$M$8:$M154,"&gt;0"),"")</f>
        <v>0</v>
      </c>
      <c r="D21" s="139">
        <f>IF(ISNUMBER($A21)=TRUE,COUNTIFS(Garden!$H$8:$H154,$B21,Garden!$N$8:$N154,"&gt;0"),"")</f>
        <v>0</v>
      </c>
      <c r="E21" s="139">
        <f>IF(ISNUMBER($A21)=TRUE,COUNTIFS(Garden!$H$8:$H154,$B21,Garden!$K$8:$K154,"TRUE"),"")</f>
        <v>1</v>
      </c>
      <c r="F21" s="126"/>
      <c r="G21" s="140" t="str">
        <f>IFERROR(__xludf.DUMMYFUNCTION("""COMPUTED_VALUE"""),"5Star")</f>
        <v>5Star</v>
      </c>
      <c r="H21" s="141">
        <f>IFERROR(__xludf.DUMMYFUNCTION("""COMPUTED_VALUE"""),1.0)</f>
        <v>1</v>
      </c>
      <c r="I21" s="126"/>
      <c r="J21" s="140"/>
      <c r="K21" s="141"/>
      <c r="L21" s="146" t="str">
        <f t="shared" si="1"/>
        <v/>
      </c>
      <c r="M21" s="138"/>
      <c r="N21" s="141"/>
    </row>
    <row r="22" ht="15.75" customHeight="1">
      <c r="A22" s="137">
        <f t="shared" si="2"/>
        <v>16</v>
      </c>
      <c r="B22" s="138" t="str">
        <f>IFERROR(__xludf.DUMMYFUNCTION("""COMPUTED_VALUE"""),"Kapor24")</f>
        <v>Kapor24</v>
      </c>
      <c r="C22" s="139">
        <f>IF(ISNUMBER($A22)=TRUE,COUNTIFS(Garden!$H$8:$H154,$B22,Garden!$M$8:$M154,"&gt;0"),"")</f>
        <v>0</v>
      </c>
      <c r="D22" s="139">
        <f>IF(ISNUMBER($A22)=TRUE,COUNTIFS(Garden!$H$8:$H154,$B22,Garden!$N$8:$N154,"&gt;0"),"")</f>
        <v>0</v>
      </c>
      <c r="E22" s="139">
        <f>IF(ISNUMBER($A22)=TRUE,COUNTIFS(Garden!$H$8:$H154,$B22,Garden!$K$8:$K154,"TRUE"),"")</f>
        <v>15</v>
      </c>
      <c r="F22" s="126"/>
      <c r="G22" s="140" t="str">
        <f>IFERROR(__xludf.DUMMYFUNCTION("""COMPUTED_VALUE"""),"BenandJules")</f>
        <v>BenandJules</v>
      </c>
      <c r="H22" s="141">
        <f>IFERROR(__xludf.DUMMYFUNCTION("""COMPUTED_VALUE"""),1.0)</f>
        <v>1</v>
      </c>
      <c r="I22" s="126"/>
      <c r="J22" s="140"/>
      <c r="K22" s="141"/>
      <c r="L22" s="146" t="str">
        <f t="shared" si="1"/>
        <v/>
      </c>
      <c r="M22" s="138"/>
      <c r="N22" s="141"/>
    </row>
    <row r="23" ht="15.75" customHeight="1">
      <c r="A23" s="137">
        <f t="shared" si="2"/>
        <v>17</v>
      </c>
      <c r="B23" s="138" t="str">
        <f>IFERROR(__xludf.DUMMYFUNCTION("""COMPUTED_VALUE"""),"kepke3")</f>
        <v>kepke3</v>
      </c>
      <c r="C23" s="139">
        <f>IF(ISNUMBER($A23)=TRUE,COUNTIFS(Garden!$H$8:$H154,$B23,Garden!$M$8:$M154,"&gt;0"),"")</f>
        <v>0</v>
      </c>
      <c r="D23" s="139">
        <f>IF(ISNUMBER($A23)=TRUE,COUNTIFS(Garden!$H$8:$H154,$B23,Garden!$N$8:$N154,"&gt;0"),"")</f>
        <v>0</v>
      </c>
      <c r="E23" s="139">
        <f>IF(ISNUMBER($A23)=TRUE,COUNTIFS(Garden!$H$8:$H154,$B23,Garden!$K$8:$K154,"TRUE"),"")</f>
        <v>1</v>
      </c>
      <c r="F23" s="126"/>
      <c r="G23" s="140" t="str">
        <f>IFERROR(__xludf.DUMMYFUNCTION("""COMPUTED_VALUE"""),"CambridgeHannons")</f>
        <v>CambridgeHannons</v>
      </c>
      <c r="H23" s="141">
        <f>IFERROR(__xludf.DUMMYFUNCTION("""COMPUTED_VALUE"""),1.0)</f>
        <v>1</v>
      </c>
      <c r="I23" s="126"/>
      <c r="J23" s="140"/>
      <c r="K23" s="141"/>
      <c r="L23" s="146" t="str">
        <f t="shared" si="1"/>
        <v/>
      </c>
      <c r="M23" s="138"/>
      <c r="N23" s="141"/>
    </row>
    <row r="24" ht="15.75" customHeight="1">
      <c r="A24" s="137">
        <f t="shared" si="2"/>
        <v>18</v>
      </c>
      <c r="B24" s="138" t="str">
        <f>IFERROR(__xludf.DUMMYFUNCTION("""COMPUTED_VALUE"""),"Kumahelion")</f>
        <v>Kumahelion</v>
      </c>
      <c r="C24" s="139">
        <f>IF(ISNUMBER($A24)=TRUE,COUNTIFS(Garden!$H$8:$H154,$B24,Garden!$M$8:$M154,"&gt;0"),"")</f>
        <v>0</v>
      </c>
      <c r="D24" s="139">
        <f>IF(ISNUMBER($A24)=TRUE,COUNTIFS(Garden!$H$8:$H154,$B24,Garden!$N$8:$N154,"&gt;0"),"")</f>
        <v>0</v>
      </c>
      <c r="E24" s="139">
        <f>IF(ISNUMBER($A24)=TRUE,COUNTIFS(Garden!$H$8:$H154,$B24,Garden!$K$8:$K154,"TRUE"),"")</f>
        <v>2</v>
      </c>
      <c r="F24" s="126"/>
      <c r="G24" s="140" t="str">
        <f>IFERROR(__xludf.DUMMYFUNCTION("""COMPUTED_VALUE"""),"Dazzaf")</f>
        <v>Dazzaf</v>
      </c>
      <c r="H24" s="141">
        <f>IFERROR(__xludf.DUMMYFUNCTION("""COMPUTED_VALUE"""),1.0)</f>
        <v>1</v>
      </c>
      <c r="I24" s="126"/>
      <c r="J24" s="140"/>
      <c r="K24" s="141"/>
      <c r="L24" s="146" t="str">
        <f t="shared" si="1"/>
        <v/>
      </c>
      <c r="M24" s="138"/>
      <c r="N24" s="141"/>
    </row>
    <row r="25" ht="15.75" customHeight="1">
      <c r="A25" s="137">
        <f t="shared" si="2"/>
        <v>19</v>
      </c>
      <c r="B25" s="138" t="str">
        <f>IFERROR(__xludf.DUMMYFUNCTION("""COMPUTED_VALUE"""),"Lanyasummer")</f>
        <v>Lanyasummer</v>
      </c>
      <c r="C25" s="139">
        <f>IF(ISNUMBER($A25)=TRUE,COUNTIFS(Garden!$H$8:$H154,$B25,Garden!$M$8:$M154,"&gt;0"),"")</f>
        <v>0</v>
      </c>
      <c r="D25" s="139">
        <f>IF(ISNUMBER($A25)=TRUE,COUNTIFS(Garden!$H$8:$H154,$B25,Garden!$N$8:$N154,"&gt;0"),"")</f>
        <v>0</v>
      </c>
      <c r="E25" s="139">
        <f>IF(ISNUMBER($A25)=TRUE,COUNTIFS(Garden!$H$8:$H154,$B25,Garden!$K$8:$K154,"TRUE"),"")</f>
        <v>1</v>
      </c>
      <c r="F25" s="126"/>
      <c r="G25" s="140" t="str">
        <f>IFERROR(__xludf.DUMMYFUNCTION("""COMPUTED_VALUE"""),"EmeraldAngel")</f>
        <v>EmeraldAngel</v>
      </c>
      <c r="H25" s="141">
        <f>IFERROR(__xludf.DUMMYFUNCTION("""COMPUTED_VALUE"""),1.0)</f>
        <v>1</v>
      </c>
      <c r="I25" s="126"/>
      <c r="J25" s="140"/>
      <c r="K25" s="141"/>
      <c r="L25" s="146" t="str">
        <f t="shared" si="1"/>
        <v/>
      </c>
      <c r="M25" s="138"/>
      <c r="N25" s="141"/>
    </row>
    <row r="26" ht="15.75" customHeight="1">
      <c r="A26" s="137">
        <f t="shared" si="2"/>
        <v>20</v>
      </c>
      <c r="B26" s="138" t="str">
        <f>IFERROR(__xludf.DUMMYFUNCTION("""COMPUTED_VALUE"""),"MacickaLizza")</f>
        <v>MacickaLizza</v>
      </c>
      <c r="C26" s="139">
        <f>IF(ISNUMBER($A26)=TRUE,COUNTIFS(Garden!$H$8:$H154,$B26,Garden!$M$8:$M154,"&gt;0"),"")</f>
        <v>0</v>
      </c>
      <c r="D26" s="139">
        <f>IF(ISNUMBER($A26)=TRUE,COUNTIFS(Garden!$H$8:$H154,$B26,Garden!$N$8:$N154,"&gt;0"),"")</f>
        <v>0</v>
      </c>
      <c r="E26" s="139">
        <f>IF(ISNUMBER($A26)=TRUE,COUNTIFS(Garden!$H$8:$H154,$B26,Garden!$K$8:$K154,"TRUE"),"")</f>
        <v>8</v>
      </c>
      <c r="F26" s="126"/>
      <c r="G26" s="140" t="str">
        <f>IFERROR(__xludf.DUMMYFUNCTION("""COMPUTED_VALUE"""),"gd")</f>
        <v>gd</v>
      </c>
      <c r="H26" s="141">
        <f>IFERROR(__xludf.DUMMYFUNCTION("""COMPUTED_VALUE"""),1.0)</f>
        <v>1</v>
      </c>
      <c r="I26" s="126"/>
      <c r="J26" s="140"/>
      <c r="K26" s="141"/>
      <c r="L26" s="146" t="str">
        <f t="shared" si="1"/>
        <v/>
      </c>
      <c r="M26" s="138"/>
      <c r="N26" s="141"/>
    </row>
    <row r="27" ht="15.75" customHeight="1">
      <c r="A27" s="137">
        <f t="shared" si="2"/>
        <v>21</v>
      </c>
      <c r="B27" s="138" t="str">
        <f>IFERROR(__xludf.DUMMYFUNCTION("""COMPUTED_VALUE"""),"MariaBr")</f>
        <v>MariaBr</v>
      </c>
      <c r="C27" s="139">
        <f>IF(ISNUMBER($A27)=TRUE,COUNTIFS(Garden!$H$8:$H154,$B27,Garden!$M$8:$M154,"&gt;0"),"")</f>
        <v>0</v>
      </c>
      <c r="D27" s="139">
        <f>IF(ISNUMBER($A27)=TRUE,COUNTIFS(Garden!$H$8:$H154,$B27,Garden!$N$8:$N154,"&gt;0"),"")</f>
        <v>0</v>
      </c>
      <c r="E27" s="139">
        <f>IF(ISNUMBER($A27)=TRUE,COUNTIFS(Garden!$H$8:$H154,$B27,Garden!$K$8:$K154,"TRUE"),"")</f>
        <v>1</v>
      </c>
      <c r="F27" s="126"/>
      <c r="G27" s="140" t="str">
        <f>IFERROR(__xludf.DUMMYFUNCTION("""COMPUTED_VALUE"""),"Havenicedayjoe")</f>
        <v>Havenicedayjoe</v>
      </c>
      <c r="H27" s="141">
        <f>IFERROR(__xludf.DUMMYFUNCTION("""COMPUTED_VALUE"""),1.0)</f>
        <v>1</v>
      </c>
      <c r="I27" s="126"/>
      <c r="J27" s="140"/>
      <c r="K27" s="141"/>
      <c r="L27" s="146" t="str">
        <f t="shared" si="1"/>
        <v/>
      </c>
      <c r="M27" s="138"/>
      <c r="N27" s="141"/>
    </row>
    <row r="28" ht="15.75" customHeight="1">
      <c r="A28" s="137">
        <f t="shared" si="2"/>
        <v>22</v>
      </c>
      <c r="B28" s="138" t="str">
        <f>IFERROR(__xludf.DUMMYFUNCTION("""COMPUTED_VALUE"""),"mathew611")</f>
        <v>mathew611</v>
      </c>
      <c r="C28" s="139">
        <f>IF(ISNUMBER($A28)=TRUE,COUNTIFS(Garden!$H$8:$H154,$B28,Garden!$M$8:$M154,"&gt;0"),"")</f>
        <v>0</v>
      </c>
      <c r="D28" s="139">
        <f>IF(ISNUMBER($A28)=TRUE,COUNTIFS(Garden!$H$8:$H154,$B28,Garden!$N$8:$N154,"&gt;0"),"")</f>
        <v>0</v>
      </c>
      <c r="E28" s="139">
        <f>IF(ISNUMBER($A28)=TRUE,COUNTIFS(Garden!$H$8:$H154,$B28,Garden!$K$8:$K154,"TRUE"),"")</f>
        <v>17</v>
      </c>
      <c r="F28" s="126"/>
      <c r="G28" s="140" t="str">
        <f>IFERROR(__xludf.DUMMYFUNCTION("""COMPUTED_VALUE"""),"J1Huisman")</f>
        <v>J1Huisman</v>
      </c>
      <c r="H28" s="141">
        <f>IFERROR(__xludf.DUMMYFUNCTION("""COMPUTED_VALUE"""),1.0)</f>
        <v>1</v>
      </c>
      <c r="I28" s="126"/>
      <c r="J28" s="140"/>
      <c r="K28" s="141"/>
      <c r="L28" s="146" t="str">
        <f t="shared" si="1"/>
        <v/>
      </c>
      <c r="M28" s="138"/>
      <c r="N28" s="141"/>
    </row>
    <row r="29" ht="15.75" customHeight="1">
      <c r="A29" s="137">
        <f t="shared" si="2"/>
        <v>23</v>
      </c>
      <c r="B29" s="138" t="str">
        <f>IFERROR(__xludf.DUMMYFUNCTION("""COMPUTED_VALUE"""),"Meganduluth22")</f>
        <v>Meganduluth22</v>
      </c>
      <c r="C29" s="139">
        <f>IF(ISNUMBER($A29)=TRUE,COUNTIFS(Garden!$H$8:$H154,$B29,Garden!$M$8:$M154,"&gt;0"),"")</f>
        <v>0</v>
      </c>
      <c r="D29" s="139">
        <f>IF(ISNUMBER($A29)=TRUE,COUNTIFS(Garden!$H$8:$H154,$B29,Garden!$N$8:$N154,"&gt;0"),"")</f>
        <v>0</v>
      </c>
      <c r="E29" s="139">
        <f>IF(ISNUMBER($A29)=TRUE,COUNTIFS(Garden!$H$8:$H154,$B29,Garden!$K$8:$K154,"TRUE"),"")</f>
        <v>1</v>
      </c>
      <c r="F29" s="126"/>
      <c r="G29" s="140" t="str">
        <f>IFERROR(__xludf.DUMMYFUNCTION("""COMPUTED_VALUE"""),"kepke3")</f>
        <v>kepke3</v>
      </c>
      <c r="H29" s="141">
        <f>IFERROR(__xludf.DUMMYFUNCTION("""COMPUTED_VALUE"""),1.0)</f>
        <v>1</v>
      </c>
      <c r="I29" s="126"/>
      <c r="J29" s="140"/>
      <c r="K29" s="141"/>
      <c r="L29" s="146" t="str">
        <f t="shared" si="1"/>
        <v/>
      </c>
      <c r="M29" s="138"/>
      <c r="N29" s="141"/>
    </row>
    <row r="30" ht="15.75" customHeight="1">
      <c r="A30" s="137">
        <f t="shared" si="2"/>
        <v>24</v>
      </c>
      <c r="B30" s="138" t="str">
        <f>IFERROR(__xludf.DUMMYFUNCTION("""COMPUTED_VALUE"""),"Mon4ikaCriss")</f>
        <v>Mon4ikaCriss</v>
      </c>
      <c r="C30" s="139">
        <f>IF(ISNUMBER($A30)=TRUE,COUNTIFS(Garden!$H$8:$H154,$B30,Garden!$M$8:$M154,"&gt;0"),"")</f>
        <v>0</v>
      </c>
      <c r="D30" s="139">
        <f>IF(ISNUMBER($A30)=TRUE,COUNTIFS(Garden!$H$8:$H154,$B30,Garden!$N$8:$N154,"&gt;0"),"")</f>
        <v>0</v>
      </c>
      <c r="E30" s="139">
        <f>IF(ISNUMBER($A30)=TRUE,COUNTIFS(Garden!$H$8:$H154,$B30,Garden!$K$8:$K154,"TRUE"),"")</f>
        <v>1</v>
      </c>
      <c r="F30" s="126"/>
      <c r="G30" s="140" t="str">
        <f>IFERROR(__xludf.DUMMYFUNCTION("""COMPUTED_VALUE"""),"Lanyasummer")</f>
        <v>Lanyasummer</v>
      </c>
      <c r="H30" s="141">
        <f>IFERROR(__xludf.DUMMYFUNCTION("""COMPUTED_VALUE"""),1.0)</f>
        <v>1</v>
      </c>
      <c r="I30" s="126"/>
      <c r="J30" s="140"/>
      <c r="K30" s="141"/>
      <c r="L30" s="146" t="str">
        <f t="shared" si="1"/>
        <v/>
      </c>
      <c r="M30" s="138"/>
      <c r="N30" s="141"/>
    </row>
    <row r="31" ht="15.75" customHeight="1">
      <c r="A31" s="137">
        <f t="shared" si="2"/>
        <v>25</v>
      </c>
      <c r="B31" s="138" t="str">
        <f>IFERROR(__xludf.DUMMYFUNCTION("""COMPUTED_VALUE"""),"Neloras")</f>
        <v>Neloras</v>
      </c>
      <c r="C31" s="139">
        <f>IF(ISNUMBER($A31)=TRUE,COUNTIFS(Garden!$H$8:$H154,$B31,Garden!$M$8:$M154,"&gt;0"),"")</f>
        <v>0</v>
      </c>
      <c r="D31" s="139">
        <f>IF(ISNUMBER($A31)=TRUE,COUNTIFS(Garden!$H$8:$H154,$B31,Garden!$N$8:$N154,"&gt;0"),"")</f>
        <v>0</v>
      </c>
      <c r="E31" s="139">
        <f>IF(ISNUMBER($A31)=TRUE,COUNTIFS(Garden!$H$8:$H154,$B31,Garden!$K$8:$K154,"TRUE"),"")</f>
        <v>17</v>
      </c>
      <c r="F31" s="126"/>
      <c r="G31" s="140" t="str">
        <f>IFERROR(__xludf.DUMMYFUNCTION("""COMPUTED_VALUE"""),"MariaBr")</f>
        <v>MariaBr</v>
      </c>
      <c r="H31" s="141">
        <f>IFERROR(__xludf.DUMMYFUNCTION("""COMPUTED_VALUE"""),1.0)</f>
        <v>1</v>
      </c>
      <c r="I31" s="126"/>
      <c r="J31" s="140"/>
      <c r="K31" s="141"/>
      <c r="L31" s="146" t="str">
        <f t="shared" si="1"/>
        <v/>
      </c>
      <c r="M31" s="138"/>
      <c r="N31" s="141"/>
    </row>
    <row r="32" ht="15.75" customHeight="1">
      <c r="A32" s="137">
        <f t="shared" si="2"/>
        <v>26</v>
      </c>
      <c r="B32" s="138" t="str">
        <f>IFERROR(__xludf.DUMMYFUNCTION("""COMPUTED_VALUE"""),"Nicolet")</f>
        <v>Nicolet</v>
      </c>
      <c r="C32" s="139">
        <f>IF(ISNUMBER($A32)=TRUE,COUNTIFS(Garden!$H$8:$H154,$B32,Garden!$M$8:$M154,"&gt;0"),"")</f>
        <v>0</v>
      </c>
      <c r="D32" s="139">
        <f>IF(ISNUMBER($A32)=TRUE,COUNTIFS(Garden!$H$8:$H154,$B32,Garden!$N$8:$N154,"&gt;0"),"")</f>
        <v>0</v>
      </c>
      <c r="E32" s="139">
        <f>IF(ISNUMBER($A32)=TRUE,COUNTIFS(Garden!$H$8:$H154,$B32,Garden!$K$8:$K154,"TRUE"),"")</f>
        <v>18</v>
      </c>
      <c r="F32" s="126"/>
      <c r="G32" s="140" t="str">
        <f>IFERROR(__xludf.DUMMYFUNCTION("""COMPUTED_VALUE"""),"Meganduluth22")</f>
        <v>Meganduluth22</v>
      </c>
      <c r="H32" s="141">
        <f>IFERROR(__xludf.DUMMYFUNCTION("""COMPUTED_VALUE"""),1.0)</f>
        <v>1</v>
      </c>
      <c r="I32" s="126"/>
      <c r="J32" s="140"/>
      <c r="K32" s="141"/>
      <c r="L32" s="146" t="str">
        <f t="shared" si="1"/>
        <v/>
      </c>
      <c r="M32" s="138"/>
      <c r="N32" s="141"/>
    </row>
    <row r="33" ht="15.75" customHeight="1">
      <c r="A33" s="137">
        <f t="shared" si="2"/>
        <v>27</v>
      </c>
      <c r="B33" s="138" t="str">
        <f>IFERROR(__xludf.DUMMYFUNCTION("""COMPUTED_VALUE"""),"nyboss")</f>
        <v>nyboss</v>
      </c>
      <c r="C33" s="139">
        <f>IF(ISNUMBER($A33)=TRUE,COUNTIFS(Garden!$H$8:$H154,$B33,Garden!$M$8:$M154,"&gt;0"),"")</f>
        <v>0</v>
      </c>
      <c r="D33" s="139">
        <f>IF(ISNUMBER($A33)=TRUE,COUNTIFS(Garden!$H$8:$H154,$B33,Garden!$N$8:$N154,"&gt;0"),"")</f>
        <v>0</v>
      </c>
      <c r="E33" s="139">
        <f>IF(ISNUMBER($A33)=TRUE,COUNTIFS(Garden!$H$8:$H154,$B33,Garden!$K$8:$K154,"TRUE"),"")</f>
        <v>1</v>
      </c>
      <c r="F33" s="126"/>
      <c r="G33" s="140" t="str">
        <f>IFERROR(__xludf.DUMMYFUNCTION("""COMPUTED_VALUE"""),"Mon4ikaCriss")</f>
        <v>Mon4ikaCriss</v>
      </c>
      <c r="H33" s="141">
        <f>IFERROR(__xludf.DUMMYFUNCTION("""COMPUTED_VALUE"""),1.0)</f>
        <v>1</v>
      </c>
      <c r="I33" s="126"/>
      <c r="J33" s="140"/>
      <c r="K33" s="141"/>
      <c r="L33" s="146" t="str">
        <f t="shared" si="1"/>
        <v/>
      </c>
      <c r="M33" s="138"/>
      <c r="N33" s="141"/>
    </row>
    <row r="34" ht="15.75" customHeight="1">
      <c r="A34" s="137">
        <f t="shared" si="2"/>
        <v>28</v>
      </c>
      <c r="B34" s="138" t="str">
        <f>IFERROR(__xludf.DUMMYFUNCTION("""COMPUTED_VALUE"""),"piesciuk")</f>
        <v>piesciuk</v>
      </c>
      <c r="C34" s="139">
        <f>IF(ISNUMBER($A34)=TRUE,COUNTIFS(Garden!$H$8:$H154,$B34,Garden!$M$8:$M154,"&gt;0"),"")</f>
        <v>0</v>
      </c>
      <c r="D34" s="139">
        <f>IF(ISNUMBER($A34)=TRUE,COUNTIFS(Garden!$H$8:$H154,$B34,Garden!$N$8:$N154,"&gt;0"),"")</f>
        <v>0</v>
      </c>
      <c r="E34" s="139">
        <f>IF(ISNUMBER($A34)=TRUE,COUNTIFS(Garden!$H$8:$H154,$B34,Garden!$K$8:$K154,"TRUE"),"")</f>
        <v>1</v>
      </c>
      <c r="F34" s="126"/>
      <c r="G34" s="140" t="str">
        <f>IFERROR(__xludf.DUMMYFUNCTION("""COMPUTED_VALUE"""),"nyboss")</f>
        <v>nyboss</v>
      </c>
      <c r="H34" s="141">
        <f>IFERROR(__xludf.DUMMYFUNCTION("""COMPUTED_VALUE"""),1.0)</f>
        <v>1</v>
      </c>
      <c r="I34" s="126"/>
      <c r="J34" s="140"/>
      <c r="K34" s="141"/>
      <c r="L34" s="146" t="str">
        <f t="shared" si="1"/>
        <v/>
      </c>
      <c r="M34" s="138"/>
      <c r="N34" s="141"/>
    </row>
    <row r="35" ht="15.75" customHeight="1">
      <c r="A35" s="137">
        <f t="shared" si="2"/>
        <v>29</v>
      </c>
      <c r="B35" s="138" t="str">
        <f>IFERROR(__xludf.DUMMYFUNCTION("""COMPUTED_VALUE"""),"Pinkeltje")</f>
        <v>Pinkeltje</v>
      </c>
      <c r="C35" s="139">
        <f>IF(ISNUMBER($A35)=TRUE,COUNTIFS(Garden!$H$8:$H154,$B35,Garden!$M$8:$M154,"&gt;0"),"")</f>
        <v>0</v>
      </c>
      <c r="D35" s="139">
        <f>IF(ISNUMBER($A35)=TRUE,COUNTIFS(Garden!$H$8:$H154,$B35,Garden!$N$8:$N154,"&gt;0"),"")</f>
        <v>0</v>
      </c>
      <c r="E35" s="139">
        <f>IF(ISNUMBER($A35)=TRUE,COUNTIFS(Garden!$H$8:$H154,$B35,Garden!$K$8:$K154,"TRUE"),"")</f>
        <v>1</v>
      </c>
      <c r="F35" s="126"/>
      <c r="G35" s="140" t="str">
        <f>IFERROR(__xludf.DUMMYFUNCTION("""COMPUTED_VALUE"""),"piesciuk")</f>
        <v>piesciuk</v>
      </c>
      <c r="H35" s="141">
        <f>IFERROR(__xludf.DUMMYFUNCTION("""COMPUTED_VALUE"""),1.0)</f>
        <v>1</v>
      </c>
      <c r="I35" s="126"/>
      <c r="J35" s="140"/>
      <c r="K35" s="141"/>
      <c r="L35" s="146" t="str">
        <f t="shared" si="1"/>
        <v/>
      </c>
      <c r="M35" s="138"/>
      <c r="N35" s="141"/>
    </row>
    <row r="36" ht="15.75" customHeight="1">
      <c r="A36" s="137">
        <f t="shared" si="2"/>
        <v>30</v>
      </c>
      <c r="B36" s="138" t="str">
        <f>IFERROR(__xludf.DUMMYFUNCTION("""COMPUTED_VALUE"""),"Pronkrug")</f>
        <v>Pronkrug</v>
      </c>
      <c r="C36" s="139">
        <f>IF(ISNUMBER($A36)=TRUE,COUNTIFS(Garden!$H$8:$H154,$B36,Garden!$M$8:$M154,"&gt;0"),"")</f>
        <v>0</v>
      </c>
      <c r="D36" s="139">
        <f>IF(ISNUMBER($A36)=TRUE,COUNTIFS(Garden!$H$8:$H154,$B36,Garden!$N$8:$N154,"&gt;0"),"")</f>
        <v>0</v>
      </c>
      <c r="E36" s="139">
        <f>IF(ISNUMBER($A36)=TRUE,COUNTIFS(Garden!$H$8:$H154,$B36,Garden!$K$8:$K154,"TRUE"),"")</f>
        <v>1</v>
      </c>
      <c r="F36" s="126"/>
      <c r="G36" s="140" t="str">
        <f>IFERROR(__xludf.DUMMYFUNCTION("""COMPUTED_VALUE"""),"Pinkeltje")</f>
        <v>Pinkeltje</v>
      </c>
      <c r="H36" s="141">
        <f>IFERROR(__xludf.DUMMYFUNCTION("""COMPUTED_VALUE"""),1.0)</f>
        <v>1</v>
      </c>
      <c r="I36" s="126"/>
      <c r="J36" s="140"/>
      <c r="K36" s="141"/>
      <c r="L36" s="146" t="str">
        <f t="shared" si="1"/>
        <v/>
      </c>
      <c r="M36" s="138"/>
      <c r="N36" s="141"/>
    </row>
    <row r="37" ht="15.75" customHeight="1">
      <c r="A37" s="137">
        <f t="shared" si="2"/>
        <v>31</v>
      </c>
      <c r="B37" s="138" t="str">
        <f>IFERROR(__xludf.DUMMYFUNCTION("""COMPUTED_VALUE"""),"Redsixmix")</f>
        <v>Redsixmix</v>
      </c>
      <c r="C37" s="139">
        <f>IF(ISNUMBER($A37)=TRUE,COUNTIFS(Garden!$H$8:$H154,$B37,Garden!$M$8:$M154,"&gt;0"),"")</f>
        <v>0</v>
      </c>
      <c r="D37" s="139">
        <f>IF(ISNUMBER($A37)=TRUE,COUNTIFS(Garden!$H$8:$H154,$B37,Garden!$N$8:$N154,"&gt;0"),"")</f>
        <v>0</v>
      </c>
      <c r="E37" s="139">
        <f>IF(ISNUMBER($A37)=TRUE,COUNTIFS(Garden!$H$8:$H154,$B37,Garden!$K$8:$K154,"TRUE"),"")</f>
        <v>1</v>
      </c>
      <c r="F37" s="126"/>
      <c r="G37" s="140" t="str">
        <f>IFERROR(__xludf.DUMMYFUNCTION("""COMPUTED_VALUE"""),"Pronkrug")</f>
        <v>Pronkrug</v>
      </c>
      <c r="H37" s="141">
        <f>IFERROR(__xludf.DUMMYFUNCTION("""COMPUTED_VALUE"""),1.0)</f>
        <v>1</v>
      </c>
      <c r="I37" s="126"/>
      <c r="J37" s="140"/>
      <c r="K37" s="141"/>
      <c r="L37" s="146" t="str">
        <f t="shared" si="1"/>
        <v/>
      </c>
      <c r="M37" s="138"/>
      <c r="N37" s="141"/>
    </row>
    <row r="38" ht="15.75" customHeight="1">
      <c r="A38" s="137">
        <f t="shared" si="2"/>
        <v>32</v>
      </c>
      <c r="B38" s="138" t="str">
        <f>IFERROR(__xludf.DUMMYFUNCTION("""COMPUTED_VALUE"""),"Rikitan")</f>
        <v>Rikitan</v>
      </c>
      <c r="C38" s="139">
        <f>IF(ISNUMBER($A38)=TRUE,COUNTIFS(Garden!$H$8:$H154,$B38,Garden!$M$8:$M154,"&gt;0"),"")</f>
        <v>0</v>
      </c>
      <c r="D38" s="139">
        <f>IF(ISNUMBER($A38)=TRUE,COUNTIFS(Garden!$H$8:$H154,$B38,Garden!$N$8:$N154,"&gt;0"),"")</f>
        <v>0</v>
      </c>
      <c r="E38" s="139">
        <f>IF(ISNUMBER($A38)=TRUE,COUNTIFS(Garden!$H$8:$H154,$B38,Garden!$K$8:$K154,"TRUE"),"")</f>
        <v>9</v>
      </c>
      <c r="F38" s="126"/>
      <c r="G38" s="140" t="str">
        <f>IFERROR(__xludf.DUMMYFUNCTION("""COMPUTED_VALUE"""),"Redsixmix")</f>
        <v>Redsixmix</v>
      </c>
      <c r="H38" s="141">
        <f>IFERROR(__xludf.DUMMYFUNCTION("""COMPUTED_VALUE"""),1.0)</f>
        <v>1</v>
      </c>
      <c r="I38" s="126"/>
      <c r="J38" s="140"/>
      <c r="K38" s="141"/>
      <c r="L38" s="146" t="str">
        <f t="shared" si="1"/>
        <v/>
      </c>
      <c r="M38" s="138"/>
      <c r="N38" s="141"/>
    </row>
    <row r="39" ht="15.75" customHeight="1">
      <c r="A39" s="137">
        <f t="shared" si="2"/>
        <v>33</v>
      </c>
      <c r="B39" s="138" t="str">
        <f>IFERROR(__xludf.DUMMYFUNCTION("""COMPUTED_VALUE"""),"SammIam")</f>
        <v>SammIam</v>
      </c>
      <c r="C39" s="139">
        <f>IF(ISNUMBER($A39)=TRUE,COUNTIFS(Garden!$H$8:$H154,$B39,Garden!$M$8:$M154,"&gt;0"),"")</f>
        <v>0</v>
      </c>
      <c r="D39" s="139">
        <f>IF(ISNUMBER($A39)=TRUE,COUNTIFS(Garden!$H$8:$H154,$B39,Garden!$N$8:$N154,"&gt;0"),"")</f>
        <v>0</v>
      </c>
      <c r="E39" s="139">
        <f>IF(ISNUMBER($A39)=TRUE,COUNTIFS(Garden!$H$8:$H154,$B39,Garden!$K$8:$K154,"TRUE"),"")</f>
        <v>1</v>
      </c>
      <c r="F39" s="126"/>
      <c r="G39" s="140" t="str">
        <f>IFERROR(__xludf.DUMMYFUNCTION("""COMPUTED_VALUE"""),"SammIam")</f>
        <v>SammIam</v>
      </c>
      <c r="H39" s="141">
        <f>IFERROR(__xludf.DUMMYFUNCTION("""COMPUTED_VALUE"""),1.0)</f>
        <v>1</v>
      </c>
      <c r="I39" s="126"/>
      <c r="J39" s="140"/>
      <c r="K39" s="141"/>
      <c r="L39" s="146" t="str">
        <f t="shared" si="1"/>
        <v/>
      </c>
      <c r="M39" s="138"/>
      <c r="N39" s="141"/>
    </row>
    <row r="40" ht="15.75" customHeight="1">
      <c r="A40" s="137">
        <f t="shared" si="2"/>
        <v>34</v>
      </c>
      <c r="B40" s="138" t="str">
        <f>IFERROR(__xludf.DUMMYFUNCTION("""COMPUTED_VALUE"""),"TheEvilPoles")</f>
        <v>TheEvilPoles</v>
      </c>
      <c r="C40" s="139">
        <f>IF(ISNUMBER($A40)=TRUE,COUNTIFS(Garden!$H$8:$H154,$B40,Garden!$M$8:$M154,"&gt;0"),"")</f>
        <v>0</v>
      </c>
      <c r="D40" s="139">
        <f>IF(ISNUMBER($A40)=TRUE,COUNTIFS(Garden!$H$8:$H154,$B40,Garden!$N$8:$N154,"&gt;0"),"")</f>
        <v>0</v>
      </c>
      <c r="E40" s="139">
        <f>IF(ISNUMBER($A40)=TRUE,COUNTIFS(Garden!$H$8:$H154,$B40,Garden!$K$8:$K154,"TRUE"),"")</f>
        <v>1</v>
      </c>
      <c r="F40" s="126"/>
      <c r="G40" s="140" t="str">
        <f>IFERROR(__xludf.DUMMYFUNCTION("""COMPUTED_VALUE"""),"TheEvilPoles")</f>
        <v>TheEvilPoles</v>
      </c>
      <c r="H40" s="141">
        <f>IFERROR(__xludf.DUMMYFUNCTION("""COMPUTED_VALUE"""),1.0)</f>
        <v>1</v>
      </c>
      <c r="I40" s="126"/>
      <c r="J40" s="140"/>
      <c r="K40" s="141"/>
      <c r="L40" s="146" t="str">
        <f t="shared" si="1"/>
        <v/>
      </c>
      <c r="M40" s="138"/>
      <c r="N40" s="141"/>
    </row>
    <row r="41" ht="15.75" customHeight="1">
      <c r="A41" s="137">
        <f t="shared" si="2"/>
        <v>35</v>
      </c>
      <c r="B41" s="138" t="str">
        <f>IFERROR(__xludf.DUMMYFUNCTION("""COMPUTED_VALUE"""),"Ujio")</f>
        <v>Ujio</v>
      </c>
      <c r="C41" s="139">
        <f>IF(ISNUMBER($A41)=TRUE,COUNTIFS(Garden!$H$8:$H154,$B41,Garden!$M$8:$M154,"&gt;0"),"")</f>
        <v>0</v>
      </c>
      <c r="D41" s="139">
        <f>IF(ISNUMBER($A41)=TRUE,COUNTIFS(Garden!$H$8:$H154,$B41,Garden!$N$8:$N154,"&gt;0"),"")</f>
        <v>0</v>
      </c>
      <c r="E41" s="139">
        <f>IF(ISNUMBER($A41)=TRUE,COUNTIFS(Garden!$H$8:$H154,$B41,Garden!$K$8:$K154,"TRUE"),"")</f>
        <v>1</v>
      </c>
      <c r="F41" s="126"/>
      <c r="G41" s="140" t="str">
        <f>IFERROR(__xludf.DUMMYFUNCTION("""COMPUTED_VALUE"""),"Ujio")</f>
        <v>Ujio</v>
      </c>
      <c r="H41" s="141">
        <f>IFERROR(__xludf.DUMMYFUNCTION("""COMPUTED_VALUE"""),1.0)</f>
        <v>1</v>
      </c>
      <c r="I41" s="126"/>
      <c r="J41" s="140"/>
      <c r="K41" s="141"/>
      <c r="L41" s="146" t="str">
        <f t="shared" si="1"/>
        <v/>
      </c>
      <c r="M41" s="138"/>
      <c r="N41" s="141"/>
    </row>
    <row r="42" ht="15.75" customHeight="1">
      <c r="A42" s="137" t="str">
        <f t="shared" si="2"/>
        <v/>
      </c>
      <c r="B42" s="138"/>
      <c r="C42" s="139" t="str">
        <f>IF(ISNUMBER($A42)=TRUE,COUNTIFS(Garden!$H$8:$H154,$B42,Garden!$M$8:$M154,"&gt;0"),"")</f>
        <v/>
      </c>
      <c r="D42" s="139" t="str">
        <f>IF(ISNUMBER($A42)=TRUE,COUNTIFS(Garden!$H$8:$H154,$B42,Garden!$N$8:$N154,"&gt;0"),"")</f>
        <v/>
      </c>
      <c r="E42" s="139" t="str">
        <f>IF(ISNUMBER($A42)=TRUE,COUNTIFS(Garden!$H$8:$H154,$B42,Garden!$K$8:$K154,"TRUE"),"")</f>
        <v/>
      </c>
      <c r="F42" s="126"/>
      <c r="G42" s="140"/>
      <c r="H42" s="141"/>
      <c r="I42" s="126"/>
      <c r="J42" s="140"/>
      <c r="K42" s="141"/>
      <c r="L42" s="146" t="str">
        <f t="shared" si="1"/>
        <v/>
      </c>
      <c r="M42" s="138"/>
      <c r="N42" s="141"/>
    </row>
    <row r="43" ht="15.75" customHeight="1">
      <c r="A43" s="137" t="str">
        <f t="shared" si="2"/>
        <v/>
      </c>
      <c r="B43" s="138"/>
      <c r="C43" s="139" t="str">
        <f>IF(ISNUMBER($A43)=TRUE,COUNTIFS(Garden!$H$8:$H154,$B43,Garden!$M$8:$M154,"&gt;0"),"")</f>
        <v/>
      </c>
      <c r="D43" s="139" t="str">
        <f>IF(ISNUMBER($A43)=TRUE,COUNTIFS(Garden!$H$8:$H154,$B43,Garden!$N$8:$N154,"&gt;0"),"")</f>
        <v/>
      </c>
      <c r="E43" s="139" t="str">
        <f>IF(ISNUMBER($A43)=TRUE,COUNTIFS(Garden!$H$8:$H154,$B43,Garden!$K$8:$K154,"TRUE"),"")</f>
        <v/>
      </c>
      <c r="F43" s="126"/>
      <c r="G43" s="140"/>
      <c r="H43" s="141"/>
      <c r="I43" s="126"/>
      <c r="J43" s="140"/>
      <c r="K43" s="141"/>
      <c r="L43" s="146" t="str">
        <f t="shared" si="1"/>
        <v/>
      </c>
      <c r="M43" s="138"/>
      <c r="N43" s="141"/>
    </row>
    <row r="44" ht="15.75" customHeight="1">
      <c r="A44" s="137" t="str">
        <f t="shared" si="2"/>
        <v/>
      </c>
      <c r="B44" s="138"/>
      <c r="C44" s="139" t="str">
        <f>IF(ISNUMBER($A44)=TRUE,COUNTIFS(Garden!$H$8:$H154,$B44,Garden!$M$8:$M154,"&gt;0"),"")</f>
        <v/>
      </c>
      <c r="D44" s="139" t="str">
        <f>IF(ISNUMBER($A44)=TRUE,COUNTIFS(Garden!$H$8:$H154,$B44,Garden!$N$8:$N154,"&gt;0"),"")</f>
        <v/>
      </c>
      <c r="E44" s="139" t="str">
        <f>IF(ISNUMBER($A44)=TRUE,COUNTIFS(Garden!$H$8:$H154,$B44,Garden!$K$8:$K154,"TRUE"),"")</f>
        <v/>
      </c>
      <c r="F44" s="126"/>
      <c r="G44" s="140"/>
      <c r="H44" s="141"/>
      <c r="I44" s="126"/>
      <c r="J44" s="140"/>
      <c r="K44" s="141"/>
      <c r="L44" s="146" t="str">
        <f t="shared" si="1"/>
        <v/>
      </c>
      <c r="M44" s="138"/>
      <c r="N44" s="141"/>
    </row>
    <row r="45" ht="15.75" customHeight="1">
      <c r="A45" s="137" t="str">
        <f t="shared" si="2"/>
        <v/>
      </c>
      <c r="B45" s="138"/>
      <c r="C45" s="139" t="str">
        <f>IF(ISNUMBER($A45)=TRUE,COUNTIFS(Garden!$H$8:$H154,$B45,Garden!$M$8:$M154,"&gt;0"),"")</f>
        <v/>
      </c>
      <c r="D45" s="139" t="str">
        <f>IF(ISNUMBER($A45)=TRUE,COUNTIFS(Garden!$H$8:$H154,$B45,Garden!$N$8:$N154,"&gt;0"),"")</f>
        <v/>
      </c>
      <c r="E45" s="139" t="str">
        <f>IF(ISNUMBER($A45)=TRUE,COUNTIFS(Garden!$H$8:$H154,$B45,Garden!$K$8:$K154,"TRUE"),"")</f>
        <v/>
      </c>
      <c r="F45" s="126"/>
      <c r="G45" s="140"/>
      <c r="H45" s="141"/>
      <c r="I45" s="126"/>
      <c r="J45" s="140"/>
      <c r="K45" s="141"/>
      <c r="L45" s="146" t="str">
        <f t="shared" si="1"/>
        <v/>
      </c>
      <c r="M45" s="138"/>
      <c r="N45" s="141"/>
    </row>
    <row r="46" ht="15.75" customHeight="1">
      <c r="A46" s="137" t="str">
        <f t="shared" si="2"/>
        <v/>
      </c>
      <c r="B46" s="138"/>
      <c r="C46" s="139" t="str">
        <f>IF(ISNUMBER($A46)=TRUE,COUNTIFS(Garden!$H$8:$H154,$B46,Garden!$M$8:$M154,"&gt;0"),"")</f>
        <v/>
      </c>
      <c r="D46" s="139" t="str">
        <f>IF(ISNUMBER($A46)=TRUE,COUNTIFS(Garden!$H$8:$H154,$B46,Garden!$N$8:$N154,"&gt;0"),"")</f>
        <v/>
      </c>
      <c r="E46" s="139" t="str">
        <f>IF(ISNUMBER($A46)=TRUE,COUNTIFS(Garden!$H$8:$H154,$B46,Garden!$K$8:$K154,"TRUE"),"")</f>
        <v/>
      </c>
      <c r="F46" s="126"/>
      <c r="G46" s="140"/>
      <c r="H46" s="141"/>
      <c r="I46" s="126"/>
      <c r="J46" s="140"/>
      <c r="K46" s="141"/>
      <c r="L46" s="143" t="str">
        <f t="shared" si="1"/>
        <v/>
      </c>
      <c r="M46" s="138"/>
      <c r="N46" s="141"/>
    </row>
    <row r="47" ht="15.75" customHeight="1">
      <c r="A47" s="137" t="str">
        <f t="shared" si="2"/>
        <v/>
      </c>
      <c r="B47" s="138"/>
      <c r="C47" s="139" t="str">
        <f>IF(ISNUMBER($A47)=TRUE,COUNTIFS(Garden!$H$8:$H154,$B47,Garden!$M$8:$M154,"&gt;0"),"")</f>
        <v/>
      </c>
      <c r="D47" s="139" t="str">
        <f>IF(ISNUMBER($A47)=TRUE,COUNTIFS(Garden!$H$8:$H154,$B47,Garden!$N$8:$N154,"&gt;0"),"")</f>
        <v/>
      </c>
      <c r="E47" s="139" t="str">
        <f>IF(ISNUMBER($A47)=TRUE,COUNTIFS(Garden!$H$8:$H154,$B47,Garden!$K$8:$K154,"TRUE"),"")</f>
        <v/>
      </c>
      <c r="F47" s="126"/>
      <c r="G47" s="140"/>
      <c r="H47" s="141"/>
      <c r="I47" s="126"/>
      <c r="J47" s="140"/>
      <c r="K47" s="141"/>
      <c r="L47" s="143" t="str">
        <f t="shared" si="1"/>
        <v/>
      </c>
      <c r="M47" s="138"/>
      <c r="N47" s="141"/>
    </row>
    <row r="48" ht="15.75" customHeight="1">
      <c r="A48" s="137" t="str">
        <f t="shared" si="2"/>
        <v/>
      </c>
      <c r="B48" s="138"/>
      <c r="C48" s="139" t="str">
        <f>IF(ISNUMBER($A48)=TRUE,COUNTIFS(Garden!$H$8:$H154,$B48,Garden!$M$8:$M154,"&gt;0"),"")</f>
        <v/>
      </c>
      <c r="D48" s="139" t="str">
        <f>IF(ISNUMBER($A48)=TRUE,COUNTIFS(Garden!$H$8:$H154,$B48,Garden!$N$8:$N154,"&gt;0"),"")</f>
        <v/>
      </c>
      <c r="E48" s="139" t="str">
        <f>IF(ISNUMBER($A48)=TRUE,COUNTIFS(Garden!$H$8:$H154,$B48,Garden!$K$8:$K154,"TRUE"),"")</f>
        <v/>
      </c>
      <c r="F48" s="126"/>
      <c r="G48" s="140"/>
      <c r="H48" s="141"/>
      <c r="I48" s="126"/>
      <c r="J48" s="140"/>
      <c r="K48" s="141"/>
      <c r="L48" s="143" t="str">
        <f t="shared" si="1"/>
        <v/>
      </c>
      <c r="M48" s="138"/>
      <c r="N48" s="141"/>
    </row>
    <row r="49" ht="15.75" customHeight="1">
      <c r="A49" s="137" t="str">
        <f t="shared" si="2"/>
        <v/>
      </c>
      <c r="B49" s="138"/>
      <c r="C49" s="139" t="str">
        <f>IF(ISNUMBER($A49)=TRUE,COUNTIFS(Garden!$H$8:$H154,$B49,Garden!$M$8:$M154,"&gt;0"),"")</f>
        <v/>
      </c>
      <c r="D49" s="139" t="str">
        <f>IF(ISNUMBER($A49)=TRUE,COUNTIFS(Garden!$H$8:$H154,$B49,Garden!$N$8:$N154,"&gt;0"),"")</f>
        <v/>
      </c>
      <c r="E49" s="139" t="str">
        <f>IF(ISNUMBER($A49)=TRUE,COUNTIFS(Garden!$H$8:$H154,$B49,Garden!$K$8:$K154,"TRUE"),"")</f>
        <v/>
      </c>
      <c r="F49" s="126"/>
      <c r="G49" s="140"/>
      <c r="H49" s="141"/>
      <c r="I49" s="126"/>
      <c r="J49" s="140"/>
      <c r="K49" s="141"/>
      <c r="L49" s="143" t="str">
        <f t="shared" si="1"/>
        <v/>
      </c>
      <c r="M49" s="138"/>
      <c r="N49" s="141"/>
    </row>
    <row r="50" ht="15.75" customHeight="1">
      <c r="A50" s="137" t="str">
        <f t="shared" si="2"/>
        <v/>
      </c>
      <c r="B50" s="138"/>
      <c r="C50" s="139" t="str">
        <f>IF(ISNUMBER($A50)=TRUE,COUNTIFS(Garden!$H$8:$H154,$B50,Garden!$M$8:$M154,"&gt;0"),"")</f>
        <v/>
      </c>
      <c r="D50" s="139" t="str">
        <f>IF(ISNUMBER($A50)=TRUE,COUNTIFS(Garden!$H$8:$H154,$B50,Garden!$N$8:$N154,"&gt;0"),"")</f>
        <v/>
      </c>
      <c r="E50" s="139" t="str">
        <f>IF(ISNUMBER($A50)=TRUE,COUNTIFS(Garden!$H$8:$H154,$B50,Garden!$K$8:$K154,"TRUE"),"")</f>
        <v/>
      </c>
      <c r="F50" s="126"/>
      <c r="G50" s="140"/>
      <c r="H50" s="141"/>
      <c r="I50" s="126"/>
      <c r="J50" s="140"/>
      <c r="K50" s="141"/>
      <c r="L50" s="143" t="str">
        <f t="shared" si="1"/>
        <v/>
      </c>
      <c r="M50" s="138"/>
      <c r="N50" s="141"/>
    </row>
    <row r="51" ht="15.75" customHeight="1">
      <c r="A51" s="137" t="str">
        <f t="shared" si="2"/>
        <v/>
      </c>
      <c r="B51" s="138"/>
      <c r="C51" s="139" t="str">
        <f>IF(ISNUMBER($A51)=TRUE,COUNTIFS(Garden!$H$8:$H154,$B51,Garden!$M$8:$M154,"&gt;0"),"")</f>
        <v/>
      </c>
      <c r="D51" s="139" t="str">
        <f>IF(ISNUMBER($A51)=TRUE,COUNTIFS(Garden!$H$8:$H154,$B51,Garden!$N$8:$N154,"&gt;0"),"")</f>
        <v/>
      </c>
      <c r="E51" s="139" t="str">
        <f>IF(ISNUMBER($A51)=TRUE,COUNTIFS(Garden!$H$8:$H154,$B51,Garden!$K$8:$K154,"TRUE"),"")</f>
        <v/>
      </c>
      <c r="F51" s="126"/>
      <c r="G51" s="140"/>
      <c r="H51" s="141"/>
      <c r="I51" s="126"/>
      <c r="J51" s="140"/>
      <c r="K51" s="141"/>
      <c r="L51" s="143" t="str">
        <f t="shared" si="1"/>
        <v/>
      </c>
      <c r="M51" s="138"/>
      <c r="N51" s="141"/>
    </row>
    <row r="52" ht="15.75" customHeight="1">
      <c r="A52" s="137" t="str">
        <f t="shared" si="2"/>
        <v/>
      </c>
      <c r="B52" s="138"/>
      <c r="C52" s="139" t="str">
        <f>IF(ISNUMBER($A52)=TRUE,COUNTIFS(Garden!$H$8:$H154,$B52,Garden!$M$8:$M154,"&gt;0"),"")</f>
        <v/>
      </c>
      <c r="D52" s="139" t="str">
        <f>IF(ISNUMBER($A52)=TRUE,COUNTIFS(Garden!$H$8:$H154,$B52,Garden!$N$8:$N154,"&gt;0"),"")</f>
        <v/>
      </c>
      <c r="E52" s="139" t="str">
        <f>IF(ISNUMBER($A52)=TRUE,COUNTIFS(Garden!$H$8:$H154,$B52,Garden!$K$8:$K154,"TRUE"),"")</f>
        <v/>
      </c>
      <c r="F52" s="126"/>
      <c r="G52" s="140"/>
      <c r="H52" s="141"/>
      <c r="I52" s="126"/>
      <c r="J52" s="140"/>
      <c r="K52" s="141"/>
      <c r="L52" s="143" t="str">
        <f t="shared" si="1"/>
        <v/>
      </c>
      <c r="M52" s="138"/>
      <c r="N52" s="141"/>
    </row>
    <row r="53" ht="15.75" customHeight="1">
      <c r="A53" s="137" t="str">
        <f t="shared" si="2"/>
        <v/>
      </c>
      <c r="B53" s="138"/>
      <c r="C53" s="139" t="str">
        <f>IF(ISNUMBER($A53)=TRUE,COUNTIFS(Garden!$H$8:$H154,$B53,Garden!$M$8:$M154,"&gt;0"),"")</f>
        <v/>
      </c>
      <c r="D53" s="139" t="str">
        <f>IF(ISNUMBER($A53)=TRUE,COUNTIFS(Garden!$H$8:$H154,$B53,Garden!$N$8:$N154,"&gt;0"),"")</f>
        <v/>
      </c>
      <c r="E53" s="139" t="str">
        <f>IF(ISNUMBER($A53)=TRUE,COUNTIFS(Garden!$H$8:$H154,$B53,Garden!$K$8:$K154,"TRUE"),"")</f>
        <v/>
      </c>
      <c r="F53" s="126"/>
      <c r="G53" s="140"/>
      <c r="H53" s="141"/>
      <c r="I53" s="126"/>
      <c r="J53" s="140"/>
      <c r="K53" s="141"/>
      <c r="L53" s="143" t="str">
        <f t="shared" si="1"/>
        <v/>
      </c>
      <c r="M53" s="138"/>
      <c r="N53" s="141"/>
    </row>
    <row r="54" ht="15.75" customHeight="1">
      <c r="A54" s="137" t="str">
        <f t="shared" si="2"/>
        <v/>
      </c>
      <c r="B54" s="138"/>
      <c r="C54" s="139" t="str">
        <f>IF(ISNUMBER($A54)=TRUE,COUNTIFS(Garden!$H$8:$H154,$B54,Garden!$M$8:$M154,"&gt;0"),"")</f>
        <v/>
      </c>
      <c r="D54" s="139" t="str">
        <f>IF(ISNUMBER($A54)=TRUE,COUNTIFS(Garden!$H$8:$H154,$B54,Garden!$N$8:$N154,"&gt;0"),"")</f>
        <v/>
      </c>
      <c r="E54" s="139" t="str">
        <f>IF(ISNUMBER($A54)=TRUE,COUNTIFS(Garden!$H$8:$H154,$B54,Garden!$K$8:$K154,"TRUE"),"")</f>
        <v/>
      </c>
      <c r="F54" s="126"/>
      <c r="G54" s="140"/>
      <c r="H54" s="141"/>
      <c r="I54" s="126"/>
      <c r="J54" s="140"/>
      <c r="K54" s="141"/>
      <c r="L54" s="143" t="str">
        <f t="shared" si="1"/>
        <v/>
      </c>
      <c r="M54" s="138"/>
      <c r="N54" s="141"/>
    </row>
    <row r="55" ht="15.75" customHeight="1">
      <c r="A55" s="137" t="str">
        <f t="shared" si="2"/>
        <v/>
      </c>
      <c r="B55" s="138"/>
      <c r="C55" s="139" t="str">
        <f>IF(ISNUMBER($A55)=TRUE,COUNTIFS(Garden!$H$8:$H154,$B55,Garden!$M$8:$M154,"&gt;0"),"")</f>
        <v/>
      </c>
      <c r="D55" s="139" t="str">
        <f>IF(ISNUMBER($A55)=TRUE,COUNTIFS(Garden!$H$8:$H154,$B55,Garden!$N$8:$N154,"&gt;0"),"")</f>
        <v/>
      </c>
      <c r="E55" s="139" t="str">
        <f>IF(ISNUMBER($A55)=TRUE,COUNTIFS(Garden!$H$8:$H154,$B55,Garden!$K$8:$K154,"TRUE"),"")</f>
        <v/>
      </c>
      <c r="F55" s="126"/>
      <c r="G55" s="140"/>
      <c r="H55" s="141"/>
      <c r="I55" s="126"/>
      <c r="J55" s="140"/>
      <c r="K55" s="141"/>
      <c r="L55" s="143" t="str">
        <f t="shared" si="1"/>
        <v/>
      </c>
      <c r="M55" s="138"/>
      <c r="N55" s="141"/>
    </row>
    <row r="56" ht="15.75" customHeight="1">
      <c r="A56" s="137" t="str">
        <f t="shared" si="2"/>
        <v/>
      </c>
      <c r="B56" s="138"/>
      <c r="C56" s="139" t="str">
        <f>IF(ISNUMBER($A56)=TRUE,COUNTIFS(Garden!$H$8:$H154,$B56,Garden!$M$8:$M154,"&gt;0"),"")</f>
        <v/>
      </c>
      <c r="D56" s="139" t="str">
        <f>IF(ISNUMBER($A56)=TRUE,COUNTIFS(Garden!$H$8:$H154,$B56,Garden!$N$8:$N154,"&gt;0"),"")</f>
        <v/>
      </c>
      <c r="E56" s="139" t="str">
        <f>IF(ISNUMBER($A56)=TRUE,COUNTIFS(Garden!$H$8:$H154,$B56,Garden!$K$8:$K154,"TRUE"),"")</f>
        <v/>
      </c>
      <c r="F56" s="126"/>
      <c r="G56" s="140"/>
      <c r="H56" s="141"/>
      <c r="I56" s="126"/>
      <c r="J56" s="140"/>
      <c r="K56" s="141"/>
      <c r="L56" s="143" t="str">
        <f t="shared" si="1"/>
        <v/>
      </c>
      <c r="M56" s="138"/>
      <c r="N56" s="141"/>
    </row>
    <row r="57" ht="15.75" customHeight="1">
      <c r="A57" s="137" t="str">
        <f t="shared" si="2"/>
        <v/>
      </c>
      <c r="B57" s="138"/>
      <c r="C57" s="139" t="str">
        <f>IF(ISNUMBER($A57)=TRUE,COUNTIFS(Garden!$H$8:$H154,$B57,Garden!$M$8:$M154,"&gt;0"),"")</f>
        <v/>
      </c>
      <c r="D57" s="139" t="str">
        <f>IF(ISNUMBER($A57)=TRUE,COUNTIFS(Garden!$H$8:$H154,$B57,Garden!$N$8:$N154,"&gt;0"),"")</f>
        <v/>
      </c>
      <c r="E57" s="139" t="str">
        <f>IF(ISNUMBER($A57)=TRUE,COUNTIFS(Garden!$H$8:$H154,$B57,Garden!$K$8:$K154,"TRUE"),"")</f>
        <v/>
      </c>
      <c r="F57" s="126"/>
      <c r="G57" s="140"/>
      <c r="H57" s="141"/>
      <c r="I57" s="126"/>
      <c r="J57" s="140"/>
      <c r="K57" s="141"/>
      <c r="L57" s="143" t="str">
        <f t="shared" si="1"/>
        <v/>
      </c>
      <c r="M57" s="138"/>
      <c r="N57" s="141"/>
    </row>
    <row r="58" ht="15.75" customHeight="1">
      <c r="A58" s="137" t="str">
        <f t="shared" si="2"/>
        <v/>
      </c>
      <c r="B58" s="138"/>
      <c r="C58" s="139" t="str">
        <f>IF(ISNUMBER($A58)=TRUE,COUNTIFS(Garden!$H$8:$H154,$B58,Garden!$M$8:$M154,"&gt;0"),"")</f>
        <v/>
      </c>
      <c r="D58" s="139" t="str">
        <f>IF(ISNUMBER($A58)=TRUE,COUNTIFS(Garden!$H$8:$H154,$B58,Garden!$N$8:$N154,"&gt;0"),"")</f>
        <v/>
      </c>
      <c r="E58" s="139" t="str">
        <f>IF(ISNUMBER($A58)=TRUE,COUNTIFS(Garden!$H$8:$H154,$B58,Garden!$K$8:$K154,"TRUE"),"")</f>
        <v/>
      </c>
      <c r="F58" s="126"/>
      <c r="G58" s="140"/>
      <c r="H58" s="141"/>
      <c r="I58" s="126"/>
      <c r="J58" s="140"/>
      <c r="K58" s="141"/>
      <c r="L58" s="143" t="str">
        <f t="shared" si="1"/>
        <v/>
      </c>
      <c r="M58" s="138"/>
      <c r="N58" s="141"/>
    </row>
    <row r="59" ht="15.75" customHeight="1">
      <c r="A59" s="137" t="str">
        <f t="shared" si="2"/>
        <v/>
      </c>
      <c r="B59" s="138"/>
      <c r="C59" s="139" t="str">
        <f>IF(ISNUMBER($A59)=TRUE,COUNTIFS(Garden!$H$8:$H154,$B59,Garden!$M$8:$M154,"&gt;0"),"")</f>
        <v/>
      </c>
      <c r="D59" s="139" t="str">
        <f>IF(ISNUMBER($A59)=TRUE,COUNTIFS(Garden!$H$8:$H154,$B59,Garden!$N$8:$N154,"&gt;0"),"")</f>
        <v/>
      </c>
      <c r="E59" s="139" t="str">
        <f>IF(ISNUMBER($A59)=TRUE,COUNTIFS(Garden!$H$8:$H154,$B59,Garden!$K$8:$K154,"TRUE"),"")</f>
        <v/>
      </c>
      <c r="F59" s="126"/>
      <c r="G59" s="140"/>
      <c r="H59" s="141"/>
      <c r="I59" s="126"/>
      <c r="J59" s="140"/>
      <c r="K59" s="141"/>
      <c r="L59" s="143" t="str">
        <f t="shared" si="1"/>
        <v/>
      </c>
      <c r="M59" s="138"/>
      <c r="N59" s="141"/>
    </row>
    <row r="60" ht="15.75" customHeight="1">
      <c r="A60" s="137" t="str">
        <f t="shared" si="2"/>
        <v/>
      </c>
      <c r="B60" s="138"/>
      <c r="C60" s="139" t="str">
        <f>IF(ISNUMBER($A60)=TRUE,COUNTIFS(Garden!$H$8:$H154,$B60,Garden!$M$8:$M154,"&gt;0"),"")</f>
        <v/>
      </c>
      <c r="D60" s="139" t="str">
        <f>IF(ISNUMBER($A60)=TRUE,COUNTIFS(Garden!$H$8:$H154,$B60,Garden!$N$8:$N154,"&gt;0"),"")</f>
        <v/>
      </c>
      <c r="E60" s="139" t="str">
        <f>IF(ISNUMBER($A60)=TRUE,COUNTIFS(Garden!$H$8:$H154,$B60,Garden!$K$8:$K154,"TRUE"),"")</f>
        <v/>
      </c>
      <c r="F60" s="126"/>
      <c r="G60" s="140"/>
      <c r="H60" s="141"/>
      <c r="I60" s="126"/>
      <c r="J60" s="140"/>
      <c r="K60" s="141"/>
      <c r="L60" s="143" t="str">
        <f t="shared" si="1"/>
        <v/>
      </c>
      <c r="M60" s="138"/>
      <c r="N60" s="141"/>
    </row>
    <row r="61" ht="15.75" customHeight="1">
      <c r="A61" s="137" t="str">
        <f t="shared" si="2"/>
        <v/>
      </c>
      <c r="B61" s="138"/>
      <c r="C61" s="139" t="str">
        <f>IF(ISNUMBER($A61)=TRUE,COUNTIFS(Garden!$H$8:$H154,$B61,Garden!$M$8:$M154,"&gt;0"),"")</f>
        <v/>
      </c>
      <c r="D61" s="139" t="str">
        <f>IF(ISNUMBER($A61)=TRUE,COUNTIFS(Garden!$H$8:$H154,$B61,Garden!$N$8:$N154,"&gt;0"),"")</f>
        <v/>
      </c>
      <c r="E61" s="139" t="str">
        <f>IF(ISNUMBER($A61)=TRUE,COUNTIFS(Garden!$H$8:$H154,$B61,Garden!$K$8:$K154,"TRUE"),"")</f>
        <v/>
      </c>
      <c r="F61" s="126"/>
      <c r="G61" s="140"/>
      <c r="H61" s="141"/>
      <c r="I61" s="126"/>
      <c r="J61" s="140"/>
      <c r="K61" s="141"/>
      <c r="L61" s="143" t="str">
        <f t="shared" si="1"/>
        <v/>
      </c>
      <c r="M61" s="138"/>
      <c r="N61" s="141"/>
    </row>
    <row r="62" ht="15.75" customHeight="1">
      <c r="A62" s="137" t="str">
        <f t="shared" si="2"/>
        <v/>
      </c>
      <c r="B62" s="138"/>
      <c r="C62" s="139" t="str">
        <f>IF(ISNUMBER($A62)=TRUE,COUNTIFS(Garden!$H$8:$H154,$B62,Garden!$M$8:$M154,"&gt;0"),"")</f>
        <v/>
      </c>
      <c r="D62" s="139" t="str">
        <f>IF(ISNUMBER($A62)=TRUE,COUNTIFS(Garden!$H$8:$H154,$B62,Garden!$N$8:$N154,"&gt;0"),"")</f>
        <v/>
      </c>
      <c r="E62" s="139" t="str">
        <f>IF(ISNUMBER($A62)=TRUE,COUNTIFS(Garden!$H$8:$H154,$B62,Garden!$K$8:$K154,"TRUE"),"")</f>
        <v/>
      </c>
      <c r="F62" s="126"/>
      <c r="G62" s="140"/>
      <c r="H62" s="141"/>
      <c r="I62" s="126"/>
      <c r="J62" s="140"/>
      <c r="K62" s="141"/>
      <c r="L62" s="143" t="str">
        <f t="shared" si="1"/>
        <v/>
      </c>
      <c r="M62" s="138"/>
      <c r="N62" s="141"/>
    </row>
    <row r="63" ht="15.75" customHeight="1">
      <c r="A63" s="137" t="str">
        <f t="shared" si="2"/>
        <v/>
      </c>
      <c r="B63" s="138"/>
      <c r="C63" s="139" t="str">
        <f>IF(ISNUMBER($A63)=TRUE,COUNTIFS(Garden!$H$8:$H154,$B63,Garden!$M$8:$M154,"&gt;0"),"")</f>
        <v/>
      </c>
      <c r="D63" s="139" t="str">
        <f>IF(ISNUMBER($A63)=TRUE,COUNTIFS(Garden!$H$8:$H154,$B63,Garden!$N$8:$N154,"&gt;0"),"")</f>
        <v/>
      </c>
      <c r="E63" s="139" t="str">
        <f>IF(ISNUMBER($A63)=TRUE,COUNTIFS(Garden!$H$8:$H154,$B63,Garden!$K$8:$K154,"TRUE"),"")</f>
        <v/>
      </c>
      <c r="F63" s="126"/>
      <c r="G63" s="140"/>
      <c r="H63" s="141"/>
      <c r="I63" s="126"/>
      <c r="J63" s="140"/>
      <c r="K63" s="141"/>
      <c r="L63" s="143" t="str">
        <f t="shared" si="1"/>
        <v/>
      </c>
      <c r="M63" s="138"/>
      <c r="N63" s="141"/>
    </row>
    <row r="64" ht="15.75" customHeight="1">
      <c r="A64" s="137" t="str">
        <f t="shared" si="2"/>
        <v/>
      </c>
      <c r="B64" s="138"/>
      <c r="C64" s="139" t="str">
        <f>IF(ISNUMBER($A64)=TRUE,COUNTIFS(Garden!$H$8:$H154,$B64,Garden!$M$8:$M154,"&gt;0"),"")</f>
        <v/>
      </c>
      <c r="D64" s="139" t="str">
        <f>IF(ISNUMBER($A64)=TRUE,COUNTIFS(Garden!$H$8:$H154,$B64,Garden!$N$8:$N154,"&gt;0"),"")</f>
        <v/>
      </c>
      <c r="E64" s="139" t="str">
        <f>IF(ISNUMBER($A64)=TRUE,COUNTIFS(Garden!$H$8:$H154,$B64,Garden!$K$8:$K154,"TRUE"),"")</f>
        <v/>
      </c>
      <c r="F64" s="126"/>
      <c r="G64" s="140"/>
      <c r="H64" s="141"/>
      <c r="I64" s="126"/>
      <c r="J64" s="140"/>
      <c r="K64" s="141"/>
      <c r="L64" s="143" t="str">
        <f t="shared" si="1"/>
        <v/>
      </c>
      <c r="M64" s="138"/>
      <c r="N64" s="141"/>
    </row>
    <row r="65" ht="15.75" customHeight="1">
      <c r="A65" s="137" t="str">
        <f t="shared" si="2"/>
        <v/>
      </c>
      <c r="B65" s="138"/>
      <c r="C65" s="139" t="str">
        <f>IF(ISNUMBER($A65)=TRUE,COUNTIFS(Garden!$H$8:$H154,$B65,Garden!$M$8:$M154,"&gt;0"),"")</f>
        <v/>
      </c>
      <c r="D65" s="139" t="str">
        <f>IF(ISNUMBER($A65)=TRUE,COUNTIFS(Garden!$H$8:$H154,$B65,Garden!$N$8:$N154,"&gt;0"),"")</f>
        <v/>
      </c>
      <c r="E65" s="139" t="str">
        <f>IF(ISNUMBER($A65)=TRUE,COUNTIFS(Garden!$H$8:$H154,$B65,Garden!$K$8:$K154,"TRUE"),"")</f>
        <v/>
      </c>
      <c r="F65" s="126"/>
      <c r="G65" s="140"/>
      <c r="H65" s="141"/>
      <c r="I65" s="126"/>
      <c r="J65" s="140"/>
      <c r="K65" s="141"/>
      <c r="L65" s="143" t="str">
        <f t="shared" si="1"/>
        <v/>
      </c>
      <c r="M65" s="138"/>
      <c r="N65" s="141"/>
    </row>
    <row r="66" ht="15.75" customHeight="1">
      <c r="A66" s="137" t="str">
        <f t="shared" si="2"/>
        <v/>
      </c>
      <c r="B66" s="138"/>
      <c r="C66" s="139" t="str">
        <f>IF(ISNUMBER($A66)=TRUE,COUNTIFS(Garden!$H$8:$H154,$B66,Garden!$M$8:$M154,"&gt;0"),"")</f>
        <v/>
      </c>
      <c r="D66" s="139" t="str">
        <f>IF(ISNUMBER($A66)=TRUE,COUNTIFS(Garden!$H$8:$H154,$B66,Garden!$N$8:$N154,"&gt;0"),"")</f>
        <v/>
      </c>
      <c r="E66" s="139" t="str">
        <f>IF(ISNUMBER($A66)=TRUE,COUNTIFS(Garden!$H$8:$H154,$B66,Garden!$K$8:$K154,"TRUE"),"")</f>
        <v/>
      </c>
      <c r="F66" s="126"/>
      <c r="G66" s="140"/>
      <c r="H66" s="141"/>
      <c r="I66" s="126"/>
      <c r="J66" s="140"/>
      <c r="K66" s="141"/>
      <c r="L66" s="143" t="str">
        <f t="shared" si="1"/>
        <v/>
      </c>
      <c r="M66" s="138"/>
      <c r="N66" s="141"/>
    </row>
    <row r="67" ht="15.75" customHeight="1">
      <c r="A67" s="137" t="str">
        <f t="shared" si="2"/>
        <v/>
      </c>
      <c r="B67" s="138"/>
      <c r="C67" s="139" t="str">
        <f>IF(ISNUMBER($A67)=TRUE,COUNTIFS(Garden!$H$8:$H154,$B67,Garden!$M$8:$M154,"&gt;0"),"")</f>
        <v/>
      </c>
      <c r="D67" s="139" t="str">
        <f>IF(ISNUMBER($A67)=TRUE,COUNTIFS(Garden!$H$8:$H154,$B67,Garden!$N$8:$N154,"&gt;0"),"")</f>
        <v/>
      </c>
      <c r="E67" s="139" t="str">
        <f>IF(ISNUMBER($A67)=TRUE,COUNTIFS(Garden!$H$8:$H154,$B67,Garden!$K$8:$K154,"TRUE"),"")</f>
        <v/>
      </c>
      <c r="F67" s="126"/>
      <c r="G67" s="140"/>
      <c r="H67" s="141"/>
      <c r="I67" s="126"/>
      <c r="J67" s="140"/>
      <c r="K67" s="141"/>
      <c r="L67" s="143" t="str">
        <f t="shared" si="1"/>
        <v/>
      </c>
      <c r="M67" s="138"/>
      <c r="N67" s="141"/>
    </row>
    <row r="68" ht="15.75" customHeight="1">
      <c r="A68" s="137" t="str">
        <f t="shared" si="2"/>
        <v/>
      </c>
      <c r="B68" s="138"/>
      <c r="C68" s="139" t="str">
        <f>IF(ISNUMBER($A68)=TRUE,COUNTIFS(Garden!$H$8:$H154,$B68,Garden!$M$8:$M154,"&gt;0"),"")</f>
        <v/>
      </c>
      <c r="D68" s="139" t="str">
        <f>IF(ISNUMBER($A68)=TRUE,COUNTIFS(Garden!$H$8:$H154,$B68,Garden!$N$8:$N154,"&gt;0"),"")</f>
        <v/>
      </c>
      <c r="E68" s="139" t="str">
        <f>IF(ISNUMBER($A68)=TRUE,COUNTIFS(Garden!$H$8:$H154,$B68,Garden!$K$8:$K154,"TRUE"),"")</f>
        <v/>
      </c>
      <c r="F68" s="126"/>
      <c r="G68" s="140"/>
      <c r="H68" s="141"/>
      <c r="I68" s="126"/>
      <c r="J68" s="140"/>
      <c r="K68" s="141"/>
      <c r="L68" s="143" t="str">
        <f t="shared" si="1"/>
        <v/>
      </c>
      <c r="M68" s="138"/>
      <c r="N68" s="141"/>
    </row>
    <row r="69" ht="15.75" customHeight="1">
      <c r="A69" s="137" t="str">
        <f t="shared" si="2"/>
        <v/>
      </c>
      <c r="B69" s="138"/>
      <c r="C69" s="139" t="str">
        <f>IF(ISNUMBER($A69)=TRUE,COUNTIFS(Garden!$H$8:$H154,$B69,Garden!$M$8:$M154,"&gt;0"),"")</f>
        <v/>
      </c>
      <c r="D69" s="139" t="str">
        <f>IF(ISNUMBER($A69)=TRUE,COUNTIFS(Garden!$H$8:$H154,$B69,Garden!$N$8:$N154,"&gt;0"),"")</f>
        <v/>
      </c>
      <c r="E69" s="139" t="str">
        <f>IF(ISNUMBER($A69)=TRUE,COUNTIFS(Garden!$H$8:$H154,$B69,Garden!$K$8:$K154,"TRUE"),"")</f>
        <v/>
      </c>
      <c r="F69" s="126"/>
      <c r="G69" s="140"/>
      <c r="H69" s="141"/>
      <c r="I69" s="126"/>
      <c r="J69" s="140"/>
      <c r="K69" s="141"/>
      <c r="L69" s="143" t="str">
        <f t="shared" si="1"/>
        <v/>
      </c>
      <c r="M69" s="138"/>
      <c r="N69" s="141"/>
    </row>
    <row r="70" ht="15.75" customHeight="1">
      <c r="A70" s="137" t="str">
        <f t="shared" si="2"/>
        <v/>
      </c>
      <c r="B70" s="138"/>
      <c r="C70" s="139" t="str">
        <f>IF(ISNUMBER($A70)=TRUE,COUNTIFS(Garden!$H$8:$H154,$B70,Garden!$M$8:$M154,"&gt;0"),"")</f>
        <v/>
      </c>
      <c r="D70" s="139" t="str">
        <f>IF(ISNUMBER($A70)=TRUE,COUNTIFS(Garden!$H$8:$H154,$B70,Garden!$N$8:$N154,"&gt;0"),"")</f>
        <v/>
      </c>
      <c r="E70" s="139" t="str">
        <f>IF(ISNUMBER($A70)=TRUE,COUNTIFS(Garden!$H$8:$H154,$B70,Garden!$K$8:$K154,"TRUE"),"")</f>
        <v/>
      </c>
      <c r="F70" s="126"/>
      <c r="G70" s="140"/>
      <c r="H70" s="141"/>
      <c r="I70" s="126"/>
      <c r="J70" s="140"/>
      <c r="K70" s="141"/>
      <c r="L70" s="143" t="str">
        <f t="shared" si="1"/>
        <v/>
      </c>
      <c r="M70" s="138"/>
      <c r="N70" s="141"/>
    </row>
    <row r="71" ht="15.75" customHeight="1">
      <c r="A71" s="137" t="str">
        <f t="shared" si="2"/>
        <v/>
      </c>
      <c r="B71" s="138"/>
      <c r="C71" s="139" t="str">
        <f>IF(ISNUMBER($A71)=TRUE,COUNTIFS(Garden!$H$8:$H154,$B71,Garden!$M$8:$M154,"&gt;0"),"")</f>
        <v/>
      </c>
      <c r="D71" s="139" t="str">
        <f>IF(ISNUMBER($A71)=TRUE,COUNTIFS(Garden!$H$8:$H154,$B71,Garden!$N$8:$N154,"&gt;0"),"")</f>
        <v/>
      </c>
      <c r="E71" s="139" t="str">
        <f>IF(ISNUMBER($A71)=TRUE,COUNTIFS(Garden!$H$8:$H154,$B71,Garden!$K$8:$K154,"TRUE"),"")</f>
        <v/>
      </c>
      <c r="F71" s="126"/>
      <c r="G71" s="140"/>
      <c r="H71" s="141"/>
      <c r="I71" s="126"/>
      <c r="J71" s="140"/>
      <c r="K71" s="141"/>
      <c r="L71" s="143" t="str">
        <f t="shared" si="1"/>
        <v/>
      </c>
      <c r="M71" s="138"/>
      <c r="N71" s="141"/>
    </row>
    <row r="72" ht="15.75" customHeight="1">
      <c r="A72" s="137" t="str">
        <f t="shared" si="2"/>
        <v/>
      </c>
      <c r="B72" s="138"/>
      <c r="C72" s="139" t="str">
        <f>IF(ISNUMBER($A72)=TRUE,COUNTIFS(Garden!$H$8:$H154,$B72,Garden!$M$8:$M154,"&gt;0"),"")</f>
        <v/>
      </c>
      <c r="D72" s="139" t="str">
        <f>IF(ISNUMBER($A72)=TRUE,COUNTIFS(Garden!$H$8:$H154,$B72,Garden!$N$8:$N154,"&gt;0"),"")</f>
        <v/>
      </c>
      <c r="E72" s="139" t="str">
        <f>IF(ISNUMBER($A72)=TRUE,COUNTIFS(Garden!$H$8:$H154,$B72,Garden!$K$8:$K154,"TRUE"),"")</f>
        <v/>
      </c>
      <c r="F72" s="126"/>
      <c r="G72" s="140"/>
      <c r="H72" s="141"/>
      <c r="I72" s="126"/>
      <c r="J72" s="140"/>
      <c r="K72" s="141"/>
      <c r="L72" s="143" t="str">
        <f t="shared" si="1"/>
        <v/>
      </c>
      <c r="M72" s="138"/>
      <c r="N72" s="141"/>
    </row>
    <row r="73" ht="15.75" customHeight="1">
      <c r="A73" s="137" t="str">
        <f t="shared" si="2"/>
        <v/>
      </c>
      <c r="B73" s="138"/>
      <c r="C73" s="139" t="str">
        <f>IF(ISNUMBER($A73)=TRUE,COUNTIFS(Garden!$H$8:$H154,$B73,Garden!$M$8:$M154,"&gt;0"),"")</f>
        <v/>
      </c>
      <c r="D73" s="139" t="str">
        <f>IF(ISNUMBER($A73)=TRUE,COUNTIFS(Garden!$H$8:$H154,$B73,Garden!$N$8:$N154,"&gt;0"),"")</f>
        <v/>
      </c>
      <c r="E73" s="139" t="str">
        <f>IF(ISNUMBER($A73)=TRUE,COUNTIFS(Garden!$H$8:$H154,$B73,Garden!$K$8:$K154,"TRUE"),"")</f>
        <v/>
      </c>
      <c r="F73" s="126"/>
      <c r="G73" s="140"/>
      <c r="H73" s="141"/>
      <c r="I73" s="126"/>
      <c r="J73" s="140"/>
      <c r="K73" s="141"/>
      <c r="L73" s="143" t="str">
        <f t="shared" si="1"/>
        <v/>
      </c>
      <c r="M73" s="138"/>
      <c r="N73" s="141"/>
    </row>
    <row r="74" ht="15.75" customHeight="1">
      <c r="A74" s="137" t="str">
        <f t="shared" si="2"/>
        <v/>
      </c>
      <c r="B74" s="138"/>
      <c r="C74" s="139" t="str">
        <f>IF(ISNUMBER($A74)=TRUE,COUNTIFS(Garden!$H$8:$H154,$B74,Garden!$M$8:$M154,"&gt;0"),"")</f>
        <v/>
      </c>
      <c r="D74" s="139" t="str">
        <f>IF(ISNUMBER($A74)=TRUE,COUNTIFS(Garden!$H$8:$H154,$B74,Garden!$N$8:$N154,"&gt;0"),"")</f>
        <v/>
      </c>
      <c r="E74" s="139" t="str">
        <f>IF(ISNUMBER($A74)=TRUE,COUNTIFS(Garden!$H$8:$H154,$B74,Garden!$K$8:$K154,"TRUE"),"")</f>
        <v/>
      </c>
      <c r="F74" s="126"/>
      <c r="G74" s="140"/>
      <c r="H74" s="141"/>
      <c r="I74" s="126"/>
      <c r="J74" s="140"/>
      <c r="K74" s="141"/>
      <c r="L74" s="143" t="str">
        <f t="shared" si="1"/>
        <v/>
      </c>
      <c r="M74" s="138"/>
      <c r="N74" s="141"/>
    </row>
    <row r="75" ht="15.75" customHeight="1">
      <c r="A75" s="137" t="str">
        <f t="shared" si="2"/>
        <v/>
      </c>
      <c r="B75" s="138"/>
      <c r="C75" s="139" t="str">
        <f>IF(ISNUMBER($A75)=TRUE,COUNTIFS(Garden!$H$8:$H154,$B75,Garden!$M$8:$M154,"&gt;0"),"")</f>
        <v/>
      </c>
      <c r="D75" s="139" t="str">
        <f>IF(ISNUMBER($A75)=TRUE,COUNTIFS(Garden!$H$8:$H154,$B75,Garden!$N$8:$N154,"&gt;0"),"")</f>
        <v/>
      </c>
      <c r="E75" s="139" t="str">
        <f>IF(ISNUMBER($A75)=TRUE,COUNTIFS(Garden!$H$8:$H154,$B75,Garden!$K$8:$K154,"TRUE"),"")</f>
        <v/>
      </c>
      <c r="F75" s="126"/>
      <c r="G75" s="140"/>
      <c r="H75" s="141"/>
      <c r="I75" s="126"/>
      <c r="J75" s="140"/>
      <c r="K75" s="141"/>
      <c r="L75" s="143" t="str">
        <f t="shared" si="1"/>
        <v/>
      </c>
      <c r="M75" s="138"/>
      <c r="N75" s="141"/>
    </row>
    <row r="76" ht="15.75" customHeight="1">
      <c r="A76" s="137" t="str">
        <f t="shared" si="2"/>
        <v/>
      </c>
      <c r="B76" s="138"/>
      <c r="C76" s="139" t="str">
        <f>IF(ISNUMBER($A76)=TRUE,COUNTIFS(Garden!$H$8:$H154,$B76,Garden!$M$8:$M154,"&gt;0"),"")</f>
        <v/>
      </c>
      <c r="D76" s="139" t="str">
        <f>IF(ISNUMBER($A76)=TRUE,COUNTIFS(Garden!$H$8:$H154,$B76,Garden!$N$8:$N154,"&gt;0"),"")</f>
        <v/>
      </c>
      <c r="E76" s="139" t="str">
        <f>IF(ISNUMBER($A76)=TRUE,COUNTIFS(Garden!$H$8:$H154,$B76,Garden!$K$8:$K154,"TRUE"),"")</f>
        <v/>
      </c>
      <c r="F76" s="126"/>
      <c r="G76" s="140"/>
      <c r="H76" s="141"/>
      <c r="I76" s="126"/>
      <c r="J76" s="140"/>
      <c r="K76" s="141"/>
      <c r="L76" s="143" t="str">
        <f t="shared" si="1"/>
        <v/>
      </c>
      <c r="M76" s="138"/>
      <c r="N76" s="141"/>
    </row>
    <row r="77" ht="15.75" customHeight="1">
      <c r="A77" s="137" t="str">
        <f t="shared" si="2"/>
        <v/>
      </c>
      <c r="B77" s="138"/>
      <c r="C77" s="139" t="str">
        <f>IF(ISNUMBER($A77)=TRUE,COUNTIFS(Garden!$H$8:$H154,$B77,Garden!$M$8:$M154,"&gt;0"),"")</f>
        <v/>
      </c>
      <c r="D77" s="139" t="str">
        <f>IF(ISNUMBER($A77)=TRUE,COUNTIFS(Garden!$H$8:$H154,$B77,Garden!$N$8:$N154,"&gt;0"),"")</f>
        <v/>
      </c>
      <c r="E77" s="139" t="str">
        <f>IF(ISNUMBER($A77)=TRUE,COUNTIFS(Garden!$H$8:$H154,$B77,Garden!$K$8:$K154,"TRUE"),"")</f>
        <v/>
      </c>
      <c r="F77" s="126"/>
      <c r="G77" s="140"/>
      <c r="H77" s="141"/>
      <c r="I77" s="126"/>
      <c r="J77" s="140"/>
      <c r="K77" s="141"/>
      <c r="L77" s="143" t="str">
        <f t="shared" si="1"/>
        <v/>
      </c>
      <c r="M77" s="138"/>
      <c r="N77" s="141"/>
    </row>
    <row r="78" ht="15.75" customHeight="1">
      <c r="A78" s="137" t="str">
        <f t="shared" si="2"/>
        <v/>
      </c>
      <c r="B78" s="138"/>
      <c r="C78" s="139" t="str">
        <f>IF(ISNUMBER($A78)=TRUE,COUNTIFS(Garden!$H$8:$H154,$B78,Garden!$M$8:$M154,"&gt;0"),"")</f>
        <v/>
      </c>
      <c r="D78" s="139" t="str">
        <f>IF(ISNUMBER($A78)=TRUE,COUNTIFS(Garden!$H$8:$H154,$B78,Garden!$N$8:$N154,"&gt;0"),"")</f>
        <v/>
      </c>
      <c r="E78" s="139" t="str">
        <f>IF(ISNUMBER($A78)=TRUE,COUNTIFS(Garden!$H$8:$H154,$B78,Garden!$K$8:$K154,"TRUE"),"")</f>
        <v/>
      </c>
      <c r="F78" s="126"/>
      <c r="G78" s="140"/>
      <c r="H78" s="141"/>
      <c r="I78" s="126"/>
      <c r="J78" s="140"/>
      <c r="K78" s="141"/>
      <c r="L78" s="143" t="str">
        <f t="shared" si="1"/>
        <v/>
      </c>
      <c r="M78" s="138"/>
      <c r="N78" s="141"/>
    </row>
    <row r="79" ht="15.75" customHeight="1">
      <c r="A79" s="137" t="str">
        <f t="shared" si="2"/>
        <v/>
      </c>
      <c r="B79" s="138"/>
      <c r="C79" s="139" t="str">
        <f>IF(ISNUMBER($A79)=TRUE,COUNTIFS(Garden!$H$8:$H154,$B79,Garden!$M$8:$M154,"&gt;0"),"")</f>
        <v/>
      </c>
      <c r="D79" s="139" t="str">
        <f>IF(ISNUMBER($A79)=TRUE,COUNTIFS(Garden!$H$8:$H154,$B79,Garden!$N$8:$N154,"&gt;0"),"")</f>
        <v/>
      </c>
      <c r="E79" s="139" t="str">
        <f>IF(ISNUMBER($A79)=TRUE,COUNTIFS(Garden!$H$8:$H154,$B79,Garden!$K$8:$K154,"TRUE"),"")</f>
        <v/>
      </c>
      <c r="F79" s="126"/>
      <c r="G79" s="140"/>
      <c r="H79" s="141"/>
      <c r="I79" s="126"/>
      <c r="J79" s="140"/>
      <c r="K79" s="141"/>
      <c r="L79" s="143" t="str">
        <f t="shared" si="1"/>
        <v/>
      </c>
      <c r="M79" s="138"/>
      <c r="N79" s="141"/>
    </row>
    <row r="80" ht="15.75" customHeight="1">
      <c r="A80" s="137" t="str">
        <f t="shared" si="2"/>
        <v/>
      </c>
      <c r="B80" s="138"/>
      <c r="C80" s="139" t="str">
        <f>IF(ISNUMBER($A80)=TRUE,COUNTIFS(Garden!$H$8:$H154,$B80,Garden!$M$8:$M154,"&gt;0"),"")</f>
        <v/>
      </c>
      <c r="D80" s="139" t="str">
        <f>IF(ISNUMBER($A80)=TRUE,COUNTIFS(Garden!$H$8:$H154,$B80,Garden!$N$8:$N154,"&gt;0"),"")</f>
        <v/>
      </c>
      <c r="E80" s="139" t="str">
        <f>IF(ISNUMBER($A80)=TRUE,COUNTIFS(Garden!$H$8:$H154,$B80,Garden!$K$8:$K154,"TRUE"),"")</f>
        <v/>
      </c>
      <c r="F80" s="126"/>
      <c r="G80" s="140"/>
      <c r="H80" s="141"/>
      <c r="I80" s="126"/>
      <c r="J80" s="140"/>
      <c r="K80" s="141"/>
      <c r="L80" s="143" t="str">
        <f t="shared" si="1"/>
        <v/>
      </c>
      <c r="M80" s="138"/>
      <c r="N80" s="141"/>
    </row>
    <row r="81" ht="15.75" customHeight="1">
      <c r="A81" s="137" t="str">
        <f t="shared" si="2"/>
        <v/>
      </c>
      <c r="B81" s="138"/>
      <c r="C81" s="139" t="str">
        <f>IF(ISNUMBER($A81)=TRUE,COUNTIFS(Garden!$H$8:$H154,$B81,Garden!$M$8:$M154,"&gt;0"),"")</f>
        <v/>
      </c>
      <c r="D81" s="139" t="str">
        <f>IF(ISNUMBER($A81)=TRUE,COUNTIFS(Garden!$H$8:$H154,$B81,Garden!$N$8:$N154,"&gt;0"),"")</f>
        <v/>
      </c>
      <c r="E81" s="139" t="str">
        <f>IF(ISNUMBER($A81)=TRUE,COUNTIFS(Garden!$H$8:$H154,$B81,Garden!$K$8:$K154,"TRUE"),"")</f>
        <v/>
      </c>
      <c r="F81" s="126"/>
      <c r="G81" s="140"/>
      <c r="H81" s="141"/>
      <c r="I81" s="126"/>
      <c r="J81" s="140"/>
      <c r="K81" s="141"/>
      <c r="L81" s="143" t="str">
        <f t="shared" si="1"/>
        <v/>
      </c>
      <c r="M81" s="138"/>
      <c r="N81" s="141"/>
    </row>
    <row r="82" ht="15.75" customHeight="1">
      <c r="A82" s="137" t="str">
        <f t="shared" si="2"/>
        <v/>
      </c>
      <c r="B82" s="138"/>
      <c r="C82" s="139" t="str">
        <f>IF(ISNUMBER($A82)=TRUE,COUNTIFS(Garden!$H$8:$H154,$B82,Garden!$M$8:$M154,"&gt;0"),"")</f>
        <v/>
      </c>
      <c r="D82" s="139" t="str">
        <f>IF(ISNUMBER($A82)=TRUE,COUNTIFS(Garden!$H$8:$H154,$B82,Garden!$N$8:$N154,"&gt;0"),"")</f>
        <v/>
      </c>
      <c r="E82" s="139" t="str">
        <f>IF(ISNUMBER($A82)=TRUE,COUNTIFS(Garden!$H$8:$H154,$B82,Garden!$K$8:$K154,"TRUE"),"")</f>
        <v/>
      </c>
      <c r="F82" s="126"/>
      <c r="G82" s="140"/>
      <c r="H82" s="141"/>
      <c r="I82" s="126"/>
      <c r="J82" s="140"/>
      <c r="K82" s="141"/>
      <c r="L82" s="143" t="str">
        <f t="shared" si="1"/>
        <v/>
      </c>
      <c r="M82" s="138"/>
      <c r="N82" s="141"/>
    </row>
    <row r="83" ht="15.75" customHeight="1">
      <c r="A83" s="137" t="str">
        <f t="shared" si="2"/>
        <v/>
      </c>
      <c r="B83" s="138"/>
      <c r="C83" s="139" t="str">
        <f>IF(ISNUMBER($A83)=TRUE,COUNTIFS(Garden!$H$8:$H154,$B83,Garden!$M$8:$M154,"&gt;0"),"")</f>
        <v/>
      </c>
      <c r="D83" s="139" t="str">
        <f>IF(ISNUMBER($A83)=TRUE,COUNTIFS(Garden!$H$8:$H154,$B83,Garden!$N$8:$N154,"&gt;0"),"")</f>
        <v/>
      </c>
      <c r="E83" s="139" t="str">
        <f>IF(ISNUMBER($A83)=TRUE,COUNTIFS(Garden!$H$8:$H154,$B83,Garden!$K$8:$K154,"TRUE"),"")</f>
        <v/>
      </c>
      <c r="F83" s="126"/>
      <c r="G83" s="140"/>
      <c r="H83" s="141"/>
      <c r="I83" s="126"/>
      <c r="J83" s="140"/>
      <c r="K83" s="141"/>
      <c r="L83" s="143" t="str">
        <f t="shared" si="1"/>
        <v/>
      </c>
      <c r="M83" s="138"/>
      <c r="N83" s="141"/>
    </row>
    <row r="84" ht="15.75" customHeight="1">
      <c r="A84" s="137" t="str">
        <f t="shared" si="2"/>
        <v/>
      </c>
      <c r="B84" s="138"/>
      <c r="C84" s="139" t="str">
        <f>IF(ISNUMBER($A84)=TRUE,COUNTIFS(Garden!$H$8:$H154,$B84,Garden!$M$8:$M154,"&gt;0"),"")</f>
        <v/>
      </c>
      <c r="D84" s="139" t="str">
        <f>IF(ISNUMBER($A84)=TRUE,COUNTIFS(Garden!$H$8:$H154,$B84,Garden!$N$8:$N154,"&gt;0"),"")</f>
        <v/>
      </c>
      <c r="E84" s="139" t="str">
        <f>IF(ISNUMBER($A84)=TRUE,COUNTIFS(Garden!$H$8:$H154,$B84,Garden!$K$8:$K154,"TRUE"),"")</f>
        <v/>
      </c>
      <c r="F84" s="126"/>
      <c r="G84" s="140"/>
      <c r="H84" s="141"/>
      <c r="I84" s="126"/>
      <c r="J84" s="140"/>
      <c r="K84" s="141"/>
      <c r="L84" s="143" t="str">
        <f t="shared" si="1"/>
        <v/>
      </c>
      <c r="M84" s="138"/>
      <c r="N84" s="141"/>
    </row>
    <row r="85" ht="15.75" customHeight="1">
      <c r="A85" s="137" t="str">
        <f t="shared" si="2"/>
        <v/>
      </c>
      <c r="B85" s="138"/>
      <c r="C85" s="139" t="str">
        <f>IF(ISNUMBER($A85)=TRUE,COUNTIFS(Garden!$H$8:$H154,$B85,Garden!$M$8:$M154,"&gt;0"),"")</f>
        <v/>
      </c>
      <c r="D85" s="139" t="str">
        <f>IF(ISNUMBER($A85)=TRUE,COUNTIFS(Garden!$H$8:$H154,$B85,Garden!$N$8:$N154,"&gt;0"),"")</f>
        <v/>
      </c>
      <c r="E85" s="139" t="str">
        <f>IF(ISNUMBER($A85)=TRUE,COUNTIFS(Garden!$H$8:$H154,$B85,Garden!$K$8:$K154,"TRUE"),"")</f>
        <v/>
      </c>
      <c r="F85" s="126"/>
      <c r="G85" s="140"/>
      <c r="H85" s="141"/>
      <c r="I85" s="126"/>
      <c r="J85" s="140"/>
      <c r="K85" s="141"/>
      <c r="L85" s="143" t="str">
        <f t="shared" si="1"/>
        <v/>
      </c>
      <c r="M85" s="138"/>
      <c r="N85" s="141"/>
    </row>
    <row r="86" ht="15.75" customHeight="1">
      <c r="A86" s="137" t="str">
        <f t="shared" si="2"/>
        <v/>
      </c>
      <c r="B86" s="138"/>
      <c r="C86" s="139" t="str">
        <f>IF(ISNUMBER($A86)=TRUE,COUNTIFS(Garden!$H$8:$H154,$B86,Garden!$M$8:$M154,"&gt;0"),"")</f>
        <v/>
      </c>
      <c r="D86" s="139" t="str">
        <f>IF(ISNUMBER($A86)=TRUE,COUNTIFS(Garden!$H$8:$H154,$B86,Garden!$N$8:$N154,"&gt;0"),"")</f>
        <v/>
      </c>
      <c r="E86" s="139" t="str">
        <f>IF(ISNUMBER($A86)=TRUE,COUNTIFS(Garden!$H$8:$H154,$B86,Garden!$K$8:$K154,"TRUE"),"")</f>
        <v/>
      </c>
      <c r="F86" s="126"/>
      <c r="G86" s="140"/>
      <c r="H86" s="141"/>
      <c r="I86" s="126"/>
      <c r="J86" s="140"/>
      <c r="K86" s="141"/>
      <c r="L86" s="143" t="str">
        <f t="shared" si="1"/>
        <v/>
      </c>
      <c r="M86" s="138"/>
      <c r="N86" s="141"/>
    </row>
    <row r="87" ht="15.75" customHeight="1">
      <c r="A87" s="137" t="str">
        <f t="shared" si="2"/>
        <v/>
      </c>
      <c r="B87" s="138"/>
      <c r="C87" s="139" t="str">
        <f>IF(ISNUMBER($A87)=TRUE,COUNTIFS(Garden!$H$8:$H154,$B87,Garden!$M$8:$M154,"&gt;0"),"")</f>
        <v/>
      </c>
      <c r="D87" s="139" t="str">
        <f>IF(ISNUMBER($A87)=TRUE,COUNTIFS(Garden!$H$8:$H154,$B87,Garden!$N$8:$N154,"&gt;0"),"")</f>
        <v/>
      </c>
      <c r="E87" s="139" t="str">
        <f>IF(ISNUMBER($A87)=TRUE,COUNTIFS(Garden!$H$8:$H154,$B87,Garden!$K$8:$K154,"TRUE"),"")</f>
        <v/>
      </c>
      <c r="F87" s="126"/>
      <c r="G87" s="140"/>
      <c r="H87" s="141"/>
      <c r="I87" s="126"/>
      <c r="J87" s="140"/>
      <c r="K87" s="141"/>
      <c r="L87" s="143" t="str">
        <f t="shared" si="1"/>
        <v/>
      </c>
      <c r="M87" s="138"/>
      <c r="N87" s="141"/>
    </row>
    <row r="88" ht="15.75" customHeight="1">
      <c r="A88" s="137" t="str">
        <f t="shared" si="2"/>
        <v/>
      </c>
      <c r="B88" s="138"/>
      <c r="C88" s="139" t="str">
        <f>IF(ISNUMBER($A88)=TRUE,COUNTIFS(Garden!$H$8:$H154,$B88,Garden!$M$8:$M154,"&gt;0"),"")</f>
        <v/>
      </c>
      <c r="D88" s="139" t="str">
        <f>IF(ISNUMBER($A88)=TRUE,COUNTIFS(Garden!$H$8:$H154,$B88,Garden!$N$8:$N154,"&gt;0"),"")</f>
        <v/>
      </c>
      <c r="E88" s="139" t="str">
        <f>IF(ISNUMBER($A88)=TRUE,COUNTIFS(Garden!$H$8:$H154,$B88,Garden!$K$8:$K154,"TRUE"),"")</f>
        <v/>
      </c>
      <c r="F88" s="126"/>
      <c r="G88" s="140"/>
      <c r="H88" s="141"/>
      <c r="I88" s="126"/>
      <c r="J88" s="140"/>
      <c r="K88" s="141"/>
      <c r="L88" s="143" t="str">
        <f t="shared" si="1"/>
        <v/>
      </c>
      <c r="M88" s="138"/>
      <c r="N88" s="141"/>
    </row>
    <row r="89" ht="15.75" customHeight="1">
      <c r="A89" s="137" t="str">
        <f t="shared" si="2"/>
        <v/>
      </c>
      <c r="B89" s="138"/>
      <c r="C89" s="139" t="str">
        <f>IF(ISNUMBER($A89)=TRUE,COUNTIFS(Garden!$H$8:$H154,$B89,Garden!$M$8:$M154,"&gt;0"),"")</f>
        <v/>
      </c>
      <c r="D89" s="139" t="str">
        <f>IF(ISNUMBER($A89)=TRUE,COUNTIFS(Garden!$H$8:$H154,$B89,Garden!$N$8:$N154,"&gt;0"),"")</f>
        <v/>
      </c>
      <c r="E89" s="139" t="str">
        <f>IF(ISNUMBER($A89)=TRUE,COUNTIFS(Garden!$H$8:$H154,$B89,Garden!$K$8:$K154,"TRUE"),"")</f>
        <v/>
      </c>
      <c r="F89" s="126"/>
      <c r="G89" s="140"/>
      <c r="H89" s="141"/>
      <c r="I89" s="126"/>
      <c r="J89" s="140"/>
      <c r="K89" s="141"/>
      <c r="L89" s="143" t="str">
        <f t="shared" si="1"/>
        <v/>
      </c>
      <c r="M89" s="138"/>
      <c r="N89" s="141"/>
    </row>
    <row r="90" ht="15.75" customHeight="1">
      <c r="A90" s="137" t="str">
        <f t="shared" si="2"/>
        <v/>
      </c>
      <c r="B90" s="138"/>
      <c r="C90" s="139" t="str">
        <f>IF(ISNUMBER($A90)=TRUE,COUNTIFS(Garden!$H$8:$H154,$B90,Garden!$M$8:$M154,"&gt;0"),"")</f>
        <v/>
      </c>
      <c r="D90" s="139" t="str">
        <f>IF(ISNUMBER($A90)=TRUE,COUNTIFS(Garden!$H$8:$H154,$B90,Garden!$N$8:$N154,"&gt;0"),"")</f>
        <v/>
      </c>
      <c r="E90" s="139" t="str">
        <f>IF(ISNUMBER($A90)=TRUE,COUNTIFS(Garden!$H$8:$H154,$B90,Garden!$K$8:$K154,"TRUE"),"")</f>
        <v/>
      </c>
      <c r="F90" s="126"/>
      <c r="G90" s="140"/>
      <c r="H90" s="141"/>
      <c r="I90" s="126"/>
      <c r="J90" s="140"/>
      <c r="K90" s="141"/>
      <c r="L90" s="143" t="str">
        <f t="shared" si="1"/>
        <v/>
      </c>
      <c r="M90" s="138"/>
      <c r="N90" s="141"/>
    </row>
    <row r="91" ht="15.75" customHeight="1">
      <c r="A91" s="137" t="str">
        <f t="shared" si="2"/>
        <v/>
      </c>
      <c r="B91" s="138"/>
      <c r="C91" s="139" t="str">
        <f>IF(ISNUMBER($A91)=TRUE,COUNTIFS(Garden!$H$8:$H154,$B91,Garden!$M$8:$M154,"&gt;0"),"")</f>
        <v/>
      </c>
      <c r="D91" s="139" t="str">
        <f>IF(ISNUMBER($A91)=TRUE,COUNTIFS(Garden!$H$8:$H154,$B91,Garden!$N$8:$N154,"&gt;0"),"")</f>
        <v/>
      </c>
      <c r="E91" s="139" t="str">
        <f>IF(ISNUMBER($A91)=TRUE,COUNTIFS(Garden!$H$8:$H154,$B91,Garden!$K$8:$K154,"TRUE"),"")</f>
        <v/>
      </c>
      <c r="F91" s="126"/>
      <c r="G91" s="140"/>
      <c r="H91" s="141"/>
      <c r="I91" s="126"/>
      <c r="J91" s="140"/>
      <c r="K91" s="141"/>
      <c r="L91" s="143" t="str">
        <f t="shared" si="1"/>
        <v/>
      </c>
      <c r="M91" s="138"/>
      <c r="N91" s="141"/>
    </row>
    <row r="92" ht="15.75" customHeight="1">
      <c r="A92" s="137" t="str">
        <f t="shared" si="2"/>
        <v/>
      </c>
      <c r="B92" s="138"/>
      <c r="C92" s="139" t="str">
        <f>IF(ISNUMBER($A92)=TRUE,COUNTIFS(Garden!$H$8:$H154,$B92,Garden!$M$8:$M154,"&gt;0"),"")</f>
        <v/>
      </c>
      <c r="D92" s="139" t="str">
        <f>IF(ISNUMBER($A92)=TRUE,COUNTIFS(Garden!$H$8:$H154,$B92,Garden!$N$8:$N154,"&gt;0"),"")</f>
        <v/>
      </c>
      <c r="E92" s="139" t="str">
        <f>IF(ISNUMBER($A92)=TRUE,COUNTIFS(Garden!$H$8:$H154,$B92,Garden!$K$8:$K154,"TRUE"),"")</f>
        <v/>
      </c>
      <c r="F92" s="126"/>
      <c r="G92" s="140"/>
      <c r="H92" s="141"/>
      <c r="I92" s="126"/>
      <c r="J92" s="140"/>
      <c r="K92" s="141"/>
      <c r="L92" s="143" t="str">
        <f t="shared" si="1"/>
        <v/>
      </c>
      <c r="M92" s="138"/>
      <c r="N92" s="141"/>
    </row>
    <row r="93" ht="15.75" customHeight="1">
      <c r="A93" s="137" t="str">
        <f t="shared" si="2"/>
        <v/>
      </c>
      <c r="B93" s="138"/>
      <c r="C93" s="139" t="str">
        <f>IF(ISNUMBER($A93)=TRUE,COUNTIFS(Garden!$H$8:$H154,$B93,Garden!$M$8:$M154,"&gt;0"),"")</f>
        <v/>
      </c>
      <c r="D93" s="139" t="str">
        <f>IF(ISNUMBER($A93)=TRUE,COUNTIFS(Garden!$H$8:$H154,$B93,Garden!$N$8:$N154,"&gt;0"),"")</f>
        <v/>
      </c>
      <c r="E93" s="139" t="str">
        <f>IF(ISNUMBER($A93)=TRUE,COUNTIFS(Garden!$H$8:$H154,$B93,Garden!$K$8:$K154,"TRUE"),"")</f>
        <v/>
      </c>
      <c r="F93" s="126"/>
      <c r="G93" s="140"/>
      <c r="H93" s="141"/>
      <c r="I93" s="126"/>
      <c r="J93" s="140"/>
      <c r="K93" s="141"/>
      <c r="L93" s="143" t="str">
        <f t="shared" si="1"/>
        <v/>
      </c>
      <c r="M93" s="138"/>
      <c r="N93" s="141"/>
    </row>
    <row r="94" ht="15.75" customHeight="1">
      <c r="A94" s="137" t="str">
        <f t="shared" si="2"/>
        <v/>
      </c>
      <c r="B94" s="138"/>
      <c r="C94" s="139" t="str">
        <f>IF(ISNUMBER($A94)=TRUE,COUNTIFS(Garden!$H$8:$H154,$B94,Garden!$M$8:$M154,"&gt;0"),"")</f>
        <v/>
      </c>
      <c r="D94" s="139" t="str">
        <f>IF(ISNUMBER($A94)=TRUE,COUNTIFS(Garden!$H$8:$H154,$B94,Garden!$N$8:$N154,"&gt;0"),"")</f>
        <v/>
      </c>
      <c r="E94" s="139" t="str">
        <f>IF(ISNUMBER($A94)=TRUE,COUNTIFS(Garden!$H$8:$H154,$B94,Garden!$K$8:$K154,"TRUE"),"")</f>
        <v/>
      </c>
      <c r="F94" s="126"/>
      <c r="G94" s="140"/>
      <c r="H94" s="141"/>
      <c r="I94" s="126"/>
      <c r="J94" s="140"/>
      <c r="K94" s="141"/>
      <c r="L94" s="143" t="str">
        <f t="shared" si="1"/>
        <v/>
      </c>
      <c r="M94" s="138"/>
      <c r="N94" s="141"/>
    </row>
    <row r="95" ht="15.75" customHeight="1">
      <c r="A95" s="147" t="str">
        <f t="shared" si="2"/>
        <v/>
      </c>
      <c r="B95" s="138"/>
      <c r="C95" s="139" t="str">
        <f>IF(ISNUMBER($A95)=TRUE,COUNTIFS(Garden!$H$8:$H154,$B95,Garden!$M$8:$M154,"&gt;0"),"")</f>
        <v/>
      </c>
      <c r="D95" s="139" t="str">
        <f>IF(ISNUMBER($A95)=TRUE,COUNTIFS(Garden!$H$8:$H154,$B95,Garden!$N$8:$N154,"&gt;0"),"")</f>
        <v/>
      </c>
      <c r="E95" s="139" t="str">
        <f>IF(ISNUMBER($A95)=TRUE,COUNTIFS(Garden!$H$8:$H154,$B95,Garden!$K$8:$K154,"TRUE"),"")</f>
        <v/>
      </c>
      <c r="F95" s="126"/>
      <c r="G95" s="140"/>
      <c r="H95" s="141"/>
      <c r="I95" s="126"/>
      <c r="J95" s="140"/>
      <c r="K95" s="141"/>
      <c r="L95" s="143" t="str">
        <f t="shared" si="1"/>
        <v/>
      </c>
      <c r="M95" s="138"/>
      <c r="N95" s="141"/>
    </row>
    <row r="96" ht="15.75" customHeight="1">
      <c r="A96" s="147" t="str">
        <f t="shared" si="2"/>
        <v/>
      </c>
      <c r="B96" s="138"/>
      <c r="C96" s="139" t="str">
        <f>IF(ISNUMBER($A96)=TRUE,COUNTIFS(Garden!$H$8:$H154,$B96,Garden!$M$8:$M154,"&gt;0"),"")</f>
        <v/>
      </c>
      <c r="D96" s="139" t="str">
        <f>IF(ISNUMBER($A96)=TRUE,COUNTIFS(Garden!$H$8:$H154,$B96,Garden!$N$8:$N154,"&gt;0"),"")</f>
        <v/>
      </c>
      <c r="E96" s="139" t="str">
        <f>IF(ISNUMBER($A96)=TRUE,COUNTIFS(Garden!$H$8:$H154,$B96,Garden!$K$8:$K154,"TRUE"),"")</f>
        <v/>
      </c>
      <c r="F96" s="126"/>
      <c r="G96" s="140"/>
      <c r="H96" s="141"/>
      <c r="I96" s="126"/>
      <c r="J96" s="140"/>
      <c r="K96" s="141"/>
      <c r="L96" s="143" t="str">
        <f t="shared" si="1"/>
        <v/>
      </c>
      <c r="M96" s="138"/>
      <c r="N96" s="141"/>
    </row>
    <row r="97" ht="15.75" customHeight="1">
      <c r="A97" s="147" t="str">
        <f t="shared" si="2"/>
        <v/>
      </c>
      <c r="B97" s="138"/>
      <c r="C97" s="139" t="str">
        <f>IF(ISNUMBER($A97)=TRUE,COUNTIFS(Garden!$H$8:$H154,$B97,Garden!$M$8:$M154,"&gt;0"),"")</f>
        <v/>
      </c>
      <c r="D97" s="139" t="str">
        <f>IF(ISNUMBER($A97)=TRUE,COUNTIFS(Garden!$H$8:$H154,$B97,Garden!$N$8:$N154,"&gt;0"),"")</f>
        <v/>
      </c>
      <c r="E97" s="139" t="str">
        <f>IF(ISNUMBER($A97)=TRUE,COUNTIFS(Garden!$H$8:$H154,$B97,Garden!$K$8:$K154,"TRUE"),"")</f>
        <v/>
      </c>
      <c r="F97" s="126"/>
      <c r="G97" s="140"/>
      <c r="H97" s="141"/>
      <c r="I97" s="126"/>
      <c r="J97" s="140"/>
      <c r="K97" s="141"/>
      <c r="L97" s="143" t="str">
        <f t="shared" si="1"/>
        <v/>
      </c>
      <c r="M97" s="138"/>
      <c r="N97" s="141"/>
    </row>
    <row r="98" ht="15.75" customHeight="1">
      <c r="A98" s="147" t="str">
        <f t="shared" si="2"/>
        <v/>
      </c>
      <c r="B98" s="138"/>
      <c r="C98" s="139" t="str">
        <f>IF(ISNUMBER($A98)=TRUE,COUNTIFS(Garden!$H$8:$H154,$B98,Garden!$M$8:$M154,"&gt;0"),"")</f>
        <v/>
      </c>
      <c r="D98" s="139" t="str">
        <f>IF(ISNUMBER($A98)=TRUE,COUNTIFS(Garden!$H$8:$H154,$B98,Garden!$N$8:$N154,"&gt;0"),"")</f>
        <v/>
      </c>
      <c r="E98" s="139" t="str">
        <f>IF(ISNUMBER($A98)=TRUE,COUNTIFS(Garden!$H$8:$H154,$B98,Garden!$K$8:$K154,"TRUE"),"")</f>
        <v/>
      </c>
      <c r="F98" s="126"/>
      <c r="G98" s="140"/>
      <c r="H98" s="141"/>
      <c r="I98" s="126"/>
      <c r="J98" s="140"/>
      <c r="K98" s="141"/>
      <c r="L98" s="143" t="str">
        <f t="shared" si="1"/>
        <v/>
      </c>
      <c r="M98" s="138"/>
      <c r="N98" s="141"/>
    </row>
    <row r="99" ht="15.75" customHeight="1">
      <c r="A99" s="147" t="str">
        <f t="shared" si="2"/>
        <v/>
      </c>
      <c r="B99" s="138"/>
      <c r="C99" s="139" t="str">
        <f>IF(ISNUMBER($A99)=TRUE,COUNTIFS(Garden!$H$8:$H154,$B99,Garden!$M$8:$M154,"&gt;0"),"")</f>
        <v/>
      </c>
      <c r="D99" s="139" t="str">
        <f>IF(ISNUMBER($A99)=TRUE,COUNTIFS(Garden!$H$8:$H154,$B99,Garden!$N$8:$N154,"&gt;0"),"")</f>
        <v/>
      </c>
      <c r="E99" s="139" t="str">
        <f>IF(ISNUMBER($A99)=TRUE,COUNTIFS(Garden!$H$8:$H154,$B99,Garden!$K$8:$K154,"TRUE"),"")</f>
        <v/>
      </c>
      <c r="F99" s="126"/>
      <c r="G99" s="140"/>
      <c r="H99" s="141"/>
      <c r="I99" s="126"/>
      <c r="J99" s="140"/>
      <c r="K99" s="141"/>
      <c r="L99" s="143" t="str">
        <f t="shared" si="1"/>
        <v/>
      </c>
      <c r="M99" s="138"/>
      <c r="N99" s="141"/>
    </row>
    <row r="100" ht="15.75" customHeight="1">
      <c r="A100" s="147" t="str">
        <f t="shared" si="2"/>
        <v/>
      </c>
      <c r="B100" s="138"/>
      <c r="C100" s="139" t="str">
        <f>IF(ISNUMBER($A100)=TRUE,COUNTIFS(Garden!$H$8:$H154,$B100,Garden!$M$8:$M154,"&gt;0"),"")</f>
        <v/>
      </c>
      <c r="D100" s="139" t="str">
        <f>IF(ISNUMBER($A100)=TRUE,COUNTIFS(Garden!$H$8:$H154,$B100,Garden!$N$8:$N154,"&gt;0"),"")</f>
        <v/>
      </c>
      <c r="E100" s="139" t="str">
        <f>IF(ISNUMBER($A100)=TRUE,COUNTIFS(Garden!$H$8:$H154,$B100,Garden!$K$8:$K154,"TRUE"),"")</f>
        <v/>
      </c>
      <c r="F100" s="126"/>
      <c r="G100" s="140"/>
      <c r="H100" s="141"/>
      <c r="I100" s="126"/>
      <c r="J100" s="140"/>
      <c r="K100" s="141"/>
      <c r="L100" s="143" t="str">
        <f t="shared" si="1"/>
        <v/>
      </c>
      <c r="M100" s="138"/>
      <c r="N100" s="141"/>
    </row>
    <row r="101" ht="15.75" customHeight="1">
      <c r="A101" s="147" t="str">
        <f t="shared" si="2"/>
        <v/>
      </c>
      <c r="B101" s="138"/>
      <c r="C101" s="139" t="str">
        <f>IF(ISNUMBER($A101)=TRUE,COUNTIFS(Garden!$H$8:$H154,$B101,Garden!$M$8:$M154,"&gt;0"),"")</f>
        <v/>
      </c>
      <c r="D101" s="139" t="str">
        <f>IF(ISNUMBER($A101)=TRUE,COUNTIFS(Garden!$H$8:$H154,$B101,Garden!$N$8:$N154,"&gt;0"),"")</f>
        <v/>
      </c>
      <c r="E101" s="139" t="str">
        <f>IF(ISNUMBER($A101)=TRUE,COUNTIFS(Garden!$H$8:$H154,$B101,Garden!$K$8:$K154,"TRUE"),"")</f>
        <v/>
      </c>
      <c r="F101" s="126"/>
      <c r="G101" s="140"/>
      <c r="H101" s="141"/>
      <c r="I101" s="126"/>
      <c r="J101" s="140"/>
      <c r="K101" s="141"/>
      <c r="L101" s="143" t="str">
        <f t="shared" si="1"/>
        <v/>
      </c>
      <c r="M101" s="138"/>
      <c r="N101" s="141"/>
    </row>
    <row r="102" ht="15.75" customHeight="1">
      <c r="A102" s="147" t="str">
        <f t="shared" si="2"/>
        <v/>
      </c>
      <c r="B102" s="138"/>
      <c r="C102" s="139" t="str">
        <f>IF(ISNUMBER($A102)=TRUE,COUNTIFS(Garden!$H$8:$H154,$B102,Garden!$M$8:$M154,"&gt;0"),"")</f>
        <v/>
      </c>
      <c r="D102" s="139" t="str">
        <f>IF(ISNUMBER($A102)=TRUE,COUNTIFS(Garden!$H$8:$H154,$B102,Garden!$N$8:$N154,"&gt;0"),"")</f>
        <v/>
      </c>
      <c r="E102" s="139" t="str">
        <f>IF(ISNUMBER($A102)=TRUE,COUNTIFS(Garden!$H$8:$H154,$B102,Garden!$K$8:$K154,"TRUE"),"")</f>
        <v/>
      </c>
      <c r="F102" s="126"/>
      <c r="G102" s="140"/>
      <c r="H102" s="141"/>
      <c r="I102" s="126"/>
      <c r="J102" s="140"/>
      <c r="K102" s="141"/>
      <c r="L102" s="143" t="str">
        <f t="shared" si="1"/>
        <v/>
      </c>
      <c r="M102" s="138"/>
      <c r="N102" s="141"/>
    </row>
    <row r="103" ht="15.75" customHeight="1">
      <c r="A103" s="147" t="str">
        <f t="shared" si="2"/>
        <v/>
      </c>
      <c r="B103" s="138"/>
      <c r="C103" s="139" t="str">
        <f>IF(ISNUMBER($A103)=TRUE,COUNTIFS(Garden!$H$8:$H154,$B103,Garden!$M$8:$M154,"&gt;0"),"")</f>
        <v/>
      </c>
      <c r="D103" s="139" t="str">
        <f>IF(ISNUMBER($A103)=TRUE,COUNTIFS(Garden!$H$8:$H154,$B103,Garden!$N$8:$N154,"&gt;0"),"")</f>
        <v/>
      </c>
      <c r="E103" s="139" t="str">
        <f>IF(ISNUMBER($A103)=TRUE,COUNTIFS(Garden!$H$8:$H154,$B103,Garden!$K$8:$K154,"TRUE"),"")</f>
        <v/>
      </c>
      <c r="F103" s="126"/>
      <c r="G103" s="140"/>
      <c r="H103" s="141"/>
      <c r="I103" s="126"/>
      <c r="J103" s="140"/>
      <c r="K103" s="141"/>
      <c r="L103" s="143" t="str">
        <f t="shared" si="1"/>
        <v/>
      </c>
      <c r="M103" s="138"/>
      <c r="N103" s="141"/>
    </row>
    <row r="104" ht="15.75" customHeight="1">
      <c r="A104" s="147" t="str">
        <f t="shared" si="2"/>
        <v/>
      </c>
      <c r="B104" s="138"/>
      <c r="C104" s="139" t="str">
        <f>IF(ISNUMBER($A104)=TRUE,COUNTIFS(Garden!$H$8:$H154,$B104,Garden!$M$8:$M154,"&gt;0"),"")</f>
        <v/>
      </c>
      <c r="D104" s="139" t="str">
        <f>IF(ISNUMBER($A104)=TRUE,COUNTIFS(Garden!$H$8:$H154,$B104,Garden!$N$8:$N154,"&gt;0"),"")</f>
        <v/>
      </c>
      <c r="E104" s="139" t="str">
        <f>IF(ISNUMBER($A104)=TRUE,COUNTIFS(Garden!$H$8:$H154,$B104,Garden!$K$8:$K154,"TRUE"),"")</f>
        <v/>
      </c>
      <c r="F104" s="126"/>
      <c r="G104" s="140"/>
      <c r="H104" s="141"/>
      <c r="I104" s="126"/>
      <c r="J104" s="140"/>
      <c r="K104" s="141"/>
      <c r="L104" s="143" t="str">
        <f t="shared" si="1"/>
        <v/>
      </c>
      <c r="M104" s="138"/>
      <c r="N104" s="141"/>
    </row>
    <row r="105" ht="15.75" customHeight="1">
      <c r="A105" s="147" t="str">
        <f t="shared" si="2"/>
        <v/>
      </c>
      <c r="B105" s="138"/>
      <c r="C105" s="139" t="str">
        <f>IF(ISNUMBER($A105)=TRUE,COUNTIFS(Garden!$H$8:$H154,$B105,Garden!$M$8:$M154,"&gt;0"),"")</f>
        <v/>
      </c>
      <c r="D105" s="139" t="str">
        <f>IF(ISNUMBER($A105)=TRUE,COUNTIFS(Garden!$H$8:$H154,$B105,Garden!$N$8:$N154,"&gt;0"),"")</f>
        <v/>
      </c>
      <c r="E105" s="139" t="str">
        <f>IF(ISNUMBER($A105)=TRUE,COUNTIFS(Garden!$H$8:$H154,$B105,Garden!$K$8:$K154,"TRUE"),"")</f>
        <v/>
      </c>
      <c r="F105" s="126"/>
      <c r="G105" s="140"/>
      <c r="H105" s="141"/>
      <c r="I105" s="126"/>
      <c r="J105" s="140"/>
      <c r="K105" s="141"/>
      <c r="L105" s="143" t="str">
        <f t="shared" si="1"/>
        <v/>
      </c>
      <c r="M105" s="138"/>
      <c r="N105" s="141"/>
    </row>
    <row r="106" ht="15.75" customHeight="1">
      <c r="A106" s="147" t="str">
        <f t="shared" si="2"/>
        <v/>
      </c>
      <c r="B106" s="138"/>
      <c r="C106" s="139" t="str">
        <f>IF(ISNUMBER($A106)=TRUE,COUNTIFS(Garden!$H$8:$H154,$B106,Garden!$M$8:$M154,"&gt;0"),"")</f>
        <v/>
      </c>
      <c r="D106" s="139" t="str">
        <f>IF(ISNUMBER($A106)=TRUE,COUNTIFS(Garden!$H$8:$H154,$B106,Garden!$N$8:$N154,"&gt;0"),"")</f>
        <v/>
      </c>
      <c r="E106" s="139" t="str">
        <f>IF(ISNUMBER($A106)=TRUE,COUNTIFS(Garden!$H$8:$H154,$B106,Garden!$K$8:$K154,"TRUE"),"")</f>
        <v/>
      </c>
      <c r="F106" s="126"/>
      <c r="G106" s="140"/>
      <c r="H106" s="141"/>
      <c r="I106" s="126"/>
      <c r="J106" s="140"/>
      <c r="K106" s="141"/>
      <c r="L106" s="143" t="str">
        <f t="shared" si="1"/>
        <v/>
      </c>
      <c r="M106" s="138"/>
      <c r="N106" s="141"/>
    </row>
    <row r="107" ht="15.75" customHeight="1">
      <c r="A107" s="147" t="str">
        <f t="shared" si="2"/>
        <v/>
      </c>
      <c r="B107" s="138"/>
      <c r="C107" s="139" t="str">
        <f>IF(ISNUMBER($A107)=TRUE,COUNTIFS(Garden!$H$8:$H154,$B107,Garden!$M$8:$M154,"&gt;0"),"")</f>
        <v/>
      </c>
      <c r="D107" s="139" t="str">
        <f>IF(ISNUMBER($A107)=TRUE,COUNTIFS(Garden!$H$8:$H154,$B107,Garden!$N$8:$N154,"&gt;0"),"")</f>
        <v/>
      </c>
      <c r="E107" s="139" t="str">
        <f>IF(ISNUMBER($A107)=TRUE,COUNTIFS(Garden!$H$8:$H154,$B107,Garden!$K$8:$K154,"TRUE"),"")</f>
        <v/>
      </c>
      <c r="F107" s="126"/>
      <c r="G107" s="140"/>
      <c r="H107" s="141"/>
      <c r="I107" s="126"/>
      <c r="J107" s="140"/>
      <c r="K107" s="141"/>
      <c r="L107" s="143" t="str">
        <f t="shared" si="1"/>
        <v/>
      </c>
      <c r="M107" s="138"/>
      <c r="N107" s="141"/>
    </row>
    <row r="108" ht="15.75" customHeight="1">
      <c r="A108" s="147" t="str">
        <f t="shared" si="2"/>
        <v/>
      </c>
      <c r="B108" s="138"/>
      <c r="C108" s="139" t="str">
        <f>IF(ISNUMBER($A108)=TRUE,COUNTIFS(Garden!$H$8:$H154,$B108,Garden!$M$8:$M154,"&gt;0"),"")</f>
        <v/>
      </c>
      <c r="D108" s="139" t="str">
        <f>IF(ISNUMBER($A108)=TRUE,COUNTIFS(Garden!$H$8:$H154,$B108,Garden!$N$8:$N154,"&gt;0"),"")</f>
        <v/>
      </c>
      <c r="E108" s="139" t="str">
        <f>IF(ISNUMBER($A108)=TRUE,COUNTIFS(Garden!$H$8:$H154,$B108,Garden!$K$8:$K154,"TRUE"),"")</f>
        <v/>
      </c>
      <c r="F108" s="126"/>
      <c r="G108" s="140"/>
      <c r="H108" s="141"/>
      <c r="I108" s="126"/>
      <c r="J108" s="140"/>
      <c r="K108" s="141"/>
      <c r="L108" s="143" t="str">
        <f t="shared" si="1"/>
        <v/>
      </c>
      <c r="M108" s="138"/>
      <c r="N108" s="141"/>
    </row>
    <row r="109" ht="15.75" customHeight="1">
      <c r="A109" s="147" t="str">
        <f t="shared" si="2"/>
        <v/>
      </c>
      <c r="B109" s="138"/>
      <c r="C109" s="139" t="str">
        <f>IF(ISNUMBER($A109)=TRUE,COUNTIFS(Garden!$H$8:$H154,$B109,Garden!$M$8:$M154,"&gt;0"),"")</f>
        <v/>
      </c>
      <c r="D109" s="139" t="str">
        <f>IF(ISNUMBER($A109)=TRUE,COUNTIFS(Garden!$H$8:$H154,$B109,Garden!$N$8:$N154,"&gt;0"),"")</f>
        <v/>
      </c>
      <c r="E109" s="139" t="str">
        <f>IF(ISNUMBER($A109)=TRUE,COUNTIFS(Garden!$H$8:$H154,$B109,Garden!$K$8:$K154,"TRUE"),"")</f>
        <v/>
      </c>
      <c r="F109" s="126"/>
      <c r="G109" s="140"/>
      <c r="H109" s="141"/>
      <c r="I109" s="126"/>
      <c r="J109" s="140"/>
      <c r="K109" s="141"/>
      <c r="L109" s="143" t="str">
        <f t="shared" si="1"/>
        <v/>
      </c>
      <c r="M109" s="138"/>
      <c r="N109" s="141"/>
    </row>
    <row r="110" ht="15.75" customHeight="1">
      <c r="A110" s="147" t="str">
        <f t="shared" si="2"/>
        <v/>
      </c>
      <c r="B110" s="138"/>
      <c r="C110" s="139" t="str">
        <f>IF(ISNUMBER($A110)=TRUE,COUNTIFS(Garden!$H$8:$H154,$B110,Garden!$M$8:$M154,"&gt;0"),"")</f>
        <v/>
      </c>
      <c r="D110" s="139" t="str">
        <f>IF(ISNUMBER($A110)=TRUE,COUNTIFS(Garden!$H$8:$H154,$B110,Garden!$N$8:$N154,"&gt;0"),"")</f>
        <v/>
      </c>
      <c r="E110" s="139" t="str">
        <f>IF(ISNUMBER($A110)=TRUE,COUNTIFS(Garden!$H$8:$H154,$B110,Garden!$K$8:$K154,"TRUE"),"")</f>
        <v/>
      </c>
      <c r="F110" s="126"/>
      <c r="G110" s="140"/>
      <c r="H110" s="141"/>
      <c r="I110" s="126"/>
      <c r="J110" s="140"/>
      <c r="K110" s="141"/>
      <c r="L110" s="143" t="str">
        <f t="shared" si="1"/>
        <v/>
      </c>
      <c r="M110" s="138"/>
      <c r="N110" s="141"/>
    </row>
    <row r="111" ht="15.75" customHeight="1">
      <c r="A111" s="147" t="str">
        <f t="shared" si="2"/>
        <v/>
      </c>
      <c r="B111" s="138"/>
      <c r="C111" s="139" t="str">
        <f>IF(ISNUMBER($A111)=TRUE,COUNTIFS(Garden!$H$8:$H154,$B111,Garden!$M$8:$M154,"&gt;0"),"")</f>
        <v/>
      </c>
      <c r="D111" s="139" t="str">
        <f>IF(ISNUMBER($A111)=TRUE,COUNTIFS(Garden!$H$8:$H154,$B111,Garden!$N$8:$N154,"&gt;0"),"")</f>
        <v/>
      </c>
      <c r="E111" s="139" t="str">
        <f>IF(ISNUMBER($A111)=TRUE,COUNTIFS(Garden!$H$8:$H154,$B111,Garden!$K$8:$K154,"TRUE"),"")</f>
        <v/>
      </c>
      <c r="F111" s="126"/>
      <c r="G111" s="140"/>
      <c r="H111" s="141"/>
      <c r="I111" s="126"/>
      <c r="J111" s="140"/>
      <c r="K111" s="141"/>
      <c r="L111" s="143" t="str">
        <f t="shared" si="1"/>
        <v/>
      </c>
      <c r="M111" s="138"/>
      <c r="N111" s="141"/>
    </row>
    <row r="112" ht="15.75" customHeight="1">
      <c r="A112" s="147" t="str">
        <f t="shared" si="2"/>
        <v/>
      </c>
      <c r="B112" s="138"/>
      <c r="C112" s="139" t="str">
        <f>IF(ISNUMBER($A112)=TRUE,COUNTIFS(Garden!$H$8:$H154,$B112,Garden!$M$8:$M154,"&gt;0"),"")</f>
        <v/>
      </c>
      <c r="D112" s="139" t="str">
        <f>IF(ISNUMBER($A112)=TRUE,COUNTIFS(Garden!$H$8:$H154,$B112,Garden!$N$8:$N154,"&gt;0"),"")</f>
        <v/>
      </c>
      <c r="E112" s="139" t="str">
        <f>IF(ISNUMBER($A112)=TRUE,COUNTIFS(Garden!$H$8:$H154,$B112,Garden!$K$8:$K154,"TRUE"),"")</f>
        <v/>
      </c>
      <c r="F112" s="126"/>
      <c r="G112" s="140"/>
      <c r="H112" s="141"/>
      <c r="I112" s="126"/>
      <c r="J112" s="140"/>
      <c r="K112" s="141"/>
      <c r="L112" s="143" t="str">
        <f t="shared" si="1"/>
        <v/>
      </c>
      <c r="M112" s="138"/>
      <c r="N112" s="141"/>
    </row>
    <row r="113" ht="15.75" customHeight="1">
      <c r="A113" s="147" t="str">
        <f t="shared" si="2"/>
        <v/>
      </c>
      <c r="B113" s="138"/>
      <c r="C113" s="139" t="str">
        <f>IF(ISNUMBER($A113)=TRUE,COUNTIFS(Garden!$H$8:$H154,$B113,Garden!$M$8:$M154,"&gt;0"),"")</f>
        <v/>
      </c>
      <c r="D113" s="139" t="str">
        <f>IF(ISNUMBER($A113)=TRUE,COUNTIFS(Garden!$H$8:$H154,$B113,Garden!$N$8:$N154,"&gt;0"),"")</f>
        <v/>
      </c>
      <c r="E113" s="139" t="str">
        <f>IF(ISNUMBER($A113)=TRUE,COUNTIFS(Garden!$H$8:$H154,$B113,Garden!$K$8:$K154,"TRUE"),"")</f>
        <v/>
      </c>
      <c r="F113" s="126"/>
      <c r="G113" s="140"/>
      <c r="H113" s="141"/>
      <c r="I113" s="126"/>
      <c r="J113" s="140"/>
      <c r="K113" s="141"/>
      <c r="L113" s="143" t="str">
        <f t="shared" si="1"/>
        <v/>
      </c>
      <c r="M113" s="138"/>
      <c r="N113" s="141"/>
    </row>
    <row r="114" ht="15.75" customHeight="1">
      <c r="A114" s="147" t="str">
        <f t="shared" si="2"/>
        <v/>
      </c>
      <c r="B114" s="138"/>
      <c r="C114" s="139" t="str">
        <f>IF(ISNUMBER($A114)=TRUE,COUNTIFS(Garden!$H$8:$H154,$B114,Garden!$M$8:$M154,"&gt;0"),"")</f>
        <v/>
      </c>
      <c r="D114" s="139" t="str">
        <f>IF(ISNUMBER($A114)=TRUE,COUNTIFS(Garden!$H$8:$H154,$B114,Garden!$N$8:$N154,"&gt;0"),"")</f>
        <v/>
      </c>
      <c r="E114" s="139" t="str">
        <f>IF(ISNUMBER($A114)=TRUE,COUNTIFS(Garden!$H$8:$H154,$B114,Garden!$K$8:$K154,"TRUE"),"")</f>
        <v/>
      </c>
      <c r="F114" s="126"/>
      <c r="G114" s="140"/>
      <c r="H114" s="141"/>
      <c r="I114" s="126"/>
      <c r="J114" s="140"/>
      <c r="K114" s="141"/>
      <c r="L114" s="143" t="str">
        <f t="shared" si="1"/>
        <v/>
      </c>
      <c r="M114" s="138"/>
      <c r="N114" s="141"/>
    </row>
    <row r="115" ht="15.75" customHeight="1">
      <c r="A115" s="147" t="str">
        <f t="shared" si="2"/>
        <v/>
      </c>
      <c r="B115" s="138"/>
      <c r="C115" s="139" t="str">
        <f>IF(ISNUMBER($A115)=TRUE,COUNTIFS(Garden!$H$8:$H154,$B115,Garden!$M$8:$M154,"&gt;0"),"")</f>
        <v/>
      </c>
      <c r="D115" s="139" t="str">
        <f>IF(ISNUMBER($A115)=TRUE,COUNTIFS(Garden!$H$8:$H154,$B115,Garden!$N$8:$N154,"&gt;0"),"")</f>
        <v/>
      </c>
      <c r="E115" s="139" t="str">
        <f>IF(ISNUMBER($A115)=TRUE,COUNTIFS(Garden!$H$8:$H154,$B115,Garden!$K$8:$K154,"TRUE"),"")</f>
        <v/>
      </c>
      <c r="F115" s="126"/>
      <c r="G115" s="140"/>
      <c r="H115" s="141"/>
      <c r="I115" s="126"/>
      <c r="J115" s="140"/>
      <c r="K115" s="141"/>
      <c r="L115" s="143" t="str">
        <f t="shared" si="1"/>
        <v/>
      </c>
      <c r="M115" s="138"/>
      <c r="N115" s="141"/>
    </row>
    <row r="116" ht="15.75" customHeight="1">
      <c r="A116" s="147" t="str">
        <f t="shared" si="2"/>
        <v/>
      </c>
      <c r="B116" s="138"/>
      <c r="C116" s="139" t="str">
        <f>IF(ISNUMBER($A116)=TRUE,COUNTIFS(Garden!$H$8:$H154,$B116,Garden!$M$8:$M154,"&gt;0"),"")</f>
        <v/>
      </c>
      <c r="D116" s="139" t="str">
        <f>IF(ISNUMBER($A116)=TRUE,COUNTIFS(Garden!$H$8:$H154,$B116,Garden!$N$8:$N154,"&gt;0"),"")</f>
        <v/>
      </c>
      <c r="E116" s="139" t="str">
        <f>IF(ISNUMBER($A116)=TRUE,COUNTIFS(Garden!$H$8:$H154,$B116,Garden!$K$8:$K154,"TRUE"),"")</f>
        <v/>
      </c>
      <c r="F116" s="126"/>
      <c r="G116" s="140"/>
      <c r="H116" s="141"/>
      <c r="I116" s="126"/>
      <c r="J116" s="140"/>
      <c r="K116" s="141"/>
      <c r="L116" s="143" t="str">
        <f t="shared" si="1"/>
        <v/>
      </c>
      <c r="M116" s="138"/>
      <c r="N116" s="141"/>
    </row>
    <row r="117" ht="15.75" customHeight="1">
      <c r="A117" s="147" t="str">
        <f t="shared" si="2"/>
        <v/>
      </c>
      <c r="B117" s="138"/>
      <c r="C117" s="139" t="str">
        <f>IF(ISNUMBER($A117)=TRUE,COUNTIFS(Garden!$H$8:$H154,$B117,Garden!$M$8:$M154,"&gt;0"),"")</f>
        <v/>
      </c>
      <c r="D117" s="139" t="str">
        <f>IF(ISNUMBER($A117)=TRUE,COUNTIFS(Garden!$H$8:$H154,$B117,Garden!$N$8:$N154,"&gt;0"),"")</f>
        <v/>
      </c>
      <c r="E117" s="139" t="str">
        <f>IF(ISNUMBER($A117)=TRUE,COUNTIFS(Garden!$H$8:$H154,$B117,Garden!$K$8:$K154,"TRUE"),"")</f>
        <v/>
      </c>
      <c r="F117" s="126"/>
      <c r="G117" s="140"/>
      <c r="H117" s="141"/>
      <c r="I117" s="126"/>
      <c r="J117" s="140"/>
      <c r="K117" s="141"/>
      <c r="L117" s="143" t="str">
        <f t="shared" si="1"/>
        <v/>
      </c>
      <c r="M117" s="138"/>
      <c r="N117" s="141"/>
    </row>
    <row r="118" ht="15.75" customHeight="1">
      <c r="A118" s="147" t="str">
        <f t="shared" si="2"/>
        <v/>
      </c>
      <c r="B118" s="138"/>
      <c r="C118" s="139" t="str">
        <f>IF(ISNUMBER($A118)=TRUE,COUNTIFS(Garden!$H$8:$H154,$B118,Garden!$M$8:$M154,"&gt;0"),"")</f>
        <v/>
      </c>
      <c r="D118" s="139" t="str">
        <f>IF(ISNUMBER($A118)=TRUE,COUNTIFS(Garden!$H$8:$H154,$B118,Garden!$N$8:$N154,"&gt;0"),"")</f>
        <v/>
      </c>
      <c r="E118" s="139" t="str">
        <f>IF(ISNUMBER($A118)=TRUE,COUNTIFS(Garden!$H$8:$H154,$B118,Garden!$K$8:$K154,"TRUE"),"")</f>
        <v/>
      </c>
      <c r="F118" s="126"/>
      <c r="G118" s="140"/>
      <c r="H118" s="141"/>
      <c r="I118" s="126"/>
      <c r="J118" s="140"/>
      <c r="K118" s="141"/>
      <c r="L118" s="143" t="str">
        <f t="shared" si="1"/>
        <v/>
      </c>
      <c r="M118" s="138"/>
      <c r="N118" s="141"/>
    </row>
    <row r="119" ht="15.75" customHeight="1">
      <c r="A119" s="147" t="str">
        <f t="shared" si="2"/>
        <v/>
      </c>
      <c r="B119" s="138"/>
      <c r="C119" s="139" t="str">
        <f>IF(ISNUMBER($A119)=TRUE,COUNTIFS(Garden!$H$8:$H154,$B119,Garden!$M$8:$M154,"&gt;0"),"")</f>
        <v/>
      </c>
      <c r="D119" s="139" t="str">
        <f>IF(ISNUMBER($A119)=TRUE,COUNTIFS(Garden!$H$8:$H154,$B119,Garden!$N$8:$N154,"&gt;0"),"")</f>
        <v/>
      </c>
      <c r="E119" s="139" t="str">
        <f>IF(ISNUMBER($A119)=TRUE,COUNTIFS(Garden!$H$8:$H154,$B119,Garden!$K$8:$K154,"TRUE"),"")</f>
        <v/>
      </c>
      <c r="F119" s="126"/>
      <c r="G119" s="140"/>
      <c r="H119" s="141"/>
      <c r="I119" s="126"/>
      <c r="J119" s="140"/>
      <c r="K119" s="141"/>
      <c r="L119" s="143" t="str">
        <f t="shared" si="1"/>
        <v/>
      </c>
      <c r="M119" s="138"/>
      <c r="N119" s="141"/>
    </row>
    <row r="120" ht="15.75" customHeight="1">
      <c r="A120" s="147" t="str">
        <f t="shared" si="2"/>
        <v/>
      </c>
      <c r="B120" s="138"/>
      <c r="C120" s="139" t="str">
        <f>IF(ISNUMBER($A120)=TRUE,COUNTIFS(Garden!$H$8:$H154,$B120,Garden!$M$8:$M154,"&gt;0"),"")</f>
        <v/>
      </c>
      <c r="D120" s="139" t="str">
        <f>IF(ISNUMBER($A120)=TRUE,COUNTIFS(Garden!$H$8:$H154,$B120,Garden!$N$8:$N154,"&gt;0"),"")</f>
        <v/>
      </c>
      <c r="E120" s="139" t="str">
        <f>IF(ISNUMBER($A120)=TRUE,COUNTIFS(Garden!$H$8:$H154,$B120,Garden!$K$8:$K154,"TRUE"),"")</f>
        <v/>
      </c>
      <c r="F120" s="126"/>
      <c r="G120" s="140"/>
      <c r="H120" s="141"/>
      <c r="I120" s="126"/>
      <c r="J120" s="140"/>
      <c r="K120" s="141"/>
      <c r="L120" s="143" t="str">
        <f t="shared" si="1"/>
        <v/>
      </c>
      <c r="M120" s="138"/>
      <c r="N120" s="141"/>
    </row>
    <row r="121" ht="15.75" customHeight="1">
      <c r="A121" s="147" t="str">
        <f t="shared" si="2"/>
        <v/>
      </c>
      <c r="B121" s="138"/>
      <c r="C121" s="139" t="str">
        <f>IF(ISNUMBER($A121)=TRUE,COUNTIFS(Garden!$H$8:$H154,$B121,Garden!$M$8:$M154,"&gt;0"),"")</f>
        <v/>
      </c>
      <c r="D121" s="139" t="str">
        <f>IF(ISNUMBER($A121)=TRUE,COUNTIFS(Garden!$H$8:$H154,$B121,Garden!$N$8:$N154,"&gt;0"),"")</f>
        <v/>
      </c>
      <c r="E121" s="139" t="str">
        <f>IF(ISNUMBER($A121)=TRUE,COUNTIFS(Garden!$H$8:$H154,$B121,Garden!$K$8:$K154,"TRUE"),"")</f>
        <v/>
      </c>
      <c r="F121" s="126"/>
      <c r="G121" s="140"/>
      <c r="H121" s="141"/>
      <c r="I121" s="126"/>
      <c r="J121" s="140"/>
      <c r="K121" s="141"/>
      <c r="L121" s="143" t="str">
        <f t="shared" si="1"/>
        <v/>
      </c>
      <c r="M121" s="138"/>
      <c r="N121" s="141"/>
    </row>
    <row r="122" ht="15.75" customHeight="1">
      <c r="A122" s="147" t="str">
        <f t="shared" si="2"/>
        <v/>
      </c>
      <c r="B122" s="138"/>
      <c r="C122" s="139" t="str">
        <f>IF(ISNUMBER($A122)=TRUE,COUNTIFS(Garden!$H$8:$H154,$B122,Garden!$M$8:$M154,"&gt;0"),"")</f>
        <v/>
      </c>
      <c r="D122" s="139" t="str">
        <f>IF(ISNUMBER($A122)=TRUE,COUNTIFS(Garden!$H$8:$H154,$B122,Garden!$N$8:$N154,"&gt;0"),"")</f>
        <v/>
      </c>
      <c r="E122" s="139" t="str">
        <f>IF(ISNUMBER($A122)=TRUE,COUNTIFS(Garden!$H$8:$H154,$B122,Garden!$K$8:$K154,"TRUE"),"")</f>
        <v/>
      </c>
      <c r="F122" s="126"/>
      <c r="G122" s="140"/>
      <c r="H122" s="141"/>
      <c r="I122" s="126"/>
      <c r="J122" s="140"/>
      <c r="K122" s="141"/>
      <c r="L122" s="143" t="str">
        <f t="shared" si="1"/>
        <v/>
      </c>
      <c r="M122" s="138"/>
      <c r="N122" s="141"/>
    </row>
    <row r="123" ht="15.75" customHeight="1">
      <c r="A123" s="147" t="str">
        <f t="shared" si="2"/>
        <v/>
      </c>
      <c r="B123" s="138"/>
      <c r="C123" s="139" t="str">
        <f>IF(ISNUMBER($A123)=TRUE,COUNTIFS(Garden!$H$8:$H154,$B123,Garden!$M$8:$M154,"&gt;0"),"")</f>
        <v/>
      </c>
      <c r="D123" s="139" t="str">
        <f>IF(ISNUMBER($A123)=TRUE,COUNTIFS(Garden!$H$8:$H154,$B123,Garden!$N$8:$N154,"&gt;0"),"")</f>
        <v/>
      </c>
      <c r="E123" s="139" t="str">
        <f>IF(ISNUMBER($A123)=TRUE,COUNTIFS(Garden!$H$8:$H154,$B123,Garden!$K$8:$K154,"TRUE"),"")</f>
        <v/>
      </c>
      <c r="F123" s="126"/>
      <c r="G123" s="140"/>
      <c r="H123" s="141"/>
      <c r="I123" s="126"/>
      <c r="J123" s="140"/>
      <c r="K123" s="141"/>
      <c r="L123" s="143" t="str">
        <f t="shared" si="1"/>
        <v/>
      </c>
      <c r="M123" s="138"/>
      <c r="N123" s="141"/>
    </row>
    <row r="124" ht="15.75" customHeight="1">
      <c r="A124" s="147" t="str">
        <f t="shared" si="2"/>
        <v/>
      </c>
      <c r="B124" s="138"/>
      <c r="C124" s="139" t="str">
        <f>IF(ISNUMBER($A124)=TRUE,COUNTIFS(Garden!$H$8:$H154,$B124,Garden!$M$8:$M154,"&gt;0"),"")</f>
        <v/>
      </c>
      <c r="D124" s="139" t="str">
        <f>IF(ISNUMBER($A124)=TRUE,COUNTIFS(Garden!$H$8:$H154,$B124,Garden!$N$8:$N154,"&gt;0"),"")</f>
        <v/>
      </c>
      <c r="E124" s="139" t="str">
        <f>IF(ISNUMBER($A124)=TRUE,COUNTIFS(Garden!$H$8:$H154,$B124,Garden!$K$8:$K154,"TRUE"),"")</f>
        <v/>
      </c>
      <c r="F124" s="126"/>
      <c r="G124" s="140"/>
      <c r="H124" s="141"/>
      <c r="I124" s="126"/>
      <c r="J124" s="140"/>
      <c r="K124" s="141"/>
      <c r="L124" s="143" t="str">
        <f t="shared" si="1"/>
        <v/>
      </c>
      <c r="M124" s="138"/>
      <c r="N124" s="141"/>
    </row>
    <row r="125" ht="15.75" customHeight="1">
      <c r="A125" s="147" t="str">
        <f t="shared" si="2"/>
        <v/>
      </c>
      <c r="B125" s="138"/>
      <c r="C125" s="139" t="str">
        <f>IF(ISNUMBER($A125)=TRUE,COUNTIFS(Garden!$H$8:$H154,$B125,Garden!$M$8:$M154,"&gt;0"),"")</f>
        <v/>
      </c>
      <c r="D125" s="139" t="str">
        <f>IF(ISNUMBER($A125)=TRUE,COUNTIFS(Garden!$H$8:$H154,$B125,Garden!$N$8:$N154,"&gt;0"),"")</f>
        <v/>
      </c>
      <c r="E125" s="139" t="str">
        <f>IF(ISNUMBER($A125)=TRUE,COUNTIFS(Garden!$H$8:$H154,$B125,Garden!$K$8:$K154,"TRUE"),"")</f>
        <v/>
      </c>
      <c r="F125" s="126"/>
      <c r="G125" s="140"/>
      <c r="H125" s="141"/>
      <c r="I125" s="126"/>
      <c r="J125" s="140"/>
      <c r="K125" s="141"/>
      <c r="L125" s="143" t="str">
        <f t="shared" si="1"/>
        <v/>
      </c>
      <c r="M125" s="138"/>
      <c r="N125" s="141"/>
    </row>
    <row r="126" ht="15.75" customHeight="1">
      <c r="A126" s="147" t="str">
        <f t="shared" si="2"/>
        <v/>
      </c>
      <c r="B126" s="138"/>
      <c r="C126" s="139" t="str">
        <f>IF(ISNUMBER($A126)=TRUE,COUNTIFS(Garden!$H$8:$H154,$B126,Garden!$M$8:$M154,"&gt;0"),"")</f>
        <v/>
      </c>
      <c r="D126" s="139" t="str">
        <f>IF(ISNUMBER($A126)=TRUE,COUNTIFS(Garden!$H$8:$H154,$B126,Garden!$N$8:$N154,"&gt;0"),"")</f>
        <v/>
      </c>
      <c r="E126" s="139" t="str">
        <f>IF(ISNUMBER($A126)=TRUE,COUNTIFS(Garden!$H$8:$H154,$B126,Garden!$K$8:$K154,"TRUE"),"")</f>
        <v/>
      </c>
      <c r="F126" s="126"/>
      <c r="G126" s="140"/>
      <c r="H126" s="141"/>
      <c r="I126" s="126"/>
      <c r="J126" s="140"/>
      <c r="K126" s="141"/>
      <c r="L126" s="143" t="str">
        <f t="shared" si="1"/>
        <v/>
      </c>
      <c r="M126" s="138"/>
      <c r="N126" s="141"/>
    </row>
    <row r="127" ht="15.75" customHeight="1">
      <c r="A127" s="147" t="str">
        <f t="shared" si="2"/>
        <v/>
      </c>
      <c r="B127" s="138"/>
      <c r="C127" s="139" t="str">
        <f>IF(ISNUMBER($A127)=TRUE,COUNTIFS(Garden!$H$8:$H154,$B127,Garden!$M$8:$M154,"&gt;0"),"")</f>
        <v/>
      </c>
      <c r="D127" s="139" t="str">
        <f>IF(ISNUMBER($A127)=TRUE,COUNTIFS(Garden!$H$8:$H154,$B127,Garden!$N$8:$N154,"&gt;0"),"")</f>
        <v/>
      </c>
      <c r="E127" s="139" t="str">
        <f>IF(ISNUMBER($A127)=TRUE,COUNTIFS(Garden!$H$8:$H154,$B127,Garden!$K$8:$K154,"TRUE"),"")</f>
        <v/>
      </c>
      <c r="F127" s="126"/>
      <c r="G127" s="140"/>
      <c r="H127" s="141"/>
      <c r="I127" s="126"/>
      <c r="J127" s="140"/>
      <c r="K127" s="141"/>
      <c r="L127" s="143" t="str">
        <f t="shared" si="1"/>
        <v/>
      </c>
      <c r="M127" s="138"/>
      <c r="N127" s="141"/>
    </row>
    <row r="128" ht="15.75" customHeight="1">
      <c r="A128" s="147" t="str">
        <f t="shared" si="2"/>
        <v/>
      </c>
      <c r="B128" s="138"/>
      <c r="C128" s="139" t="str">
        <f>IF(ISNUMBER($A128)=TRUE,COUNTIFS(Garden!$H$8:$H154,$B128,Garden!$M$8:$M154,"&gt;0"),"")</f>
        <v/>
      </c>
      <c r="D128" s="139" t="str">
        <f>IF(ISNUMBER($A128)=TRUE,COUNTIFS(Garden!$H$8:$H154,$B128,Garden!$N$8:$N154,"&gt;0"),"")</f>
        <v/>
      </c>
      <c r="E128" s="139" t="str">
        <f>IF(ISNUMBER($A128)=TRUE,COUNTIFS(Garden!$H$8:$H154,$B128,Garden!$K$8:$K154,"TRUE"),"")</f>
        <v/>
      </c>
      <c r="F128" s="126"/>
      <c r="G128" s="140"/>
      <c r="H128" s="141"/>
      <c r="I128" s="126"/>
      <c r="J128" s="140"/>
      <c r="K128" s="141"/>
      <c r="L128" s="143" t="str">
        <f t="shared" si="1"/>
        <v/>
      </c>
      <c r="M128" s="138"/>
      <c r="N128" s="141"/>
    </row>
    <row r="129" ht="15.75" customHeight="1">
      <c r="A129" s="147" t="str">
        <f t="shared" si="2"/>
        <v/>
      </c>
      <c r="B129" s="138"/>
      <c r="C129" s="139" t="str">
        <f>IF(ISNUMBER($A129)=TRUE,COUNTIFS(Garden!$H$8:$H154,$B129,Garden!$M$8:$M154,"&gt;0"),"")</f>
        <v/>
      </c>
      <c r="D129" s="139" t="str">
        <f>IF(ISNUMBER($A129)=TRUE,COUNTIFS(Garden!$H$8:$H154,$B129,Garden!$N$8:$N154,"&gt;0"),"")</f>
        <v/>
      </c>
      <c r="E129" s="139" t="str">
        <f>IF(ISNUMBER($A129)=TRUE,COUNTIFS(Garden!$H$8:$H154,$B129,Garden!$K$8:$K154,"TRUE"),"")</f>
        <v/>
      </c>
      <c r="F129" s="126"/>
      <c r="G129" s="140"/>
      <c r="H129" s="141"/>
      <c r="I129" s="126"/>
      <c r="J129" s="140"/>
      <c r="K129" s="141"/>
      <c r="L129" s="143" t="str">
        <f t="shared" si="1"/>
        <v/>
      </c>
      <c r="M129" s="138"/>
      <c r="N129" s="141"/>
    </row>
    <row r="130" ht="15.75" customHeight="1">
      <c r="A130" s="147" t="str">
        <f t="shared" si="2"/>
        <v/>
      </c>
      <c r="B130" s="138"/>
      <c r="C130" s="139" t="str">
        <f>IF(ISNUMBER($A130)=TRUE,COUNTIFS(Garden!$H$8:$H154,$B130,Garden!$M$8:$M154,"&gt;0"),"")</f>
        <v/>
      </c>
      <c r="D130" s="139" t="str">
        <f>IF(ISNUMBER($A130)=TRUE,COUNTIFS(Garden!$H$8:$H154,$B130,Garden!$N$8:$N154,"&gt;0"),"")</f>
        <v/>
      </c>
      <c r="E130" s="139" t="str">
        <f>IF(ISNUMBER($A130)=TRUE,COUNTIFS(Garden!$H$8:$H154,$B130,Garden!$K$8:$K154,"TRUE"),"")</f>
        <v/>
      </c>
      <c r="F130" s="126"/>
      <c r="G130" s="140"/>
      <c r="H130" s="141"/>
      <c r="I130" s="126"/>
      <c r="J130" s="140"/>
      <c r="K130" s="141"/>
      <c r="L130" s="143" t="str">
        <f t="shared" si="1"/>
        <v/>
      </c>
      <c r="M130" s="138"/>
      <c r="N130" s="141"/>
    </row>
    <row r="131" ht="15.75" customHeight="1">
      <c r="A131" s="147" t="str">
        <f t="shared" si="2"/>
        <v/>
      </c>
      <c r="B131" s="138"/>
      <c r="C131" s="139" t="str">
        <f>IF(ISNUMBER($A131)=TRUE,COUNTIFS(Garden!$H$8:$H154,$B131,Garden!$M$8:$M154,"&gt;0"),"")</f>
        <v/>
      </c>
      <c r="D131" s="139" t="str">
        <f>IF(ISNUMBER($A131)=TRUE,COUNTIFS(Garden!$H$8:$H154,$B131,Garden!$N$8:$N154,"&gt;0"),"")</f>
        <v/>
      </c>
      <c r="E131" s="139" t="str">
        <f>IF(ISNUMBER($A131)=TRUE,COUNTIFS(Garden!$H$8:$H154,$B131,Garden!$K$8:$K154,"TRUE"),"")</f>
        <v/>
      </c>
      <c r="F131" s="126"/>
      <c r="G131" s="140"/>
      <c r="H131" s="141"/>
      <c r="I131" s="126"/>
      <c r="J131" s="140"/>
      <c r="K131" s="141"/>
      <c r="L131" s="143" t="str">
        <f t="shared" si="1"/>
        <v/>
      </c>
      <c r="M131" s="138"/>
      <c r="N131" s="141"/>
    </row>
    <row r="132" ht="15.75" customHeight="1">
      <c r="A132" s="147" t="str">
        <f t="shared" si="2"/>
        <v/>
      </c>
      <c r="B132" s="138"/>
      <c r="C132" s="139" t="str">
        <f>IF(ISNUMBER($A132)=TRUE,COUNTIFS(Garden!$H$8:$H154,$B132,Garden!$M$8:$M154,"&gt;0"),"")</f>
        <v/>
      </c>
      <c r="D132" s="139" t="str">
        <f>IF(ISNUMBER($A132)=TRUE,COUNTIFS(Garden!$H$8:$H154,$B132,Garden!$N$8:$N154,"&gt;0"),"")</f>
        <v/>
      </c>
      <c r="E132" s="139" t="str">
        <f>IF(ISNUMBER($A132)=TRUE,COUNTIFS(Garden!$H$8:$H154,$B132,Garden!$K$8:$K154,"TRUE"),"")</f>
        <v/>
      </c>
      <c r="F132" s="126"/>
      <c r="G132" s="140"/>
      <c r="H132" s="141"/>
      <c r="I132" s="126"/>
      <c r="J132" s="140"/>
      <c r="K132" s="141"/>
      <c r="L132" s="143" t="str">
        <f t="shared" si="1"/>
        <v/>
      </c>
      <c r="M132" s="138"/>
      <c r="N132" s="141"/>
    </row>
    <row r="133" ht="15.75" customHeight="1">
      <c r="A133" s="147" t="str">
        <f t="shared" si="2"/>
        <v/>
      </c>
      <c r="B133" s="138"/>
      <c r="C133" s="139" t="str">
        <f>IF(ISNUMBER($A133)=TRUE,COUNTIFS(Garden!$H$8:$H154,$B133,Garden!$M$8:$M154,"&gt;0"),"")</f>
        <v/>
      </c>
      <c r="D133" s="139" t="str">
        <f>IF(ISNUMBER($A133)=TRUE,COUNTIFS(Garden!$H$8:$H154,$B133,Garden!$N$8:$N154,"&gt;0"),"")</f>
        <v/>
      </c>
      <c r="E133" s="139" t="str">
        <f>IF(ISNUMBER($A133)=TRUE,COUNTIFS(Garden!$H$8:$H154,$B133,Garden!$K$8:$K154,"TRUE"),"")</f>
        <v/>
      </c>
      <c r="F133" s="126"/>
      <c r="G133" s="140"/>
      <c r="H133" s="141"/>
      <c r="I133" s="126"/>
      <c r="J133" s="140"/>
      <c r="K133" s="141"/>
      <c r="L133" s="143" t="str">
        <f t="shared" si="1"/>
        <v/>
      </c>
      <c r="M133" s="138"/>
      <c r="N133" s="141"/>
    </row>
    <row r="134" ht="15.75" customHeight="1">
      <c r="A134" s="147" t="str">
        <f t="shared" si="2"/>
        <v/>
      </c>
      <c r="B134" s="138"/>
      <c r="C134" s="139" t="str">
        <f>IF(ISNUMBER($A134)=TRUE,COUNTIFS(Garden!$H$8:$H154,$B134,Garden!$M$8:$M154,"&gt;0"),"")</f>
        <v/>
      </c>
      <c r="D134" s="139" t="str">
        <f>IF(ISNUMBER($A134)=TRUE,COUNTIFS(Garden!$H$8:$H154,$B134,Garden!$N$8:$N154,"&gt;0"),"")</f>
        <v/>
      </c>
      <c r="E134" s="139" t="str">
        <f>IF(ISNUMBER($A134)=TRUE,COUNTIFS(Garden!$H$8:$H154,$B134,Garden!$K$8:$K154,"TRUE"),"")</f>
        <v/>
      </c>
      <c r="F134" s="126"/>
      <c r="G134" s="140"/>
      <c r="H134" s="141"/>
      <c r="I134" s="126"/>
      <c r="J134" s="140"/>
      <c r="K134" s="141"/>
      <c r="L134" s="143" t="str">
        <f t="shared" si="1"/>
        <v/>
      </c>
      <c r="M134" s="138"/>
      <c r="N134" s="141"/>
    </row>
    <row r="135" ht="15.75" customHeight="1">
      <c r="A135" s="147" t="str">
        <f t="shared" si="2"/>
        <v/>
      </c>
      <c r="B135" s="138"/>
      <c r="C135" s="139" t="str">
        <f>IF(ISNUMBER($A135)=TRUE,COUNTIFS(Garden!$H$8:$H154,$B135,Garden!$M$8:$M154,"&gt;0"),"")</f>
        <v/>
      </c>
      <c r="D135" s="139" t="str">
        <f>IF(ISNUMBER($A135)=TRUE,COUNTIFS(Garden!$H$8:$H154,$B135,Garden!$N$8:$N154,"&gt;0"),"")</f>
        <v/>
      </c>
      <c r="E135" s="139" t="str">
        <f>IF(ISNUMBER($A135)=TRUE,COUNTIFS(Garden!$H$8:$H154,$B135,Garden!$K$8:$K154,"TRUE"),"")</f>
        <v/>
      </c>
      <c r="F135" s="126"/>
      <c r="G135" s="140"/>
      <c r="H135" s="141"/>
      <c r="I135" s="126"/>
      <c r="J135" s="140"/>
      <c r="K135" s="141"/>
      <c r="L135" s="143" t="str">
        <f t="shared" si="1"/>
        <v/>
      </c>
      <c r="M135" s="138"/>
      <c r="N135" s="141"/>
    </row>
    <row r="136" ht="15.75" customHeight="1">
      <c r="A136" s="147" t="str">
        <f t="shared" si="2"/>
        <v/>
      </c>
      <c r="B136" s="138"/>
      <c r="C136" s="139" t="str">
        <f>IF(ISNUMBER($A136)=TRUE,COUNTIFS(Garden!$H$8:$H154,$B136,Garden!$M$8:$M154,"&gt;0"),"")</f>
        <v/>
      </c>
      <c r="D136" s="139" t="str">
        <f>IF(ISNUMBER($A136)=TRUE,COUNTIFS(Garden!$H$8:$H154,$B136,Garden!$N$8:$N154,"&gt;0"),"")</f>
        <v/>
      </c>
      <c r="E136" s="139" t="str">
        <f>IF(ISNUMBER($A136)=TRUE,COUNTIFS(Garden!$H$8:$H154,$B136,Garden!$K$8:$K154,"TRUE"),"")</f>
        <v/>
      </c>
      <c r="F136" s="126"/>
      <c r="G136" s="140"/>
      <c r="H136" s="141"/>
      <c r="I136" s="126"/>
      <c r="J136" s="140"/>
      <c r="K136" s="141"/>
      <c r="L136" s="143" t="str">
        <f t="shared" si="1"/>
        <v/>
      </c>
      <c r="M136" s="138"/>
      <c r="N136" s="141"/>
    </row>
    <row r="137" ht="15.75" customHeight="1">
      <c r="A137" s="147" t="str">
        <f t="shared" si="2"/>
        <v/>
      </c>
      <c r="B137" s="138"/>
      <c r="C137" s="139" t="str">
        <f>IF(ISNUMBER($A137)=TRUE,COUNTIFS(Garden!$H$8:$H154,$B137,Garden!$M$8:$M154,"&gt;0"),"")</f>
        <v/>
      </c>
      <c r="D137" s="139" t="str">
        <f>IF(ISNUMBER($A137)=TRUE,COUNTIFS(Garden!$H$8:$H154,$B137,Garden!$N$8:$N154,"&gt;0"),"")</f>
        <v/>
      </c>
      <c r="E137" s="139" t="str">
        <f>IF(ISNUMBER($A137)=TRUE,COUNTIFS(Garden!$H$8:$H154,$B137,Garden!$K$8:$K154,"TRUE"),"")</f>
        <v/>
      </c>
      <c r="F137" s="126"/>
      <c r="G137" s="140"/>
      <c r="H137" s="141"/>
      <c r="I137" s="126"/>
      <c r="J137" s="140"/>
      <c r="K137" s="141"/>
      <c r="L137" s="143" t="str">
        <f t="shared" si="1"/>
        <v/>
      </c>
      <c r="M137" s="138"/>
      <c r="N137" s="141"/>
    </row>
    <row r="138" ht="15.75" customHeight="1">
      <c r="A138" s="147" t="str">
        <f t="shared" si="2"/>
        <v/>
      </c>
      <c r="B138" s="138"/>
      <c r="C138" s="139" t="str">
        <f>IF(ISNUMBER($A138)=TRUE,COUNTIFS(Garden!$H$8:$H154,$B138,Garden!$M$8:$M154,"&gt;0"),"")</f>
        <v/>
      </c>
      <c r="D138" s="139" t="str">
        <f>IF(ISNUMBER($A138)=TRUE,COUNTIFS(Garden!$H$8:$H154,$B138,Garden!$N$8:$N154,"&gt;0"),"")</f>
        <v/>
      </c>
      <c r="E138" s="139" t="str">
        <f>IF(ISNUMBER($A138)=TRUE,COUNTIFS(Garden!$H$8:$H154,$B138,Garden!$K$8:$K154,"TRUE"),"")</f>
        <v/>
      </c>
      <c r="F138" s="126"/>
      <c r="G138" s="140"/>
      <c r="H138" s="141"/>
      <c r="I138" s="126"/>
      <c r="J138" s="140"/>
      <c r="K138" s="141"/>
      <c r="L138" s="143" t="str">
        <f t="shared" si="1"/>
        <v/>
      </c>
      <c r="M138" s="138"/>
      <c r="N138" s="141"/>
    </row>
    <row r="139" ht="15.75" customHeight="1">
      <c r="A139" s="147" t="str">
        <f t="shared" si="2"/>
        <v/>
      </c>
      <c r="B139" s="138"/>
      <c r="C139" s="139" t="str">
        <f>IF(ISNUMBER($A139)=TRUE,COUNTIFS(Garden!$H$8:$H154,$B139,Garden!$M$8:$M154,"&gt;0"),"")</f>
        <v/>
      </c>
      <c r="D139" s="139" t="str">
        <f>IF(ISNUMBER($A139)=TRUE,COUNTIFS(Garden!$H$8:$H154,$B139,Garden!$N$8:$N154,"&gt;0"),"")</f>
        <v/>
      </c>
      <c r="E139" s="139" t="str">
        <f>IF(ISNUMBER($A139)=TRUE,COUNTIFS(Garden!$H$8:$H154,$B139,Garden!$K$8:$K154,"TRUE"),"")</f>
        <v/>
      </c>
      <c r="F139" s="126"/>
      <c r="G139" s="140"/>
      <c r="H139" s="141"/>
      <c r="I139" s="126"/>
      <c r="J139" s="140"/>
      <c r="K139" s="141"/>
      <c r="L139" s="143" t="str">
        <f t="shared" si="1"/>
        <v/>
      </c>
      <c r="M139" s="138"/>
      <c r="N139" s="141"/>
    </row>
    <row r="140" ht="15.75" customHeight="1">
      <c r="A140" s="147" t="str">
        <f t="shared" si="2"/>
        <v/>
      </c>
      <c r="B140" s="138"/>
      <c r="C140" s="139" t="str">
        <f>IF(ISNUMBER($A140)=TRUE,COUNTIFS(Garden!$H$8:$H154,$B140,Garden!$M$8:$M154,"&gt;0"),"")</f>
        <v/>
      </c>
      <c r="D140" s="139" t="str">
        <f>IF(ISNUMBER($A140)=TRUE,COUNTIFS(Garden!$H$8:$H154,$B140,Garden!$N$8:$N154,"&gt;0"),"")</f>
        <v/>
      </c>
      <c r="E140" s="139" t="str">
        <f>IF(ISNUMBER($A140)=TRUE,COUNTIFS(Garden!$H$8:$H154,$B140,Garden!$K$8:$K154,"TRUE"),"")</f>
        <v/>
      </c>
      <c r="F140" s="126"/>
      <c r="G140" s="140"/>
      <c r="H140" s="141"/>
      <c r="I140" s="126"/>
      <c r="J140" s="140"/>
      <c r="K140" s="141"/>
      <c r="L140" s="143" t="str">
        <f t="shared" si="1"/>
        <v/>
      </c>
      <c r="M140" s="138"/>
      <c r="N140" s="141"/>
    </row>
    <row r="141" ht="15.75" customHeight="1">
      <c r="A141" s="147" t="str">
        <f t="shared" si="2"/>
        <v/>
      </c>
      <c r="B141" s="138"/>
      <c r="C141" s="139" t="str">
        <f>IF(ISNUMBER($A141)=TRUE,COUNTIFS(Garden!$H$8:$H154,$B141,Garden!$M$8:$M154,"&gt;0"),"")</f>
        <v/>
      </c>
      <c r="D141" s="139" t="str">
        <f>IF(ISNUMBER($A141)=TRUE,COUNTIFS(Garden!$H$8:$H154,$B141,Garden!$N$8:$N154,"&gt;0"),"")</f>
        <v/>
      </c>
      <c r="E141" s="139" t="str">
        <f>IF(ISNUMBER($A141)=TRUE,COUNTIFS(Garden!$H$8:$H154,$B141,Garden!$K$8:$K154,"TRUE"),"")</f>
        <v/>
      </c>
      <c r="F141" s="126"/>
      <c r="G141" s="140"/>
      <c r="H141" s="141"/>
      <c r="I141" s="126"/>
      <c r="J141" s="140"/>
      <c r="K141" s="141"/>
      <c r="L141" s="143" t="str">
        <f t="shared" si="1"/>
        <v/>
      </c>
      <c r="M141" s="138"/>
      <c r="N141" s="141"/>
    </row>
    <row r="142" ht="15.75" customHeight="1">
      <c r="A142" s="147" t="str">
        <f t="shared" si="2"/>
        <v/>
      </c>
      <c r="B142" s="138"/>
      <c r="C142" s="139" t="str">
        <f>IF(ISNUMBER($A142)=TRUE,COUNTIFS(Garden!$H$8:$H154,$B142,Garden!$M$8:$M154,"&gt;0"),"")</f>
        <v/>
      </c>
      <c r="D142" s="139" t="str">
        <f>IF(ISNUMBER($A142)=TRUE,COUNTIFS(Garden!$H$8:$H154,$B142,Garden!$N$8:$N154,"&gt;0"),"")</f>
        <v/>
      </c>
      <c r="E142" s="139" t="str">
        <f>IF(ISNUMBER($A142)=TRUE,COUNTIFS(Garden!$H$8:$H154,$B142,Garden!$K$8:$K154,"TRUE"),"")</f>
        <v/>
      </c>
      <c r="F142" s="126"/>
      <c r="G142" s="140"/>
      <c r="H142" s="141"/>
      <c r="I142" s="126"/>
      <c r="J142" s="140"/>
      <c r="K142" s="141"/>
      <c r="L142" s="143" t="str">
        <f t="shared" si="1"/>
        <v/>
      </c>
      <c r="M142" s="138"/>
      <c r="N142" s="141"/>
    </row>
    <row r="143" ht="15.75" customHeight="1">
      <c r="A143" s="147" t="str">
        <f t="shared" si="2"/>
        <v/>
      </c>
      <c r="B143" s="138"/>
      <c r="C143" s="139" t="str">
        <f>IF(ISNUMBER($A143)=TRUE,COUNTIFS(Garden!$H$8:$H154,$B143,Garden!$M$8:$M154,"&gt;0"),"")</f>
        <v/>
      </c>
      <c r="D143" s="139" t="str">
        <f>IF(ISNUMBER($A143)=TRUE,COUNTIFS(Garden!$H$8:$H154,$B143,Garden!$N$8:$N154,"&gt;0"),"")</f>
        <v/>
      </c>
      <c r="E143" s="139" t="str">
        <f>IF(ISNUMBER($A143)=TRUE,COUNTIFS(Garden!$H$8:$H154,$B143,Garden!$K$8:$K154,"TRUE"),"")</f>
        <v/>
      </c>
      <c r="F143" s="126"/>
      <c r="G143" s="140"/>
      <c r="H143" s="141"/>
      <c r="I143" s="126"/>
      <c r="J143" s="140"/>
      <c r="K143" s="141"/>
      <c r="L143" s="143" t="str">
        <f t="shared" si="1"/>
        <v/>
      </c>
      <c r="M143" s="138"/>
      <c r="N143" s="141"/>
    </row>
    <row r="144" ht="15.75" customHeight="1">
      <c r="A144" s="147" t="str">
        <f t="shared" si="2"/>
        <v/>
      </c>
      <c r="B144" s="138"/>
      <c r="C144" s="139" t="str">
        <f>IF(ISNUMBER($A144)=TRUE,COUNTIFS(Garden!$H$8:$H154,$B144,Garden!$M$8:$M154,"&gt;0"),"")</f>
        <v/>
      </c>
      <c r="D144" s="139" t="str">
        <f>IF(ISNUMBER($A144)=TRUE,COUNTIFS(Garden!$H$8:$H154,$B144,Garden!$N$8:$N154,"&gt;0"),"")</f>
        <v/>
      </c>
      <c r="E144" s="139" t="str">
        <f>IF(ISNUMBER($A144)=TRUE,COUNTIFS(Garden!$H$8:$H154,$B144,Garden!$K$8:$K154,"TRUE"),"")</f>
        <v/>
      </c>
      <c r="F144" s="126"/>
      <c r="G144" s="140"/>
      <c r="H144" s="141"/>
      <c r="I144" s="126"/>
      <c r="J144" s="140"/>
      <c r="K144" s="141"/>
      <c r="L144" s="143" t="str">
        <f t="shared" si="1"/>
        <v/>
      </c>
      <c r="M144" s="138"/>
      <c r="N144" s="141"/>
    </row>
    <row r="145" ht="15.75" customHeight="1">
      <c r="A145" s="147" t="str">
        <f t="shared" si="2"/>
        <v/>
      </c>
      <c r="B145" s="138"/>
      <c r="C145" s="139" t="str">
        <f>IF(ISNUMBER($A145)=TRUE,COUNTIFS(Garden!$H$8:$H154,$B145,Garden!$M$8:$M154,"&gt;0"),"")</f>
        <v/>
      </c>
      <c r="D145" s="139" t="str">
        <f>IF(ISNUMBER($A145)=TRUE,COUNTIFS(Garden!$H$8:$H154,$B145,Garden!$N$8:$N154,"&gt;0"),"")</f>
        <v/>
      </c>
      <c r="E145" s="139" t="str">
        <f>IF(ISNUMBER($A145)=TRUE,COUNTIFS(Garden!$H$8:$H154,$B145,Garden!$K$8:$K154,"TRUE"),"")</f>
        <v/>
      </c>
      <c r="F145" s="126"/>
      <c r="G145" s="140"/>
      <c r="H145" s="141"/>
      <c r="I145" s="126"/>
      <c r="J145" s="140"/>
      <c r="K145" s="141"/>
      <c r="L145" s="143" t="str">
        <f t="shared" si="1"/>
        <v/>
      </c>
      <c r="M145" s="138"/>
      <c r="N145" s="141"/>
    </row>
    <row r="146" ht="15.75" customHeight="1">
      <c r="A146" s="147" t="str">
        <f t="shared" si="2"/>
        <v/>
      </c>
      <c r="B146" s="138"/>
      <c r="C146" s="139" t="str">
        <f>IF(ISNUMBER($A146)=TRUE,COUNTIFS(Garden!$H$8:$H154,$B146,Garden!$M$8:$M154,"&gt;0"),"")</f>
        <v/>
      </c>
      <c r="D146" s="139" t="str">
        <f>IF(ISNUMBER($A146)=TRUE,COUNTIFS(Garden!$H$8:$H154,$B146,Garden!$N$8:$N154,"&gt;0"),"")</f>
        <v/>
      </c>
      <c r="E146" s="139" t="str">
        <f>IF(ISNUMBER($A146)=TRUE,COUNTIFS(Garden!$H$8:$H154,$B146,Garden!$K$8:$K154,"TRUE"),"")</f>
        <v/>
      </c>
      <c r="F146" s="126"/>
      <c r="G146" s="140"/>
      <c r="H146" s="141"/>
      <c r="I146" s="126"/>
      <c r="J146" s="140"/>
      <c r="K146" s="141"/>
      <c r="L146" s="143" t="str">
        <f t="shared" si="1"/>
        <v/>
      </c>
      <c r="M146" s="138"/>
      <c r="N146" s="141"/>
    </row>
    <row r="147" ht="15.75" customHeight="1">
      <c r="A147" s="147" t="str">
        <f t="shared" si="2"/>
        <v/>
      </c>
      <c r="B147" s="138"/>
      <c r="C147" s="139" t="str">
        <f>IF(ISNUMBER($A147)=TRUE,COUNTIFS(Garden!$H$8:$H154,$B147,Garden!$M$8:$M154,"&gt;0"),"")</f>
        <v/>
      </c>
      <c r="D147" s="139" t="str">
        <f>IF(ISNUMBER($A147)=TRUE,COUNTIFS(Garden!$H$8:$H154,$B147,Garden!$N$8:$N154,"&gt;0"),"")</f>
        <v/>
      </c>
      <c r="E147" s="139" t="str">
        <f>IF(ISNUMBER($A147)=TRUE,COUNTIFS(Garden!$H$8:$H154,$B147,Garden!$K$8:$K154,"TRUE"),"")</f>
        <v/>
      </c>
      <c r="F147" s="126"/>
      <c r="G147" s="140"/>
      <c r="H147" s="141"/>
      <c r="I147" s="126"/>
      <c r="J147" s="140"/>
      <c r="K147" s="141"/>
      <c r="L147" s="143" t="str">
        <f t="shared" si="1"/>
        <v/>
      </c>
      <c r="M147" s="138"/>
      <c r="N147" s="141"/>
    </row>
    <row r="148" ht="15.75" customHeight="1">
      <c r="A148" s="147" t="str">
        <f t="shared" si="2"/>
        <v/>
      </c>
      <c r="B148" s="138"/>
      <c r="C148" s="139" t="str">
        <f>IF(ISNUMBER($A148)=TRUE,COUNTIFS(Garden!$H$8:$H154,$B148,Garden!$M$8:$M154,"&gt;0"),"")</f>
        <v/>
      </c>
      <c r="D148" s="139" t="str">
        <f>IF(ISNUMBER($A148)=TRUE,COUNTIFS(Garden!$H$8:$H154,$B148,Garden!$N$8:$N154,"&gt;0"),"")</f>
        <v/>
      </c>
      <c r="E148" s="139" t="str">
        <f>IF(ISNUMBER($A148)=TRUE,COUNTIFS(Garden!$H$8:$H154,$B148,Garden!$K$8:$K154,"TRUE"),"")</f>
        <v/>
      </c>
      <c r="F148" s="126"/>
      <c r="G148" s="140"/>
      <c r="H148" s="141"/>
      <c r="I148" s="126"/>
      <c r="J148" s="140"/>
      <c r="K148" s="141"/>
      <c r="L148" s="143" t="str">
        <f t="shared" si="1"/>
        <v/>
      </c>
      <c r="M148" s="138"/>
      <c r="N148" s="141"/>
    </row>
    <row r="149" ht="15.75" customHeight="1">
      <c r="A149" s="147" t="str">
        <f t="shared" si="2"/>
        <v/>
      </c>
      <c r="B149" s="138"/>
      <c r="C149" s="139" t="str">
        <f>IF(ISNUMBER($A149)=TRUE,COUNTIFS(Garden!$H$8:$H154,$B149,Garden!$M$8:$M154,"&gt;0"),"")</f>
        <v/>
      </c>
      <c r="D149" s="139" t="str">
        <f>IF(ISNUMBER($A149)=TRUE,COUNTIFS(Garden!$H$8:$H154,$B149,Garden!$N$8:$N154,"&gt;0"),"")</f>
        <v/>
      </c>
      <c r="E149" s="139" t="str">
        <f>IF(ISNUMBER($A149)=TRUE,COUNTIFS(Garden!$H$8:$H154,$B149,Garden!$K$8:$K154,"TRUE"),"")</f>
        <v/>
      </c>
      <c r="F149" s="126"/>
      <c r="G149" s="140"/>
      <c r="H149" s="141"/>
      <c r="I149" s="126"/>
      <c r="J149" s="140"/>
      <c r="K149" s="141"/>
      <c r="L149" s="143" t="str">
        <f t="shared" si="1"/>
        <v/>
      </c>
      <c r="M149" s="138"/>
      <c r="N149" s="141"/>
    </row>
    <row r="150" ht="15.75" customHeight="1">
      <c r="A150" s="147" t="str">
        <f t="shared" si="2"/>
        <v/>
      </c>
      <c r="B150" s="138"/>
      <c r="C150" s="139" t="str">
        <f>IF(ISNUMBER($A150)=TRUE,COUNTIFS(Garden!$H$8:$H154,$B150,Garden!$M$8:$M154,"&gt;0"),"")</f>
        <v/>
      </c>
      <c r="D150" s="139" t="str">
        <f>IF(ISNUMBER($A150)=TRUE,COUNTIFS(Garden!$H$8:$H154,$B150,Garden!$N$8:$N154,"&gt;0"),"")</f>
        <v/>
      </c>
      <c r="E150" s="139" t="str">
        <f>IF(ISNUMBER($A150)=TRUE,COUNTIFS(Garden!$H$8:$H154,$B150,Garden!$K$8:$K154,"TRUE"),"")</f>
        <v/>
      </c>
      <c r="F150" s="126"/>
      <c r="G150" s="140"/>
      <c r="H150" s="141"/>
      <c r="I150" s="126"/>
      <c r="J150" s="140"/>
      <c r="K150" s="141"/>
      <c r="L150" s="143" t="str">
        <f t="shared" si="1"/>
        <v/>
      </c>
      <c r="M150" s="138"/>
      <c r="N150" s="141"/>
    </row>
    <row r="151" ht="15.75" customHeight="1">
      <c r="A151" s="148" t="str">
        <f t="shared" si="2"/>
        <v/>
      </c>
      <c r="B151" s="149"/>
      <c r="C151" s="139" t="str">
        <f>IF(ISNUMBER($A151)=TRUE,COUNTIFS(Garden!$H$8:$H154,$B151,Garden!$M$8:$M154,"&gt;0"),"")</f>
        <v/>
      </c>
      <c r="D151" s="139" t="str">
        <f>IF(ISNUMBER($A151)=TRUE,COUNTIFS(Garden!$H$8:$H154,$B151,Garden!$N$8:$N154,"&gt;0"),"")</f>
        <v/>
      </c>
      <c r="E151" s="139" t="str">
        <f>IF(ISNUMBER($A151)=TRUE,COUNTIFS(Garden!$H$8:$H154,$B151,Garden!$K$8:$K154,"TRUE"),"")</f>
        <v/>
      </c>
      <c r="F151" s="126"/>
      <c r="G151" s="150"/>
      <c r="H151" s="151"/>
      <c r="I151" s="126"/>
      <c r="J151" s="150"/>
      <c r="K151" s="151"/>
      <c r="L151" s="152" t="str">
        <f t="shared" si="1"/>
        <v/>
      </c>
      <c r="M151" s="148"/>
      <c r="N151" s="153"/>
    </row>
    <row r="152" ht="15.75" customHeight="1">
      <c r="A152" s="154"/>
      <c r="B152" s="154"/>
      <c r="C152" s="155"/>
      <c r="D152" s="155"/>
      <c r="E152" s="155"/>
      <c r="F152" s="116"/>
      <c r="G152" s="156"/>
      <c r="H152" s="155"/>
      <c r="I152" s="116"/>
      <c r="J152" s="156"/>
      <c r="K152" s="155"/>
      <c r="L152" s="154"/>
      <c r="M152" s="154"/>
      <c r="N152" s="154"/>
    </row>
    <row r="153" ht="15.75" customHeight="1">
      <c r="A153" s="154"/>
      <c r="B153" s="154"/>
      <c r="C153" s="155"/>
      <c r="D153" s="155"/>
      <c r="E153" s="155"/>
      <c r="F153" s="116"/>
      <c r="G153" s="156"/>
      <c r="H153" s="155"/>
      <c r="I153" s="116"/>
      <c r="J153" s="156"/>
      <c r="K153" s="155"/>
      <c r="L153" s="154"/>
      <c r="M153" s="154"/>
      <c r="N153" s="154"/>
    </row>
    <row r="154" ht="15.75" customHeight="1">
      <c r="A154" s="154"/>
      <c r="B154" s="154"/>
      <c r="C154" s="155"/>
      <c r="D154" s="155"/>
      <c r="E154" s="155"/>
      <c r="F154" s="116"/>
      <c r="G154" s="156"/>
      <c r="H154" s="155"/>
      <c r="I154" s="116"/>
      <c r="J154" s="156"/>
      <c r="K154" s="155"/>
      <c r="L154" s="154"/>
      <c r="M154" s="154"/>
      <c r="N154" s="154"/>
    </row>
    <row r="155" ht="15.75" customHeight="1">
      <c r="A155" s="154"/>
      <c r="B155" s="154"/>
      <c r="C155" s="155"/>
      <c r="D155" s="155"/>
      <c r="E155" s="155"/>
      <c r="F155" s="116"/>
      <c r="G155" s="156"/>
      <c r="H155" s="155"/>
      <c r="I155" s="116"/>
      <c r="J155" s="156"/>
      <c r="K155" s="155"/>
      <c r="L155" s="154"/>
      <c r="M155" s="154"/>
      <c r="N155" s="154"/>
    </row>
    <row r="156" ht="15.75" customHeight="1">
      <c r="A156" s="154"/>
      <c r="B156" s="154"/>
      <c r="C156" s="155"/>
      <c r="D156" s="155"/>
      <c r="E156" s="155"/>
      <c r="F156" s="116"/>
      <c r="G156" s="156"/>
      <c r="H156" s="155"/>
      <c r="I156" s="116"/>
      <c r="J156" s="156"/>
      <c r="K156" s="155"/>
      <c r="L156" s="154"/>
      <c r="M156" s="154"/>
      <c r="N156" s="154"/>
    </row>
    <row r="157" ht="15.75" customHeight="1">
      <c r="A157" s="154"/>
      <c r="B157" s="154"/>
      <c r="C157" s="155"/>
      <c r="D157" s="155"/>
      <c r="E157" s="155"/>
      <c r="F157" s="116"/>
      <c r="G157" s="156"/>
      <c r="H157" s="155"/>
      <c r="I157" s="116"/>
      <c r="J157" s="156"/>
      <c r="K157" s="155"/>
      <c r="L157" s="154"/>
      <c r="M157" s="154"/>
      <c r="N157" s="154"/>
    </row>
    <row r="158" ht="15.75" customHeight="1">
      <c r="A158" s="154"/>
      <c r="B158" s="154"/>
      <c r="C158" s="155"/>
      <c r="D158" s="155"/>
      <c r="E158" s="155"/>
      <c r="F158" s="116"/>
      <c r="G158" s="156"/>
      <c r="H158" s="155"/>
      <c r="I158" s="116"/>
      <c r="J158" s="156"/>
      <c r="K158" s="155"/>
      <c r="L158" s="154"/>
      <c r="M158" s="154"/>
      <c r="N158" s="154"/>
    </row>
    <row r="159" ht="15.75" customHeight="1">
      <c r="A159" s="154"/>
      <c r="B159" s="154"/>
      <c r="C159" s="155"/>
      <c r="D159" s="155"/>
      <c r="E159" s="155"/>
      <c r="F159" s="116"/>
      <c r="G159" s="156"/>
      <c r="H159" s="155"/>
      <c r="I159" s="116"/>
      <c r="J159" s="156"/>
      <c r="K159" s="155"/>
      <c r="L159" s="154"/>
      <c r="M159" s="154"/>
      <c r="N159" s="154"/>
    </row>
    <row r="160" ht="15.75" customHeight="1">
      <c r="A160" s="154"/>
      <c r="B160" s="154"/>
      <c r="C160" s="155"/>
      <c r="D160" s="155"/>
      <c r="E160" s="155"/>
      <c r="F160" s="116"/>
      <c r="G160" s="156"/>
      <c r="H160" s="155"/>
      <c r="I160" s="116"/>
      <c r="J160" s="156"/>
      <c r="K160" s="155"/>
      <c r="L160" s="154"/>
      <c r="M160" s="154"/>
      <c r="N160" s="154"/>
    </row>
    <row r="161" ht="15.75" customHeight="1">
      <c r="A161" s="154"/>
      <c r="B161" s="154"/>
      <c r="C161" s="155"/>
      <c r="D161" s="155"/>
      <c r="E161" s="155"/>
      <c r="F161" s="116"/>
      <c r="G161" s="156"/>
      <c r="H161" s="155"/>
      <c r="I161" s="116"/>
      <c r="J161" s="156"/>
      <c r="K161" s="155"/>
      <c r="L161" s="154"/>
      <c r="M161" s="154"/>
      <c r="N161" s="154"/>
    </row>
    <row r="162" ht="15.75" customHeight="1">
      <c r="A162" s="154"/>
      <c r="B162" s="154"/>
      <c r="C162" s="155"/>
      <c r="D162" s="155"/>
      <c r="E162" s="155"/>
      <c r="F162" s="116"/>
      <c r="G162" s="156"/>
      <c r="H162" s="155"/>
      <c r="I162" s="116"/>
      <c r="J162" s="156"/>
      <c r="K162" s="155"/>
      <c r="L162" s="154"/>
      <c r="M162" s="154"/>
      <c r="N162" s="154"/>
    </row>
    <row r="163" ht="15.75" customHeight="1">
      <c r="A163" s="154"/>
      <c r="B163" s="154"/>
      <c r="C163" s="155"/>
      <c r="D163" s="155"/>
      <c r="E163" s="155"/>
      <c r="F163" s="116"/>
      <c r="G163" s="156"/>
      <c r="H163" s="155"/>
      <c r="I163" s="116"/>
      <c r="J163" s="156"/>
      <c r="K163" s="155"/>
      <c r="L163" s="154"/>
      <c r="M163" s="154"/>
      <c r="N163" s="154"/>
    </row>
    <row r="164" ht="15.75" customHeight="1">
      <c r="A164" s="154"/>
      <c r="B164" s="154"/>
      <c r="C164" s="155"/>
      <c r="D164" s="155"/>
      <c r="E164" s="155"/>
      <c r="F164" s="116"/>
      <c r="G164" s="156"/>
      <c r="H164" s="155"/>
      <c r="I164" s="116"/>
      <c r="J164" s="156"/>
      <c r="K164" s="155"/>
      <c r="L164" s="154"/>
      <c r="M164" s="154"/>
      <c r="N164" s="154"/>
    </row>
    <row r="165" ht="15.75" customHeight="1">
      <c r="A165" s="154"/>
      <c r="B165" s="154"/>
      <c r="C165" s="155"/>
      <c r="D165" s="155"/>
      <c r="E165" s="155"/>
      <c r="F165" s="116"/>
      <c r="G165" s="156"/>
      <c r="H165" s="155"/>
      <c r="I165" s="116"/>
      <c r="J165" s="156"/>
      <c r="K165" s="155"/>
      <c r="L165" s="154"/>
      <c r="M165" s="154"/>
      <c r="N165" s="154"/>
    </row>
    <row r="166" ht="15.75" customHeight="1">
      <c r="A166" s="154"/>
      <c r="B166" s="154"/>
      <c r="C166" s="155"/>
      <c r="D166" s="155"/>
      <c r="E166" s="155"/>
      <c r="F166" s="116"/>
      <c r="G166" s="156"/>
      <c r="H166" s="155"/>
      <c r="I166" s="116"/>
      <c r="J166" s="156"/>
      <c r="K166" s="155"/>
      <c r="L166" s="154"/>
      <c r="M166" s="154"/>
      <c r="N166" s="154"/>
    </row>
    <row r="167" ht="15.75" customHeight="1">
      <c r="A167" s="154"/>
      <c r="B167" s="154"/>
      <c r="C167" s="155"/>
      <c r="D167" s="155"/>
      <c r="E167" s="155"/>
      <c r="F167" s="116"/>
      <c r="G167" s="156"/>
      <c r="H167" s="155"/>
      <c r="I167" s="116"/>
      <c r="J167" s="156"/>
      <c r="K167" s="155"/>
      <c r="L167" s="154"/>
      <c r="M167" s="154"/>
      <c r="N167" s="154"/>
    </row>
    <row r="168" ht="15.75" customHeight="1">
      <c r="A168" s="154"/>
      <c r="B168" s="154"/>
      <c r="C168" s="155"/>
      <c r="D168" s="155"/>
      <c r="E168" s="155"/>
      <c r="F168" s="116"/>
      <c r="G168" s="156"/>
      <c r="H168" s="155"/>
      <c r="I168" s="116"/>
      <c r="J168" s="156"/>
      <c r="K168" s="155"/>
      <c r="L168" s="154"/>
      <c r="M168" s="154"/>
      <c r="N168" s="154"/>
    </row>
    <row r="169" ht="15.75" customHeight="1">
      <c r="A169" s="154"/>
      <c r="B169" s="154"/>
      <c r="C169" s="155"/>
      <c r="D169" s="155"/>
      <c r="E169" s="155"/>
      <c r="F169" s="116"/>
      <c r="G169" s="156"/>
      <c r="H169" s="155"/>
      <c r="I169" s="116"/>
      <c r="J169" s="156"/>
      <c r="K169" s="155"/>
      <c r="L169" s="154"/>
      <c r="M169" s="154"/>
      <c r="N169" s="154"/>
    </row>
    <row r="170" ht="15.75" customHeight="1">
      <c r="A170" s="154"/>
      <c r="B170" s="154"/>
      <c r="C170" s="155"/>
      <c r="D170" s="155"/>
      <c r="E170" s="155"/>
      <c r="F170" s="116"/>
      <c r="G170" s="156"/>
      <c r="H170" s="155"/>
      <c r="I170" s="116"/>
      <c r="J170" s="156"/>
      <c r="K170" s="155"/>
      <c r="L170" s="154"/>
      <c r="M170" s="154"/>
      <c r="N170" s="154"/>
    </row>
    <row r="171" ht="15.75" customHeight="1">
      <c r="A171" s="154"/>
      <c r="B171" s="154"/>
      <c r="C171" s="155"/>
      <c r="D171" s="155"/>
      <c r="E171" s="155"/>
      <c r="F171" s="116"/>
      <c r="G171" s="156"/>
      <c r="H171" s="155"/>
      <c r="I171" s="116"/>
      <c r="J171" s="156"/>
      <c r="K171" s="155"/>
      <c r="L171" s="154"/>
      <c r="M171" s="154"/>
      <c r="N171" s="154"/>
    </row>
    <row r="172" ht="15.75" customHeight="1">
      <c r="A172" s="154"/>
      <c r="B172" s="154"/>
      <c r="C172" s="155"/>
      <c r="D172" s="155"/>
      <c r="E172" s="155"/>
      <c r="F172" s="116"/>
      <c r="G172" s="156"/>
      <c r="H172" s="155"/>
      <c r="I172" s="116"/>
      <c r="J172" s="156"/>
      <c r="K172" s="155"/>
      <c r="L172" s="154"/>
      <c r="M172" s="154"/>
      <c r="N172" s="154"/>
    </row>
    <row r="173" ht="15.75" customHeight="1">
      <c r="A173" s="154"/>
      <c r="B173" s="154"/>
      <c r="C173" s="155"/>
      <c r="D173" s="155"/>
      <c r="E173" s="155"/>
      <c r="F173" s="116"/>
      <c r="G173" s="156"/>
      <c r="H173" s="155"/>
      <c r="I173" s="116"/>
      <c r="J173" s="156"/>
      <c r="K173" s="155"/>
      <c r="L173" s="154"/>
      <c r="M173" s="154"/>
      <c r="N173" s="154"/>
    </row>
    <row r="174" ht="15.75" customHeight="1">
      <c r="A174" s="154"/>
      <c r="B174" s="154"/>
      <c r="C174" s="155"/>
      <c r="D174" s="155"/>
      <c r="E174" s="155"/>
      <c r="F174" s="116"/>
      <c r="G174" s="156"/>
      <c r="H174" s="155"/>
      <c r="I174" s="116"/>
      <c r="J174" s="156"/>
      <c r="K174" s="155"/>
      <c r="L174" s="154"/>
      <c r="M174" s="154"/>
      <c r="N174" s="154"/>
    </row>
    <row r="175" ht="15.75" customHeight="1">
      <c r="A175" s="154"/>
      <c r="B175" s="154"/>
      <c r="C175" s="155"/>
      <c r="D175" s="155"/>
      <c r="E175" s="155"/>
      <c r="F175" s="116"/>
      <c r="G175" s="156"/>
      <c r="H175" s="155"/>
      <c r="I175" s="116"/>
      <c r="J175" s="156"/>
      <c r="K175" s="155"/>
      <c r="L175" s="154"/>
      <c r="M175" s="154"/>
      <c r="N175" s="154"/>
    </row>
    <row r="176" ht="15.75" customHeight="1">
      <c r="A176" s="154"/>
      <c r="B176" s="154"/>
      <c r="C176" s="155"/>
      <c r="D176" s="155"/>
      <c r="E176" s="155"/>
      <c r="F176" s="116"/>
      <c r="G176" s="156"/>
      <c r="H176" s="155"/>
      <c r="I176" s="116"/>
      <c r="J176" s="156"/>
      <c r="K176" s="155"/>
      <c r="L176" s="154"/>
      <c r="M176" s="154"/>
      <c r="N176" s="154"/>
    </row>
    <row r="177" ht="15.75" customHeight="1">
      <c r="A177" s="154"/>
      <c r="B177" s="154"/>
      <c r="C177" s="155"/>
      <c r="D177" s="155"/>
      <c r="E177" s="155"/>
      <c r="F177" s="116"/>
      <c r="G177" s="156"/>
      <c r="H177" s="155"/>
      <c r="I177" s="116"/>
      <c r="J177" s="156"/>
      <c r="K177" s="155"/>
      <c r="L177" s="154"/>
      <c r="M177" s="154"/>
      <c r="N177" s="154"/>
    </row>
    <row r="178" ht="15.75" customHeight="1">
      <c r="A178" s="154"/>
      <c r="B178" s="154"/>
      <c r="C178" s="155"/>
      <c r="D178" s="155"/>
      <c r="E178" s="155"/>
      <c r="F178" s="116"/>
      <c r="G178" s="156"/>
      <c r="H178" s="155"/>
      <c r="I178" s="116"/>
      <c r="J178" s="156"/>
      <c r="K178" s="155"/>
      <c r="L178" s="154"/>
      <c r="M178" s="154"/>
      <c r="N178" s="154"/>
    </row>
    <row r="179" ht="15.75" customHeight="1">
      <c r="A179" s="154"/>
      <c r="B179" s="154"/>
      <c r="C179" s="155"/>
      <c r="D179" s="155"/>
      <c r="E179" s="155"/>
      <c r="F179" s="116"/>
      <c r="G179" s="156"/>
      <c r="H179" s="155"/>
      <c r="I179" s="116"/>
      <c r="J179" s="156"/>
      <c r="K179" s="155"/>
      <c r="L179" s="154"/>
      <c r="M179" s="154"/>
      <c r="N179" s="154"/>
    </row>
    <row r="180" ht="15.75" customHeight="1">
      <c r="A180" s="154"/>
      <c r="B180" s="154"/>
      <c r="C180" s="155"/>
      <c r="D180" s="155"/>
      <c r="E180" s="155"/>
      <c r="F180" s="116"/>
      <c r="G180" s="156"/>
      <c r="H180" s="155"/>
      <c r="I180" s="116"/>
      <c r="J180" s="156"/>
      <c r="K180" s="155"/>
      <c r="L180" s="154"/>
      <c r="M180" s="154"/>
      <c r="N180" s="154"/>
    </row>
    <row r="181" ht="15.75" customHeight="1">
      <c r="A181" s="154"/>
      <c r="B181" s="154"/>
      <c r="C181" s="155"/>
      <c r="D181" s="155"/>
      <c r="E181" s="155"/>
      <c r="F181" s="116"/>
      <c r="G181" s="156"/>
      <c r="H181" s="155"/>
      <c r="I181" s="116"/>
      <c r="J181" s="156"/>
      <c r="K181" s="155"/>
      <c r="L181" s="154"/>
      <c r="M181" s="154"/>
      <c r="N181" s="154"/>
    </row>
    <row r="182" ht="15.75" customHeight="1">
      <c r="A182" s="154"/>
      <c r="B182" s="154"/>
      <c r="C182" s="155"/>
      <c r="D182" s="155"/>
      <c r="E182" s="155"/>
      <c r="F182" s="116"/>
      <c r="G182" s="156"/>
      <c r="H182" s="155"/>
      <c r="I182" s="116"/>
      <c r="J182" s="156"/>
      <c r="K182" s="155"/>
      <c r="L182" s="154"/>
      <c r="M182" s="154"/>
      <c r="N182" s="154"/>
    </row>
    <row r="183" ht="15.75" customHeight="1">
      <c r="A183" s="154"/>
      <c r="B183" s="154"/>
      <c r="C183" s="155"/>
      <c r="D183" s="155"/>
      <c r="E183" s="155"/>
      <c r="F183" s="116"/>
      <c r="G183" s="156"/>
      <c r="H183" s="155"/>
      <c r="I183" s="116"/>
      <c r="J183" s="156"/>
      <c r="K183" s="155"/>
      <c r="L183" s="154"/>
      <c r="M183" s="154"/>
      <c r="N183" s="154"/>
    </row>
    <row r="184" ht="15.75" customHeight="1">
      <c r="A184" s="154"/>
      <c r="B184" s="154"/>
      <c r="C184" s="155"/>
      <c r="D184" s="155"/>
      <c r="E184" s="155"/>
      <c r="F184" s="116"/>
      <c r="G184" s="156"/>
      <c r="H184" s="155"/>
      <c r="I184" s="116"/>
      <c r="J184" s="156"/>
      <c r="K184" s="155"/>
      <c r="L184" s="154"/>
      <c r="M184" s="154"/>
      <c r="N184" s="154"/>
    </row>
    <row r="185" ht="15.75" customHeight="1">
      <c r="A185" s="154"/>
      <c r="B185" s="154"/>
      <c r="C185" s="155"/>
      <c r="D185" s="155"/>
      <c r="E185" s="155"/>
      <c r="F185" s="116"/>
      <c r="G185" s="156"/>
      <c r="H185" s="155"/>
      <c r="I185" s="116"/>
      <c r="J185" s="156"/>
      <c r="K185" s="155"/>
      <c r="L185" s="154"/>
      <c r="M185" s="154"/>
      <c r="N185" s="154"/>
    </row>
    <row r="186" ht="15.75" customHeight="1">
      <c r="A186" s="154"/>
      <c r="B186" s="154"/>
      <c r="C186" s="155"/>
      <c r="D186" s="155"/>
      <c r="E186" s="155"/>
      <c r="F186" s="116"/>
      <c r="G186" s="156"/>
      <c r="H186" s="155"/>
      <c r="I186" s="116"/>
      <c r="J186" s="156"/>
      <c r="K186" s="155"/>
      <c r="L186" s="154"/>
      <c r="M186" s="154"/>
      <c r="N186" s="154"/>
    </row>
    <row r="187" ht="15.75" customHeight="1">
      <c r="A187" s="154"/>
      <c r="B187" s="154"/>
      <c r="C187" s="155"/>
      <c r="D187" s="155"/>
      <c r="E187" s="155"/>
      <c r="F187" s="116"/>
      <c r="G187" s="156"/>
      <c r="H187" s="155"/>
      <c r="I187" s="116"/>
      <c r="J187" s="156"/>
      <c r="K187" s="155"/>
      <c r="L187" s="154"/>
      <c r="M187" s="154"/>
      <c r="N187" s="154"/>
    </row>
    <row r="188" ht="15.75" customHeight="1">
      <c r="A188" s="154"/>
      <c r="B188" s="154"/>
      <c r="C188" s="155"/>
      <c r="D188" s="155"/>
      <c r="E188" s="155"/>
      <c r="F188" s="116"/>
      <c r="G188" s="156"/>
      <c r="H188" s="155"/>
      <c r="I188" s="116"/>
      <c r="J188" s="156"/>
      <c r="K188" s="155"/>
      <c r="L188" s="154"/>
      <c r="M188" s="154"/>
      <c r="N188" s="154"/>
    </row>
    <row r="189" ht="15.75" customHeight="1">
      <c r="A189" s="154"/>
      <c r="B189" s="154"/>
      <c r="C189" s="155"/>
      <c r="D189" s="155"/>
      <c r="E189" s="155"/>
      <c r="F189" s="116"/>
      <c r="G189" s="156"/>
      <c r="H189" s="155"/>
      <c r="I189" s="116"/>
      <c r="J189" s="156"/>
      <c r="K189" s="155"/>
      <c r="L189" s="154"/>
      <c r="M189" s="154"/>
      <c r="N189" s="154"/>
    </row>
    <row r="190" ht="15.75" customHeight="1">
      <c r="A190" s="154"/>
      <c r="B190" s="154"/>
      <c r="C190" s="155"/>
      <c r="D190" s="155"/>
      <c r="E190" s="155"/>
      <c r="F190" s="116"/>
      <c r="G190" s="156"/>
      <c r="H190" s="155"/>
      <c r="I190" s="116"/>
      <c r="J190" s="156"/>
      <c r="K190" s="155"/>
      <c r="L190" s="154"/>
      <c r="M190" s="154"/>
      <c r="N190" s="154"/>
    </row>
    <row r="191" ht="15.75" customHeight="1">
      <c r="A191" s="154"/>
      <c r="B191" s="154"/>
      <c r="C191" s="155"/>
      <c r="D191" s="155"/>
      <c r="E191" s="155"/>
      <c r="F191" s="116"/>
      <c r="G191" s="156"/>
      <c r="H191" s="155"/>
      <c r="I191" s="116"/>
      <c r="J191" s="156"/>
      <c r="K191" s="155"/>
      <c r="L191" s="154"/>
      <c r="M191" s="154"/>
      <c r="N191" s="154"/>
    </row>
    <row r="192" ht="15.75" customHeight="1">
      <c r="A192" s="154"/>
      <c r="B192" s="154"/>
      <c r="C192" s="155"/>
      <c r="D192" s="155"/>
      <c r="E192" s="155"/>
      <c r="F192" s="116"/>
      <c r="G192" s="156"/>
      <c r="H192" s="155"/>
      <c r="I192" s="116"/>
      <c r="J192" s="156"/>
      <c r="K192" s="155"/>
      <c r="L192" s="154"/>
      <c r="M192" s="154"/>
      <c r="N192" s="154"/>
    </row>
    <row r="193" ht="15.75" customHeight="1">
      <c r="A193" s="154"/>
      <c r="B193" s="154"/>
      <c r="C193" s="155"/>
      <c r="D193" s="155"/>
      <c r="E193" s="155"/>
      <c r="F193" s="116"/>
      <c r="G193" s="156"/>
      <c r="H193" s="155"/>
      <c r="I193" s="116"/>
      <c r="J193" s="156"/>
      <c r="K193" s="155"/>
      <c r="L193" s="154"/>
      <c r="M193" s="154"/>
      <c r="N193" s="154"/>
    </row>
    <row r="194" ht="15.75" customHeight="1">
      <c r="A194" s="154"/>
      <c r="B194" s="154"/>
      <c r="C194" s="155"/>
      <c r="D194" s="155"/>
      <c r="E194" s="155"/>
      <c r="F194" s="116"/>
      <c r="G194" s="156"/>
      <c r="H194" s="155"/>
      <c r="I194" s="116"/>
      <c r="J194" s="156"/>
      <c r="K194" s="155"/>
      <c r="L194" s="154"/>
      <c r="M194" s="154"/>
      <c r="N194" s="154"/>
    </row>
    <row r="195" ht="15.75" customHeight="1">
      <c r="A195" s="154"/>
      <c r="B195" s="154"/>
      <c r="C195" s="155"/>
      <c r="D195" s="155"/>
      <c r="E195" s="155"/>
      <c r="F195" s="116"/>
      <c r="G195" s="156"/>
      <c r="H195" s="155"/>
      <c r="I195" s="116"/>
      <c r="J195" s="156"/>
      <c r="K195" s="155"/>
      <c r="L195" s="154"/>
      <c r="M195" s="154"/>
      <c r="N195" s="154"/>
    </row>
    <row r="196" ht="15.75" customHeight="1">
      <c r="A196" s="154"/>
      <c r="B196" s="154"/>
      <c r="C196" s="155"/>
      <c r="D196" s="155"/>
      <c r="E196" s="155"/>
      <c r="F196" s="116"/>
      <c r="G196" s="156"/>
      <c r="H196" s="155"/>
      <c r="I196" s="116"/>
      <c r="J196" s="156"/>
      <c r="K196" s="155"/>
      <c r="L196" s="154"/>
      <c r="M196" s="154"/>
      <c r="N196" s="154"/>
    </row>
    <row r="197" ht="15.75" customHeight="1">
      <c r="A197" s="154"/>
      <c r="B197" s="154"/>
      <c r="C197" s="155"/>
      <c r="D197" s="155"/>
      <c r="E197" s="155"/>
      <c r="F197" s="116"/>
      <c r="G197" s="156"/>
      <c r="H197" s="155"/>
      <c r="I197" s="116"/>
      <c r="J197" s="156"/>
      <c r="K197" s="155"/>
      <c r="L197" s="154"/>
      <c r="M197" s="154"/>
      <c r="N197" s="154"/>
    </row>
    <row r="198" ht="15.75" customHeight="1">
      <c r="A198" s="154"/>
      <c r="B198" s="154"/>
      <c r="C198" s="155"/>
      <c r="D198" s="155"/>
      <c r="E198" s="155"/>
      <c r="F198" s="116"/>
      <c r="G198" s="156"/>
      <c r="H198" s="155"/>
      <c r="I198" s="116"/>
      <c r="J198" s="156"/>
      <c r="K198" s="155"/>
      <c r="L198" s="154"/>
      <c r="M198" s="154"/>
      <c r="N198" s="154"/>
    </row>
    <row r="199" ht="15.75" customHeight="1">
      <c r="A199" s="154"/>
      <c r="B199" s="154"/>
      <c r="C199" s="155"/>
      <c r="D199" s="155"/>
      <c r="E199" s="155"/>
      <c r="F199" s="116"/>
      <c r="G199" s="156"/>
      <c r="H199" s="155"/>
      <c r="I199" s="116"/>
      <c r="J199" s="156"/>
      <c r="K199" s="155"/>
      <c r="L199" s="154"/>
      <c r="M199" s="154"/>
      <c r="N199" s="154"/>
    </row>
    <row r="200" ht="15.75" customHeight="1">
      <c r="A200" s="154"/>
      <c r="B200" s="154"/>
      <c r="C200" s="155"/>
      <c r="D200" s="155"/>
      <c r="E200" s="155"/>
      <c r="F200" s="116"/>
      <c r="G200" s="156"/>
      <c r="H200" s="155"/>
      <c r="I200" s="116"/>
      <c r="J200" s="156"/>
      <c r="K200" s="155"/>
      <c r="L200" s="154"/>
      <c r="M200" s="154"/>
      <c r="N200" s="154"/>
    </row>
    <row r="201" ht="15.75" customHeight="1">
      <c r="A201" s="154"/>
      <c r="B201" s="154"/>
      <c r="C201" s="155"/>
      <c r="D201" s="155"/>
      <c r="E201" s="155"/>
      <c r="F201" s="116"/>
      <c r="G201" s="156"/>
      <c r="H201" s="155"/>
      <c r="I201" s="116"/>
      <c r="J201" s="156"/>
      <c r="K201" s="155"/>
      <c r="L201" s="154"/>
      <c r="M201" s="154"/>
      <c r="N201" s="154"/>
    </row>
    <row r="202" ht="15.75" customHeight="1">
      <c r="A202" s="154"/>
      <c r="B202" s="154"/>
      <c r="C202" s="155"/>
      <c r="D202" s="155"/>
      <c r="E202" s="155"/>
      <c r="F202" s="116"/>
      <c r="G202" s="156"/>
      <c r="H202" s="155"/>
      <c r="I202" s="116"/>
      <c r="J202" s="156"/>
      <c r="K202" s="155"/>
      <c r="L202" s="154"/>
      <c r="M202" s="154"/>
      <c r="N202" s="154"/>
    </row>
    <row r="203" ht="15.75" customHeight="1">
      <c r="A203" s="154"/>
      <c r="B203" s="154"/>
      <c r="C203" s="155"/>
      <c r="D203" s="155"/>
      <c r="E203" s="155"/>
      <c r="F203" s="116"/>
      <c r="G203" s="156"/>
      <c r="H203" s="155"/>
      <c r="I203" s="116"/>
      <c r="J203" s="156"/>
      <c r="K203" s="155"/>
      <c r="L203" s="154"/>
      <c r="M203" s="154"/>
      <c r="N203" s="154"/>
    </row>
    <row r="204" ht="15.75" customHeight="1">
      <c r="A204" s="154"/>
      <c r="B204" s="154"/>
      <c r="C204" s="155"/>
      <c r="D204" s="155"/>
      <c r="E204" s="155"/>
      <c r="F204" s="116"/>
      <c r="G204" s="156"/>
      <c r="H204" s="155"/>
      <c r="I204" s="116"/>
      <c r="J204" s="156"/>
      <c r="K204" s="155"/>
      <c r="L204" s="154"/>
      <c r="M204" s="154"/>
      <c r="N204" s="154"/>
    </row>
    <row r="205" ht="15.75" customHeight="1">
      <c r="A205" s="154"/>
      <c r="B205" s="154"/>
      <c r="C205" s="155"/>
      <c r="D205" s="155"/>
      <c r="E205" s="155"/>
      <c r="F205" s="116"/>
      <c r="G205" s="156"/>
      <c r="H205" s="155"/>
      <c r="I205" s="116"/>
      <c r="J205" s="156"/>
      <c r="K205" s="155"/>
      <c r="L205" s="154"/>
      <c r="M205" s="154"/>
      <c r="N205" s="154"/>
    </row>
    <row r="206" ht="15.75" customHeight="1">
      <c r="A206" s="154"/>
      <c r="B206" s="154"/>
      <c r="C206" s="155"/>
      <c r="D206" s="155"/>
      <c r="E206" s="155"/>
      <c r="F206" s="116"/>
      <c r="G206" s="156"/>
      <c r="H206" s="155"/>
      <c r="I206" s="116"/>
      <c r="J206" s="156"/>
      <c r="K206" s="155"/>
      <c r="L206" s="154"/>
      <c r="M206" s="154"/>
      <c r="N206" s="154"/>
    </row>
    <row r="207" ht="15.75" customHeight="1">
      <c r="A207" s="154"/>
      <c r="B207" s="154"/>
      <c r="C207" s="155"/>
      <c r="D207" s="155"/>
      <c r="E207" s="155"/>
      <c r="F207" s="116"/>
      <c r="G207" s="156"/>
      <c r="H207" s="155"/>
      <c r="I207" s="116"/>
      <c r="J207" s="156"/>
      <c r="K207" s="155"/>
      <c r="L207" s="154"/>
      <c r="M207" s="154"/>
      <c r="N207" s="154"/>
    </row>
    <row r="208" ht="15.75" customHeight="1">
      <c r="A208" s="154"/>
      <c r="B208" s="154"/>
      <c r="C208" s="155"/>
      <c r="D208" s="155"/>
      <c r="E208" s="155"/>
      <c r="F208" s="116"/>
      <c r="G208" s="156"/>
      <c r="H208" s="155"/>
      <c r="I208" s="116"/>
      <c r="J208" s="156"/>
      <c r="K208" s="155"/>
      <c r="L208" s="154"/>
      <c r="M208" s="154"/>
      <c r="N208" s="154"/>
    </row>
    <row r="209" ht="15.75" customHeight="1">
      <c r="A209" s="154"/>
      <c r="B209" s="154"/>
      <c r="C209" s="155"/>
      <c r="D209" s="155"/>
      <c r="E209" s="155"/>
      <c r="F209" s="116"/>
      <c r="G209" s="156"/>
      <c r="H209" s="155"/>
      <c r="I209" s="116"/>
      <c r="J209" s="156"/>
      <c r="K209" s="155"/>
      <c r="L209" s="154"/>
      <c r="M209" s="154"/>
      <c r="N209" s="154"/>
    </row>
    <row r="210" ht="15.75" customHeight="1">
      <c r="A210" s="154"/>
      <c r="B210" s="154"/>
      <c r="C210" s="155"/>
      <c r="D210" s="155"/>
      <c r="E210" s="155"/>
      <c r="F210" s="116"/>
      <c r="G210" s="156"/>
      <c r="H210" s="155"/>
      <c r="I210" s="116"/>
      <c r="J210" s="156"/>
      <c r="K210" s="155"/>
      <c r="L210" s="154"/>
      <c r="M210" s="154"/>
      <c r="N210" s="154"/>
    </row>
    <row r="211" ht="15.75" customHeight="1">
      <c r="A211" s="154"/>
      <c r="B211" s="154"/>
      <c r="C211" s="155"/>
      <c r="D211" s="155"/>
      <c r="E211" s="155"/>
      <c r="F211" s="116"/>
      <c r="G211" s="156"/>
      <c r="H211" s="155"/>
      <c r="I211" s="116"/>
      <c r="J211" s="156"/>
      <c r="K211" s="155"/>
      <c r="L211" s="154"/>
      <c r="M211" s="154"/>
      <c r="N211" s="154"/>
    </row>
    <row r="212" ht="15.75" customHeight="1">
      <c r="A212" s="154"/>
      <c r="B212" s="154"/>
      <c r="C212" s="155"/>
      <c r="D212" s="155"/>
      <c r="E212" s="155"/>
      <c r="F212" s="116"/>
      <c r="G212" s="156"/>
      <c r="H212" s="155"/>
      <c r="I212" s="116"/>
      <c r="J212" s="156"/>
      <c r="K212" s="155"/>
      <c r="L212" s="154"/>
      <c r="M212" s="154"/>
      <c r="N212" s="154"/>
    </row>
    <row r="213" ht="15.75" customHeight="1">
      <c r="A213" s="154"/>
      <c r="B213" s="154"/>
      <c r="C213" s="155"/>
      <c r="D213" s="155"/>
      <c r="E213" s="155"/>
      <c r="F213" s="116"/>
      <c r="G213" s="156"/>
      <c r="H213" s="155"/>
      <c r="I213" s="116"/>
      <c r="J213" s="156"/>
      <c r="K213" s="155"/>
      <c r="L213" s="154"/>
      <c r="M213" s="154"/>
      <c r="N213" s="154"/>
    </row>
    <row r="214" ht="15.75" customHeight="1">
      <c r="A214" s="154"/>
      <c r="B214" s="154"/>
      <c r="C214" s="155"/>
      <c r="D214" s="155"/>
      <c r="E214" s="155"/>
      <c r="F214" s="116"/>
      <c r="G214" s="156"/>
      <c r="H214" s="155"/>
      <c r="I214" s="116"/>
      <c r="J214" s="156"/>
      <c r="K214" s="155"/>
      <c r="L214" s="154"/>
      <c r="M214" s="154"/>
      <c r="N214" s="154"/>
    </row>
    <row r="215" ht="15.75" customHeight="1">
      <c r="A215" s="154"/>
      <c r="B215" s="154"/>
      <c r="C215" s="155"/>
      <c r="D215" s="155"/>
      <c r="E215" s="155"/>
      <c r="F215" s="116"/>
      <c r="G215" s="156"/>
      <c r="H215" s="155"/>
      <c r="I215" s="116"/>
      <c r="J215" s="156"/>
      <c r="K215" s="155"/>
      <c r="L215" s="154"/>
      <c r="M215" s="154"/>
      <c r="N215" s="154"/>
    </row>
    <row r="216" ht="15.75" customHeight="1">
      <c r="A216" s="154"/>
      <c r="B216" s="154"/>
      <c r="C216" s="155"/>
      <c r="D216" s="155"/>
      <c r="E216" s="155"/>
      <c r="F216" s="116"/>
      <c r="G216" s="156"/>
      <c r="H216" s="155"/>
      <c r="I216" s="116"/>
      <c r="J216" s="156"/>
      <c r="K216" s="155"/>
      <c r="L216" s="154"/>
      <c r="M216" s="154"/>
      <c r="N216" s="154"/>
    </row>
    <row r="217" ht="15.75" customHeight="1">
      <c r="A217" s="154"/>
      <c r="B217" s="154"/>
      <c r="C217" s="155"/>
      <c r="D217" s="155"/>
      <c r="E217" s="155"/>
      <c r="F217" s="116"/>
      <c r="G217" s="156"/>
      <c r="H217" s="155"/>
      <c r="I217" s="116"/>
      <c r="J217" s="156"/>
      <c r="K217" s="155"/>
      <c r="L217" s="154"/>
      <c r="M217" s="154"/>
      <c r="N217" s="154"/>
    </row>
    <row r="218" ht="15.75" customHeight="1">
      <c r="A218" s="154"/>
      <c r="B218" s="154"/>
      <c r="C218" s="155"/>
      <c r="D218" s="155"/>
      <c r="E218" s="155"/>
      <c r="F218" s="116"/>
      <c r="G218" s="156"/>
      <c r="H218" s="155"/>
      <c r="I218" s="116"/>
      <c r="J218" s="156"/>
      <c r="K218" s="155"/>
      <c r="L218" s="154"/>
      <c r="M218" s="154"/>
      <c r="N218" s="154"/>
    </row>
    <row r="219" ht="15.75" customHeight="1">
      <c r="A219" s="154"/>
      <c r="B219" s="154"/>
      <c r="C219" s="155"/>
      <c r="D219" s="155"/>
      <c r="E219" s="155"/>
      <c r="F219" s="116"/>
      <c r="G219" s="156"/>
      <c r="H219" s="155"/>
      <c r="I219" s="116"/>
      <c r="J219" s="156"/>
      <c r="K219" s="155"/>
      <c r="L219" s="154"/>
      <c r="M219" s="154"/>
      <c r="N219" s="154"/>
    </row>
    <row r="220" ht="15.75" customHeight="1">
      <c r="A220" s="154"/>
      <c r="B220" s="154"/>
      <c r="C220" s="155"/>
      <c r="D220" s="155"/>
      <c r="E220" s="155"/>
      <c r="F220" s="116"/>
      <c r="G220" s="156"/>
      <c r="H220" s="155"/>
      <c r="I220" s="116"/>
      <c r="J220" s="156"/>
      <c r="K220" s="155"/>
      <c r="L220" s="154"/>
      <c r="M220" s="154"/>
      <c r="N220" s="154"/>
    </row>
    <row r="221" ht="15.75" customHeight="1">
      <c r="A221" s="154"/>
      <c r="B221" s="154"/>
      <c r="C221" s="155"/>
      <c r="D221" s="155"/>
      <c r="E221" s="155"/>
      <c r="F221" s="116"/>
      <c r="G221" s="156"/>
      <c r="H221" s="155"/>
      <c r="I221" s="116"/>
      <c r="J221" s="156"/>
      <c r="K221" s="155"/>
      <c r="L221" s="154"/>
      <c r="M221" s="154"/>
      <c r="N221" s="154"/>
    </row>
    <row r="222" ht="15.75" customHeight="1">
      <c r="A222" s="154"/>
      <c r="B222" s="154"/>
      <c r="C222" s="155"/>
      <c r="D222" s="155"/>
      <c r="E222" s="155"/>
      <c r="F222" s="116"/>
      <c r="G222" s="156"/>
      <c r="H222" s="155"/>
      <c r="I222" s="116"/>
      <c r="J222" s="156"/>
      <c r="K222" s="155"/>
      <c r="L222" s="154"/>
      <c r="M222" s="154"/>
      <c r="N222" s="154"/>
    </row>
    <row r="223" ht="15.75" customHeight="1">
      <c r="A223" s="154"/>
      <c r="B223" s="154"/>
      <c r="C223" s="155"/>
      <c r="D223" s="155"/>
      <c r="E223" s="155"/>
      <c r="F223" s="116"/>
      <c r="G223" s="156"/>
      <c r="H223" s="155"/>
      <c r="I223" s="116"/>
      <c r="J223" s="156"/>
      <c r="K223" s="155"/>
      <c r="L223" s="154"/>
      <c r="M223" s="154"/>
      <c r="N223" s="154"/>
    </row>
    <row r="224" ht="15.75" customHeight="1">
      <c r="A224" s="154"/>
      <c r="B224" s="154"/>
      <c r="C224" s="155"/>
      <c r="D224" s="155"/>
      <c r="E224" s="155"/>
      <c r="F224" s="116"/>
      <c r="G224" s="156"/>
      <c r="H224" s="155"/>
      <c r="I224" s="116"/>
      <c r="J224" s="156"/>
      <c r="K224" s="155"/>
      <c r="L224" s="154"/>
      <c r="M224" s="154"/>
      <c r="N224" s="154"/>
    </row>
    <row r="225" ht="15.75" customHeight="1">
      <c r="A225" s="154"/>
      <c r="B225" s="154"/>
      <c r="C225" s="155"/>
      <c r="D225" s="155"/>
      <c r="E225" s="155"/>
      <c r="F225" s="116"/>
      <c r="G225" s="156"/>
      <c r="H225" s="155"/>
      <c r="I225" s="116"/>
      <c r="J225" s="156"/>
      <c r="K225" s="155"/>
      <c r="L225" s="154"/>
      <c r="M225" s="154"/>
      <c r="N225" s="154"/>
    </row>
    <row r="226" ht="15.75" customHeight="1">
      <c r="A226" s="154"/>
      <c r="B226" s="154"/>
      <c r="C226" s="155"/>
      <c r="D226" s="155"/>
      <c r="E226" s="155"/>
      <c r="F226" s="116"/>
      <c r="G226" s="156"/>
      <c r="H226" s="155"/>
      <c r="I226" s="116"/>
      <c r="J226" s="156"/>
      <c r="K226" s="155"/>
      <c r="L226" s="154"/>
      <c r="M226" s="154"/>
      <c r="N226" s="154"/>
    </row>
    <row r="227" ht="15.75" customHeight="1">
      <c r="A227" s="154"/>
      <c r="B227" s="154"/>
      <c r="C227" s="155"/>
      <c r="D227" s="155"/>
      <c r="E227" s="155"/>
      <c r="F227" s="116"/>
      <c r="G227" s="156"/>
      <c r="H227" s="155"/>
      <c r="I227" s="116"/>
      <c r="J227" s="156"/>
      <c r="K227" s="155"/>
      <c r="L227" s="154"/>
      <c r="M227" s="154"/>
      <c r="N227" s="154"/>
    </row>
    <row r="228" ht="15.75" customHeight="1">
      <c r="A228" s="154"/>
      <c r="B228" s="154"/>
      <c r="C228" s="155"/>
      <c r="D228" s="155"/>
      <c r="E228" s="155"/>
      <c r="F228" s="116"/>
      <c r="G228" s="156"/>
      <c r="H228" s="155"/>
      <c r="I228" s="116"/>
      <c r="J228" s="156"/>
      <c r="K228" s="155"/>
      <c r="L228" s="154"/>
      <c r="M228" s="154"/>
      <c r="N228" s="154"/>
    </row>
    <row r="229" ht="15.75" customHeight="1">
      <c r="A229" s="154"/>
      <c r="B229" s="154"/>
      <c r="C229" s="155"/>
      <c r="D229" s="155"/>
      <c r="E229" s="155"/>
      <c r="F229" s="116"/>
      <c r="G229" s="156"/>
      <c r="H229" s="155"/>
      <c r="I229" s="116"/>
      <c r="J229" s="156"/>
      <c r="K229" s="155"/>
      <c r="L229" s="154"/>
      <c r="M229" s="154"/>
      <c r="N229" s="154"/>
    </row>
    <row r="230" ht="15.75" customHeight="1">
      <c r="A230" s="154"/>
      <c r="B230" s="154"/>
      <c r="C230" s="155"/>
      <c r="D230" s="155"/>
      <c r="E230" s="155"/>
      <c r="F230" s="116"/>
      <c r="G230" s="156"/>
      <c r="H230" s="155"/>
      <c r="I230" s="116"/>
      <c r="J230" s="156"/>
      <c r="K230" s="155"/>
      <c r="L230" s="154"/>
      <c r="M230" s="154"/>
      <c r="N230" s="154"/>
    </row>
    <row r="231" ht="15.75" customHeight="1">
      <c r="A231" s="154"/>
      <c r="B231" s="154"/>
      <c r="C231" s="155"/>
      <c r="D231" s="155"/>
      <c r="E231" s="155"/>
      <c r="F231" s="116"/>
      <c r="G231" s="156"/>
      <c r="H231" s="155"/>
      <c r="I231" s="116"/>
      <c r="J231" s="156"/>
      <c r="K231" s="155"/>
      <c r="L231" s="154"/>
      <c r="M231" s="154"/>
      <c r="N231" s="154"/>
    </row>
    <row r="232" ht="15.75" customHeight="1">
      <c r="A232" s="154"/>
      <c r="B232" s="154"/>
      <c r="C232" s="155"/>
      <c r="D232" s="155"/>
      <c r="E232" s="155"/>
      <c r="F232" s="116"/>
      <c r="G232" s="156"/>
      <c r="H232" s="155"/>
      <c r="I232" s="116"/>
      <c r="J232" s="156"/>
      <c r="K232" s="155"/>
      <c r="L232" s="154"/>
      <c r="M232" s="154"/>
      <c r="N232" s="154"/>
    </row>
    <row r="233" ht="15.75" customHeight="1">
      <c r="A233" s="154"/>
      <c r="B233" s="154"/>
      <c r="C233" s="155"/>
      <c r="D233" s="155"/>
      <c r="E233" s="155"/>
      <c r="F233" s="116"/>
      <c r="G233" s="156"/>
      <c r="H233" s="155"/>
      <c r="I233" s="116"/>
      <c r="J233" s="156"/>
      <c r="K233" s="155"/>
      <c r="L233" s="154"/>
      <c r="M233" s="154"/>
      <c r="N233" s="154"/>
    </row>
    <row r="234" ht="15.75" customHeight="1">
      <c r="A234" s="154"/>
      <c r="B234" s="154"/>
      <c r="C234" s="155"/>
      <c r="D234" s="155"/>
      <c r="E234" s="155"/>
      <c r="F234" s="116"/>
      <c r="G234" s="156"/>
      <c r="H234" s="155"/>
      <c r="I234" s="116"/>
      <c r="J234" s="156"/>
      <c r="K234" s="155"/>
      <c r="L234" s="154"/>
      <c r="M234" s="154"/>
      <c r="N234" s="154"/>
    </row>
    <row r="235" ht="15.75" customHeight="1">
      <c r="A235" s="154"/>
      <c r="B235" s="154"/>
      <c r="C235" s="155"/>
      <c r="D235" s="155"/>
      <c r="E235" s="155"/>
      <c r="F235" s="116"/>
      <c r="G235" s="156"/>
      <c r="H235" s="155"/>
      <c r="I235" s="116"/>
      <c r="J235" s="156"/>
      <c r="K235" s="155"/>
      <c r="L235" s="154"/>
      <c r="M235" s="154"/>
      <c r="N235" s="154"/>
    </row>
    <row r="236" ht="15.75" customHeight="1">
      <c r="A236" s="154"/>
      <c r="B236" s="154"/>
      <c r="C236" s="155"/>
      <c r="D236" s="155"/>
      <c r="E236" s="155"/>
      <c r="F236" s="116"/>
      <c r="G236" s="156"/>
      <c r="H236" s="155"/>
      <c r="I236" s="116"/>
      <c r="J236" s="156"/>
      <c r="K236" s="155"/>
      <c r="L236" s="154"/>
      <c r="M236" s="154"/>
      <c r="N236" s="154"/>
    </row>
    <row r="237" ht="15.75" customHeight="1">
      <c r="A237" s="154"/>
      <c r="B237" s="154"/>
      <c r="C237" s="155"/>
      <c r="D237" s="155"/>
      <c r="E237" s="155"/>
      <c r="F237" s="116"/>
      <c r="G237" s="156"/>
      <c r="H237" s="155"/>
      <c r="I237" s="116"/>
      <c r="J237" s="156"/>
      <c r="K237" s="155"/>
      <c r="L237" s="154"/>
      <c r="M237" s="154"/>
      <c r="N237" s="154"/>
    </row>
    <row r="238" ht="15.75" customHeight="1">
      <c r="A238" s="154"/>
      <c r="B238" s="154"/>
      <c r="C238" s="155"/>
      <c r="D238" s="155"/>
      <c r="E238" s="155"/>
      <c r="F238" s="116"/>
      <c r="G238" s="156"/>
      <c r="H238" s="155"/>
      <c r="I238" s="116"/>
      <c r="J238" s="156"/>
      <c r="K238" s="155"/>
      <c r="L238" s="154"/>
      <c r="M238" s="154"/>
      <c r="N238" s="154"/>
    </row>
    <row r="239" ht="15.75" customHeight="1">
      <c r="A239" s="154"/>
      <c r="B239" s="154"/>
      <c r="C239" s="155"/>
      <c r="D239" s="155"/>
      <c r="E239" s="155"/>
      <c r="F239" s="116"/>
      <c r="G239" s="156"/>
      <c r="H239" s="155"/>
      <c r="I239" s="116"/>
      <c r="J239" s="156"/>
      <c r="K239" s="155"/>
      <c r="L239" s="154"/>
      <c r="M239" s="154"/>
      <c r="N239" s="154"/>
    </row>
    <row r="240" ht="15.75" customHeight="1">
      <c r="A240" s="154"/>
      <c r="B240" s="154"/>
      <c r="C240" s="155"/>
      <c r="D240" s="155"/>
      <c r="E240" s="155"/>
      <c r="F240" s="116"/>
      <c r="G240" s="156"/>
      <c r="H240" s="155"/>
      <c r="I240" s="116"/>
      <c r="J240" s="156"/>
      <c r="K240" s="155"/>
      <c r="L240" s="154"/>
      <c r="M240" s="154"/>
      <c r="N240" s="154"/>
    </row>
    <row r="241" ht="15.75" customHeight="1">
      <c r="A241" s="154"/>
      <c r="B241" s="154"/>
      <c r="C241" s="155"/>
      <c r="D241" s="155"/>
      <c r="E241" s="155"/>
      <c r="F241" s="116"/>
      <c r="G241" s="156"/>
      <c r="H241" s="155"/>
      <c r="I241" s="116"/>
      <c r="J241" s="156"/>
      <c r="K241" s="155"/>
      <c r="L241" s="154"/>
      <c r="M241" s="154"/>
      <c r="N241" s="154"/>
    </row>
    <row r="242" ht="15.75" customHeight="1">
      <c r="A242" s="154"/>
      <c r="B242" s="154"/>
      <c r="C242" s="155"/>
      <c r="D242" s="155"/>
      <c r="E242" s="155"/>
      <c r="F242" s="116"/>
      <c r="G242" s="156"/>
      <c r="H242" s="155"/>
      <c r="I242" s="116"/>
      <c r="J242" s="156"/>
      <c r="K242" s="155"/>
      <c r="L242" s="154"/>
      <c r="M242" s="154"/>
      <c r="N242" s="154"/>
    </row>
    <row r="243" ht="15.75" customHeight="1">
      <c r="A243" s="154"/>
      <c r="B243" s="154"/>
      <c r="C243" s="155"/>
      <c r="D243" s="155"/>
      <c r="E243" s="155"/>
      <c r="F243" s="116"/>
      <c r="G243" s="156"/>
      <c r="H243" s="155"/>
      <c r="I243" s="116"/>
      <c r="J243" s="156"/>
      <c r="K243" s="155"/>
      <c r="L243" s="154"/>
      <c r="M243" s="154"/>
      <c r="N243" s="154"/>
    </row>
    <row r="244" ht="15.75" customHeight="1">
      <c r="A244" s="154"/>
      <c r="B244" s="154"/>
      <c r="C244" s="155"/>
      <c r="D244" s="155"/>
      <c r="E244" s="155"/>
      <c r="F244" s="116"/>
      <c r="G244" s="156"/>
      <c r="H244" s="155"/>
      <c r="I244" s="116"/>
      <c r="J244" s="156"/>
      <c r="K244" s="155"/>
      <c r="L244" s="154"/>
      <c r="M244" s="154"/>
      <c r="N244" s="154"/>
    </row>
    <row r="245" ht="15.75" customHeight="1">
      <c r="A245" s="154"/>
      <c r="B245" s="154"/>
      <c r="C245" s="155"/>
      <c r="D245" s="155"/>
      <c r="E245" s="155"/>
      <c r="F245" s="116"/>
      <c r="G245" s="156"/>
      <c r="H245" s="155"/>
      <c r="I245" s="116"/>
      <c r="J245" s="156"/>
      <c r="K245" s="155"/>
      <c r="L245" s="154"/>
      <c r="M245" s="154"/>
      <c r="N245" s="154"/>
    </row>
    <row r="246" ht="15.75" customHeight="1">
      <c r="A246" s="154"/>
      <c r="B246" s="154"/>
      <c r="C246" s="155"/>
      <c r="D246" s="155"/>
      <c r="E246" s="155"/>
      <c r="F246" s="116"/>
      <c r="G246" s="156"/>
      <c r="H246" s="155"/>
      <c r="I246" s="116"/>
      <c r="J246" s="156"/>
      <c r="K246" s="155"/>
      <c r="L246" s="154"/>
      <c r="M246" s="154"/>
      <c r="N246" s="154"/>
    </row>
    <row r="247" ht="15.75" customHeight="1">
      <c r="A247" s="154"/>
      <c r="B247" s="154"/>
      <c r="C247" s="155"/>
      <c r="D247" s="155"/>
      <c r="E247" s="155"/>
      <c r="F247" s="116"/>
      <c r="G247" s="156"/>
      <c r="H247" s="155"/>
      <c r="I247" s="116"/>
      <c r="J247" s="156"/>
      <c r="K247" s="155"/>
      <c r="L247" s="154"/>
      <c r="M247" s="154"/>
      <c r="N247" s="154"/>
    </row>
    <row r="248" ht="15.75" customHeight="1">
      <c r="A248" s="154"/>
      <c r="B248" s="154"/>
      <c r="C248" s="155"/>
      <c r="D248" s="155"/>
      <c r="E248" s="155"/>
      <c r="F248" s="116"/>
      <c r="G248" s="156"/>
      <c r="H248" s="155"/>
      <c r="I248" s="116"/>
      <c r="J248" s="156"/>
      <c r="K248" s="155"/>
      <c r="L248" s="154"/>
      <c r="M248" s="154"/>
      <c r="N248" s="154"/>
    </row>
    <row r="249" ht="15.75" customHeight="1">
      <c r="A249" s="154"/>
      <c r="B249" s="154"/>
      <c r="C249" s="155"/>
      <c r="D249" s="155"/>
      <c r="E249" s="155"/>
      <c r="F249" s="116"/>
      <c r="G249" s="156"/>
      <c r="H249" s="155"/>
      <c r="I249" s="116"/>
      <c r="J249" s="156"/>
      <c r="K249" s="155"/>
      <c r="L249" s="154"/>
      <c r="M249" s="154"/>
      <c r="N249" s="154"/>
    </row>
    <row r="250" ht="15.75" customHeight="1">
      <c r="A250" s="154"/>
      <c r="B250" s="154"/>
      <c r="C250" s="155"/>
      <c r="D250" s="155"/>
      <c r="E250" s="155"/>
      <c r="F250" s="116"/>
      <c r="G250" s="156"/>
      <c r="H250" s="155"/>
      <c r="I250" s="116"/>
      <c r="J250" s="156"/>
      <c r="K250" s="155"/>
      <c r="L250" s="154"/>
      <c r="M250" s="154"/>
      <c r="N250" s="154"/>
    </row>
    <row r="251" ht="15.75" customHeight="1">
      <c r="A251" s="154"/>
      <c r="B251" s="154"/>
      <c r="C251" s="155"/>
      <c r="D251" s="155"/>
      <c r="E251" s="155"/>
      <c r="F251" s="116"/>
      <c r="G251" s="156"/>
      <c r="H251" s="155"/>
      <c r="I251" s="116"/>
      <c r="J251" s="156"/>
      <c r="K251" s="155"/>
      <c r="L251" s="154"/>
      <c r="M251" s="154"/>
      <c r="N251" s="154"/>
    </row>
    <row r="252" ht="15.75" customHeight="1">
      <c r="A252" s="154"/>
      <c r="B252" s="154"/>
      <c r="C252" s="155"/>
      <c r="D252" s="155"/>
      <c r="E252" s="155"/>
      <c r="F252" s="116"/>
      <c r="G252" s="156"/>
      <c r="H252" s="155"/>
      <c r="I252" s="116"/>
      <c r="J252" s="156"/>
      <c r="K252" s="155"/>
      <c r="L252" s="154"/>
      <c r="M252" s="154"/>
      <c r="N252" s="154"/>
    </row>
    <row r="253" ht="15.75" customHeight="1">
      <c r="A253" s="154"/>
      <c r="B253" s="154"/>
      <c r="C253" s="155"/>
      <c r="D253" s="155"/>
      <c r="E253" s="155"/>
      <c r="F253" s="116"/>
      <c r="G253" s="156"/>
      <c r="H253" s="155"/>
      <c r="I253" s="116"/>
      <c r="J253" s="156"/>
      <c r="K253" s="155"/>
      <c r="L253" s="154"/>
      <c r="M253" s="154"/>
      <c r="N253" s="154"/>
    </row>
    <row r="254" ht="15.75" customHeight="1">
      <c r="A254" s="154"/>
      <c r="B254" s="154"/>
      <c r="C254" s="155"/>
      <c r="D254" s="155"/>
      <c r="E254" s="155"/>
      <c r="F254" s="116"/>
      <c r="G254" s="156"/>
      <c r="H254" s="155"/>
      <c r="I254" s="116"/>
      <c r="J254" s="156"/>
      <c r="K254" s="155"/>
      <c r="L254" s="154"/>
      <c r="M254" s="154"/>
      <c r="N254" s="154"/>
    </row>
    <row r="255" ht="15.75" customHeight="1">
      <c r="A255" s="154"/>
      <c r="B255" s="154"/>
      <c r="C255" s="155"/>
      <c r="D255" s="155"/>
      <c r="E255" s="155"/>
      <c r="F255" s="116"/>
      <c r="G255" s="156"/>
      <c r="H255" s="155"/>
      <c r="I255" s="116"/>
      <c r="J255" s="156"/>
      <c r="K255" s="155"/>
      <c r="L255" s="154"/>
      <c r="M255" s="154"/>
      <c r="N255" s="154"/>
    </row>
    <row r="256" ht="15.75" customHeight="1">
      <c r="A256" s="154"/>
      <c r="B256" s="154"/>
      <c r="C256" s="155"/>
      <c r="D256" s="155"/>
      <c r="E256" s="155"/>
      <c r="F256" s="116"/>
      <c r="G256" s="156"/>
      <c r="H256" s="155"/>
      <c r="I256" s="116"/>
      <c r="J256" s="156"/>
      <c r="K256" s="155"/>
      <c r="L256" s="154"/>
      <c r="M256" s="154"/>
      <c r="N256" s="154"/>
    </row>
    <row r="257" ht="15.75" customHeight="1">
      <c r="A257" s="154"/>
      <c r="B257" s="154"/>
      <c r="C257" s="155"/>
      <c r="D257" s="155"/>
      <c r="E257" s="155"/>
      <c r="F257" s="116"/>
      <c r="G257" s="156"/>
      <c r="H257" s="155"/>
      <c r="I257" s="116"/>
      <c r="J257" s="156"/>
      <c r="K257" s="155"/>
      <c r="L257" s="154"/>
      <c r="M257" s="154"/>
      <c r="N257" s="154"/>
    </row>
    <row r="258" ht="15.75" customHeight="1">
      <c r="A258" s="154"/>
      <c r="B258" s="154"/>
      <c r="C258" s="155"/>
      <c r="D258" s="155"/>
      <c r="E258" s="155"/>
      <c r="F258" s="116"/>
      <c r="G258" s="156"/>
      <c r="H258" s="155"/>
      <c r="I258" s="116"/>
      <c r="J258" s="156"/>
      <c r="K258" s="155"/>
      <c r="L258" s="154"/>
      <c r="M258" s="154"/>
      <c r="N258" s="154"/>
    </row>
    <row r="259" ht="15.75" customHeight="1">
      <c r="A259" s="154"/>
      <c r="B259" s="154"/>
      <c r="C259" s="155"/>
      <c r="D259" s="155"/>
      <c r="E259" s="155"/>
      <c r="F259" s="116"/>
      <c r="G259" s="156"/>
      <c r="H259" s="155"/>
      <c r="I259" s="116"/>
      <c r="J259" s="156"/>
      <c r="K259" s="155"/>
      <c r="L259" s="154"/>
      <c r="M259" s="154"/>
      <c r="N259" s="154"/>
    </row>
    <row r="260" ht="15.75" customHeight="1">
      <c r="A260" s="154"/>
      <c r="B260" s="154"/>
      <c r="C260" s="155"/>
      <c r="D260" s="155"/>
      <c r="E260" s="155"/>
      <c r="F260" s="116"/>
      <c r="G260" s="156"/>
      <c r="H260" s="155"/>
      <c r="I260" s="116"/>
      <c r="J260" s="156"/>
      <c r="K260" s="155"/>
      <c r="L260" s="154"/>
      <c r="M260" s="154"/>
      <c r="N260" s="154"/>
    </row>
    <row r="261" ht="15.75" customHeight="1">
      <c r="A261" s="154"/>
      <c r="B261" s="154"/>
      <c r="C261" s="155"/>
      <c r="D261" s="155"/>
      <c r="E261" s="155"/>
      <c r="F261" s="116"/>
      <c r="G261" s="156"/>
      <c r="H261" s="155"/>
      <c r="I261" s="116"/>
      <c r="J261" s="156"/>
      <c r="K261" s="155"/>
      <c r="L261" s="154"/>
      <c r="M261" s="154"/>
      <c r="N261" s="154"/>
    </row>
    <row r="262" ht="15.75" customHeight="1">
      <c r="A262" s="154"/>
      <c r="B262" s="154"/>
      <c r="C262" s="155"/>
      <c r="D262" s="155"/>
      <c r="E262" s="155"/>
      <c r="F262" s="116"/>
      <c r="G262" s="156"/>
      <c r="H262" s="155"/>
      <c r="I262" s="116"/>
      <c r="J262" s="156"/>
      <c r="K262" s="155"/>
      <c r="L262" s="154"/>
      <c r="M262" s="154"/>
      <c r="N262" s="154"/>
    </row>
    <row r="263" ht="15.75" customHeight="1">
      <c r="A263" s="154"/>
      <c r="B263" s="154"/>
      <c r="C263" s="155"/>
      <c r="D263" s="155"/>
      <c r="E263" s="155"/>
      <c r="F263" s="116"/>
      <c r="G263" s="156"/>
      <c r="H263" s="155"/>
      <c r="I263" s="116"/>
      <c r="J263" s="156"/>
      <c r="K263" s="155"/>
      <c r="L263" s="154"/>
      <c r="M263" s="154"/>
      <c r="N263" s="154"/>
    </row>
    <row r="264" ht="15.75" customHeight="1">
      <c r="A264" s="154"/>
      <c r="B264" s="154"/>
      <c r="C264" s="155"/>
      <c r="D264" s="155"/>
      <c r="E264" s="155"/>
      <c r="F264" s="116"/>
      <c r="G264" s="156"/>
      <c r="H264" s="155"/>
      <c r="I264" s="116"/>
      <c r="J264" s="156"/>
      <c r="K264" s="155"/>
      <c r="L264" s="154"/>
      <c r="M264" s="154"/>
      <c r="N264" s="154"/>
    </row>
    <row r="265" ht="15.75" customHeight="1">
      <c r="A265" s="154"/>
      <c r="B265" s="154"/>
      <c r="C265" s="155"/>
      <c r="D265" s="155"/>
      <c r="E265" s="155"/>
      <c r="F265" s="116"/>
      <c r="G265" s="156"/>
      <c r="H265" s="155"/>
      <c r="I265" s="116"/>
      <c r="J265" s="156"/>
      <c r="K265" s="155"/>
      <c r="L265" s="154"/>
      <c r="M265" s="154"/>
      <c r="N265" s="154"/>
    </row>
    <row r="266" ht="15.75" customHeight="1">
      <c r="A266" s="154"/>
      <c r="B266" s="154"/>
      <c r="C266" s="155"/>
      <c r="D266" s="155"/>
      <c r="E266" s="155"/>
      <c r="F266" s="116"/>
      <c r="G266" s="156"/>
      <c r="H266" s="155"/>
      <c r="I266" s="116"/>
      <c r="J266" s="156"/>
      <c r="K266" s="155"/>
      <c r="L266" s="154"/>
      <c r="M266" s="154"/>
      <c r="N266" s="154"/>
    </row>
    <row r="267" ht="15.75" customHeight="1">
      <c r="A267" s="154"/>
      <c r="B267" s="154"/>
      <c r="C267" s="155"/>
      <c r="D267" s="155"/>
      <c r="E267" s="155"/>
      <c r="F267" s="116"/>
      <c r="G267" s="156"/>
      <c r="H267" s="155"/>
      <c r="I267" s="116"/>
      <c r="J267" s="156"/>
      <c r="K267" s="155"/>
      <c r="L267" s="154"/>
      <c r="M267" s="154"/>
      <c r="N267" s="154"/>
    </row>
    <row r="268" ht="15.75" customHeight="1">
      <c r="A268" s="154"/>
      <c r="B268" s="154"/>
      <c r="C268" s="155"/>
      <c r="D268" s="155"/>
      <c r="E268" s="155"/>
      <c r="F268" s="116"/>
      <c r="G268" s="156"/>
      <c r="H268" s="155"/>
      <c r="I268" s="116"/>
      <c r="J268" s="156"/>
      <c r="K268" s="155"/>
      <c r="L268" s="154"/>
      <c r="M268" s="154"/>
      <c r="N268" s="154"/>
    </row>
    <row r="269" ht="15.75" customHeight="1">
      <c r="A269" s="154"/>
      <c r="B269" s="154"/>
      <c r="C269" s="155"/>
      <c r="D269" s="155"/>
      <c r="E269" s="155"/>
      <c r="F269" s="116"/>
      <c r="G269" s="156"/>
      <c r="H269" s="155"/>
      <c r="I269" s="116"/>
      <c r="J269" s="156"/>
      <c r="K269" s="155"/>
      <c r="L269" s="154"/>
      <c r="M269" s="154"/>
      <c r="N269" s="154"/>
    </row>
    <row r="270" ht="15.75" customHeight="1">
      <c r="A270" s="154"/>
      <c r="B270" s="154"/>
      <c r="C270" s="155"/>
      <c r="D270" s="155"/>
      <c r="E270" s="155"/>
      <c r="F270" s="116"/>
      <c r="G270" s="156"/>
      <c r="H270" s="155"/>
      <c r="I270" s="116"/>
      <c r="J270" s="156"/>
      <c r="K270" s="155"/>
      <c r="L270" s="154"/>
      <c r="M270" s="154"/>
      <c r="N270" s="154"/>
    </row>
    <row r="271" ht="15.75" customHeight="1">
      <c r="A271" s="154"/>
      <c r="B271" s="154"/>
      <c r="C271" s="155"/>
      <c r="D271" s="155"/>
      <c r="E271" s="155"/>
      <c r="F271" s="116"/>
      <c r="G271" s="156"/>
      <c r="H271" s="155"/>
      <c r="I271" s="116"/>
      <c r="J271" s="156"/>
      <c r="K271" s="155"/>
      <c r="L271" s="154"/>
      <c r="M271" s="154"/>
      <c r="N271" s="154"/>
    </row>
    <row r="272" ht="15.75" customHeight="1">
      <c r="A272" s="154"/>
      <c r="B272" s="154"/>
      <c r="C272" s="155"/>
      <c r="D272" s="155"/>
      <c r="E272" s="155"/>
      <c r="F272" s="116"/>
      <c r="G272" s="156"/>
      <c r="H272" s="155"/>
      <c r="I272" s="116"/>
      <c r="J272" s="156"/>
      <c r="K272" s="155"/>
      <c r="L272" s="154"/>
      <c r="M272" s="154"/>
      <c r="N272" s="154"/>
    </row>
    <row r="273" ht="15.75" customHeight="1">
      <c r="A273" s="154"/>
      <c r="B273" s="154"/>
      <c r="C273" s="155"/>
      <c r="D273" s="155"/>
      <c r="E273" s="155"/>
      <c r="F273" s="116"/>
      <c r="G273" s="156"/>
      <c r="H273" s="155"/>
      <c r="I273" s="116"/>
      <c r="J273" s="156"/>
      <c r="K273" s="155"/>
      <c r="L273" s="154"/>
      <c r="M273" s="154"/>
      <c r="N273" s="154"/>
    </row>
    <row r="274" ht="15.75" customHeight="1">
      <c r="A274" s="154"/>
      <c r="B274" s="154"/>
      <c r="C274" s="155"/>
      <c r="D274" s="155"/>
      <c r="E274" s="155"/>
      <c r="F274" s="116"/>
      <c r="G274" s="156"/>
      <c r="H274" s="155"/>
      <c r="I274" s="116"/>
      <c r="J274" s="156"/>
      <c r="K274" s="155"/>
      <c r="L274" s="154"/>
      <c r="M274" s="154"/>
      <c r="N274" s="154"/>
    </row>
    <row r="275" ht="15.75" customHeight="1">
      <c r="A275" s="154"/>
      <c r="B275" s="154"/>
      <c r="C275" s="155"/>
      <c r="D275" s="155"/>
      <c r="E275" s="155"/>
      <c r="F275" s="116"/>
      <c r="G275" s="156"/>
      <c r="H275" s="155"/>
      <c r="I275" s="116"/>
      <c r="J275" s="156"/>
      <c r="K275" s="155"/>
      <c r="L275" s="154"/>
      <c r="M275" s="154"/>
      <c r="N275" s="154"/>
    </row>
    <row r="276" ht="15.75" customHeight="1">
      <c r="A276" s="154"/>
      <c r="B276" s="154"/>
      <c r="C276" s="155"/>
      <c r="D276" s="155"/>
      <c r="E276" s="155"/>
      <c r="F276" s="116"/>
      <c r="G276" s="156"/>
      <c r="H276" s="155"/>
      <c r="I276" s="116"/>
      <c r="J276" s="156"/>
      <c r="K276" s="155"/>
      <c r="L276" s="154"/>
      <c r="M276" s="154"/>
      <c r="N276" s="154"/>
    </row>
    <row r="277" ht="15.75" customHeight="1">
      <c r="A277" s="154"/>
      <c r="B277" s="154"/>
      <c r="C277" s="155"/>
      <c r="D277" s="155"/>
      <c r="E277" s="155"/>
      <c r="F277" s="116"/>
      <c r="G277" s="156"/>
      <c r="H277" s="155"/>
      <c r="I277" s="116"/>
      <c r="J277" s="156"/>
      <c r="K277" s="155"/>
      <c r="L277" s="154"/>
      <c r="M277" s="154"/>
      <c r="N277" s="154"/>
    </row>
    <row r="278" ht="15.75" customHeight="1">
      <c r="A278" s="154"/>
      <c r="B278" s="154"/>
      <c r="C278" s="155"/>
      <c r="D278" s="155"/>
      <c r="E278" s="155"/>
      <c r="F278" s="116"/>
      <c r="G278" s="156"/>
      <c r="H278" s="155"/>
      <c r="I278" s="116"/>
      <c r="J278" s="156"/>
      <c r="K278" s="155"/>
      <c r="L278" s="154"/>
      <c r="M278" s="154"/>
      <c r="N278" s="154"/>
    </row>
    <row r="279" ht="15.75" customHeight="1">
      <c r="A279" s="154"/>
      <c r="B279" s="154"/>
      <c r="C279" s="155"/>
      <c r="D279" s="155"/>
      <c r="E279" s="155"/>
      <c r="F279" s="116"/>
      <c r="G279" s="156"/>
      <c r="H279" s="155"/>
      <c r="I279" s="116"/>
      <c r="J279" s="156"/>
      <c r="K279" s="155"/>
      <c r="L279" s="154"/>
      <c r="M279" s="154"/>
      <c r="N279" s="154"/>
    </row>
    <row r="280" ht="15.75" customHeight="1">
      <c r="A280" s="154"/>
      <c r="B280" s="154"/>
      <c r="C280" s="155"/>
      <c r="D280" s="155"/>
      <c r="E280" s="155"/>
      <c r="F280" s="116"/>
      <c r="G280" s="156"/>
      <c r="H280" s="155"/>
      <c r="I280" s="116"/>
      <c r="J280" s="156"/>
      <c r="K280" s="155"/>
      <c r="L280" s="154"/>
      <c r="M280" s="154"/>
      <c r="N280" s="154"/>
    </row>
    <row r="281" ht="15.75" customHeight="1">
      <c r="A281" s="154"/>
      <c r="B281" s="154"/>
      <c r="C281" s="155"/>
      <c r="D281" s="155"/>
      <c r="E281" s="155"/>
      <c r="F281" s="116"/>
      <c r="G281" s="156"/>
      <c r="H281" s="155"/>
      <c r="I281" s="116"/>
      <c r="J281" s="156"/>
      <c r="K281" s="155"/>
      <c r="L281" s="154"/>
      <c r="M281" s="154"/>
      <c r="N281" s="154"/>
    </row>
    <row r="282" ht="15.75" customHeight="1">
      <c r="A282" s="154"/>
      <c r="B282" s="154"/>
      <c r="C282" s="155"/>
      <c r="D282" s="155"/>
      <c r="E282" s="155"/>
      <c r="F282" s="116"/>
      <c r="G282" s="156"/>
      <c r="H282" s="155"/>
      <c r="I282" s="116"/>
      <c r="J282" s="156"/>
      <c r="K282" s="155"/>
      <c r="L282" s="154"/>
      <c r="M282" s="154"/>
      <c r="N282" s="154"/>
    </row>
    <row r="283" ht="15.75" customHeight="1">
      <c r="A283" s="154"/>
      <c r="B283" s="154"/>
      <c r="C283" s="155"/>
      <c r="D283" s="155"/>
      <c r="E283" s="155"/>
      <c r="F283" s="116"/>
      <c r="G283" s="156"/>
      <c r="H283" s="155"/>
      <c r="I283" s="116"/>
      <c r="J283" s="156"/>
      <c r="K283" s="155"/>
      <c r="L283" s="154"/>
      <c r="M283" s="154"/>
      <c r="N283" s="154"/>
    </row>
    <row r="284" ht="15.75" customHeight="1">
      <c r="A284" s="154"/>
      <c r="B284" s="154"/>
      <c r="C284" s="155"/>
      <c r="D284" s="155"/>
      <c r="E284" s="155"/>
      <c r="F284" s="116"/>
      <c r="G284" s="156"/>
      <c r="H284" s="155"/>
      <c r="I284" s="116"/>
      <c r="J284" s="156"/>
      <c r="K284" s="155"/>
      <c r="L284" s="154"/>
      <c r="M284" s="154"/>
      <c r="N284" s="154"/>
    </row>
    <row r="285" ht="15.75" customHeight="1">
      <c r="A285" s="154"/>
      <c r="B285" s="154"/>
      <c r="C285" s="155"/>
      <c r="D285" s="155"/>
      <c r="E285" s="155"/>
      <c r="F285" s="116"/>
      <c r="G285" s="156"/>
      <c r="H285" s="155"/>
      <c r="I285" s="116"/>
      <c r="J285" s="156"/>
      <c r="K285" s="155"/>
      <c r="L285" s="154"/>
      <c r="M285" s="154"/>
      <c r="N285" s="154"/>
    </row>
    <row r="286" ht="15.75" customHeight="1">
      <c r="A286" s="154"/>
      <c r="B286" s="154"/>
      <c r="C286" s="155"/>
      <c r="D286" s="155"/>
      <c r="E286" s="155"/>
      <c r="F286" s="116"/>
      <c r="G286" s="156"/>
      <c r="H286" s="155"/>
      <c r="I286" s="116"/>
      <c r="J286" s="156"/>
      <c r="K286" s="155"/>
      <c r="L286" s="154"/>
      <c r="M286" s="154"/>
      <c r="N286" s="154"/>
    </row>
    <row r="287" ht="15.75" customHeight="1">
      <c r="A287" s="154"/>
      <c r="B287" s="154"/>
      <c r="C287" s="155"/>
      <c r="D287" s="155"/>
      <c r="E287" s="155"/>
      <c r="F287" s="116"/>
      <c r="G287" s="156"/>
      <c r="H287" s="155"/>
      <c r="I287" s="116"/>
      <c r="J287" s="156"/>
      <c r="K287" s="155"/>
      <c r="L287" s="154"/>
      <c r="M287" s="154"/>
      <c r="N287" s="154"/>
    </row>
    <row r="288" ht="15.75" customHeight="1">
      <c r="A288" s="154"/>
      <c r="B288" s="154"/>
      <c r="C288" s="155"/>
      <c r="D288" s="155"/>
      <c r="E288" s="155"/>
      <c r="F288" s="116"/>
      <c r="G288" s="156"/>
      <c r="H288" s="155"/>
      <c r="I288" s="116"/>
      <c r="J288" s="156"/>
      <c r="K288" s="155"/>
      <c r="L288" s="154"/>
      <c r="M288" s="154"/>
      <c r="N288" s="154"/>
    </row>
    <row r="289" ht="15.75" customHeight="1">
      <c r="A289" s="154"/>
      <c r="B289" s="154"/>
      <c r="C289" s="155"/>
      <c r="D289" s="155"/>
      <c r="E289" s="155"/>
      <c r="F289" s="116"/>
      <c r="G289" s="156"/>
      <c r="H289" s="155"/>
      <c r="I289" s="116"/>
      <c r="J289" s="156"/>
      <c r="K289" s="155"/>
      <c r="L289" s="154"/>
      <c r="M289" s="154"/>
      <c r="N289" s="154"/>
    </row>
    <row r="290" ht="15.75" customHeight="1">
      <c r="A290" s="154"/>
      <c r="B290" s="154"/>
      <c r="C290" s="155"/>
      <c r="D290" s="155"/>
      <c r="E290" s="155"/>
      <c r="F290" s="116"/>
      <c r="G290" s="156"/>
      <c r="H290" s="155"/>
      <c r="I290" s="116"/>
      <c r="J290" s="156"/>
      <c r="K290" s="155"/>
      <c r="L290" s="154"/>
      <c r="M290" s="154"/>
      <c r="N290" s="154"/>
    </row>
    <row r="291" ht="15.75" customHeight="1">
      <c r="A291" s="154"/>
      <c r="B291" s="154"/>
      <c r="C291" s="155"/>
      <c r="D291" s="155"/>
      <c r="E291" s="155"/>
      <c r="F291" s="116"/>
      <c r="G291" s="156"/>
      <c r="H291" s="155"/>
      <c r="I291" s="116"/>
      <c r="J291" s="156"/>
      <c r="K291" s="155"/>
      <c r="L291" s="154"/>
      <c r="M291" s="154"/>
      <c r="N291" s="154"/>
    </row>
    <row r="292" ht="15.75" customHeight="1">
      <c r="A292" s="154"/>
      <c r="B292" s="154"/>
      <c r="C292" s="155"/>
      <c r="D292" s="155"/>
      <c r="E292" s="155"/>
      <c r="F292" s="116"/>
      <c r="G292" s="156"/>
      <c r="H292" s="155"/>
      <c r="I292" s="116"/>
      <c r="J292" s="156"/>
      <c r="K292" s="155"/>
      <c r="L292" s="154"/>
      <c r="M292" s="154"/>
      <c r="N292" s="154"/>
    </row>
    <row r="293" ht="15.75" customHeight="1">
      <c r="A293" s="154"/>
      <c r="B293" s="154"/>
      <c r="C293" s="155"/>
      <c r="D293" s="155"/>
      <c r="E293" s="155"/>
      <c r="F293" s="116"/>
      <c r="G293" s="156"/>
      <c r="H293" s="155"/>
      <c r="I293" s="116"/>
      <c r="J293" s="156"/>
      <c r="K293" s="155"/>
      <c r="L293" s="154"/>
      <c r="M293" s="154"/>
      <c r="N293" s="154"/>
    </row>
    <row r="294" ht="15.75" customHeight="1">
      <c r="A294" s="154"/>
      <c r="B294" s="154"/>
      <c r="C294" s="155"/>
      <c r="D294" s="155"/>
      <c r="E294" s="155"/>
      <c r="F294" s="116"/>
      <c r="G294" s="156"/>
      <c r="H294" s="155"/>
      <c r="I294" s="116"/>
      <c r="J294" s="156"/>
      <c r="K294" s="155"/>
      <c r="L294" s="154"/>
      <c r="M294" s="154"/>
      <c r="N294" s="154"/>
    </row>
    <row r="295" ht="15.75" customHeight="1">
      <c r="A295" s="154"/>
      <c r="B295" s="154"/>
      <c r="C295" s="155"/>
      <c r="D295" s="155"/>
      <c r="E295" s="155"/>
      <c r="F295" s="116"/>
      <c r="G295" s="156"/>
      <c r="H295" s="155"/>
      <c r="I295" s="116"/>
      <c r="J295" s="156"/>
      <c r="K295" s="155"/>
      <c r="L295" s="154"/>
      <c r="M295" s="154"/>
      <c r="N295" s="154"/>
    </row>
    <row r="296" ht="15.75" customHeight="1">
      <c r="A296" s="154"/>
      <c r="B296" s="154"/>
      <c r="C296" s="155"/>
      <c r="D296" s="155"/>
      <c r="E296" s="155"/>
      <c r="F296" s="116"/>
      <c r="G296" s="156"/>
      <c r="H296" s="155"/>
      <c r="I296" s="116"/>
      <c r="J296" s="156"/>
      <c r="K296" s="155"/>
      <c r="L296" s="154"/>
      <c r="M296" s="154"/>
      <c r="N296" s="154"/>
    </row>
    <row r="297" ht="15.75" customHeight="1">
      <c r="A297" s="154"/>
      <c r="B297" s="154"/>
      <c r="C297" s="155"/>
      <c r="D297" s="155"/>
      <c r="E297" s="155"/>
      <c r="F297" s="116"/>
      <c r="G297" s="156"/>
      <c r="H297" s="155"/>
      <c r="I297" s="116"/>
      <c r="J297" s="156"/>
      <c r="K297" s="155"/>
      <c r="L297" s="154"/>
      <c r="M297" s="154"/>
      <c r="N297" s="154"/>
    </row>
    <row r="298" ht="15.75" customHeight="1">
      <c r="A298" s="154"/>
      <c r="B298" s="154"/>
      <c r="C298" s="155"/>
      <c r="D298" s="155"/>
      <c r="E298" s="155"/>
      <c r="F298" s="116"/>
      <c r="G298" s="156"/>
      <c r="H298" s="155"/>
      <c r="I298" s="116"/>
      <c r="J298" s="156"/>
      <c r="K298" s="155"/>
      <c r="L298" s="154"/>
      <c r="M298" s="154"/>
      <c r="N298" s="154"/>
    </row>
    <row r="299" ht="15.75" customHeight="1">
      <c r="A299" s="154"/>
      <c r="B299" s="154"/>
      <c r="C299" s="155"/>
      <c r="D299" s="155"/>
      <c r="E299" s="155"/>
      <c r="F299" s="116"/>
      <c r="G299" s="156"/>
      <c r="H299" s="155"/>
      <c r="I299" s="116"/>
      <c r="J299" s="156"/>
      <c r="K299" s="155"/>
      <c r="L299" s="154"/>
      <c r="M299" s="154"/>
      <c r="N299" s="154"/>
    </row>
    <row r="300" ht="15.75" customHeight="1">
      <c r="A300" s="154"/>
      <c r="B300" s="154"/>
      <c r="C300" s="155"/>
      <c r="D300" s="155"/>
      <c r="E300" s="155"/>
      <c r="F300" s="116"/>
      <c r="G300" s="156"/>
      <c r="H300" s="155"/>
      <c r="I300" s="116"/>
      <c r="J300" s="156"/>
      <c r="K300" s="155"/>
      <c r="L300" s="154"/>
      <c r="M300" s="154"/>
      <c r="N300" s="154"/>
    </row>
    <row r="301" ht="15.75" customHeight="1">
      <c r="A301" s="154"/>
      <c r="B301" s="154"/>
      <c r="C301" s="155"/>
      <c r="D301" s="155"/>
      <c r="E301" s="155"/>
      <c r="F301" s="116"/>
      <c r="G301" s="156"/>
      <c r="H301" s="155"/>
      <c r="I301" s="116"/>
      <c r="J301" s="156"/>
      <c r="K301" s="155"/>
      <c r="L301" s="154"/>
      <c r="M301" s="154"/>
      <c r="N301" s="154"/>
    </row>
    <row r="302" ht="15.75" customHeight="1">
      <c r="A302" s="154"/>
      <c r="B302" s="154"/>
      <c r="C302" s="155"/>
      <c r="D302" s="155"/>
      <c r="E302" s="155"/>
      <c r="F302" s="116"/>
      <c r="G302" s="156"/>
      <c r="H302" s="155"/>
      <c r="I302" s="116"/>
      <c r="J302" s="156"/>
      <c r="K302" s="155"/>
      <c r="L302" s="154"/>
      <c r="M302" s="154"/>
      <c r="N302" s="154"/>
    </row>
    <row r="303" ht="15.75" customHeight="1">
      <c r="A303" s="154"/>
      <c r="B303" s="154"/>
      <c r="C303" s="155"/>
      <c r="D303" s="155"/>
      <c r="E303" s="155"/>
      <c r="F303" s="116"/>
      <c r="G303" s="156"/>
      <c r="H303" s="155"/>
      <c r="I303" s="116"/>
      <c r="J303" s="156"/>
      <c r="K303" s="155"/>
      <c r="L303" s="154"/>
      <c r="M303" s="154"/>
      <c r="N303" s="154"/>
    </row>
    <row r="304" ht="15.75" customHeight="1">
      <c r="A304" s="154"/>
      <c r="B304" s="154"/>
      <c r="C304" s="155"/>
      <c r="D304" s="155"/>
      <c r="E304" s="155"/>
      <c r="F304" s="116"/>
      <c r="G304" s="156"/>
      <c r="H304" s="155"/>
      <c r="I304" s="116"/>
      <c r="J304" s="156"/>
      <c r="K304" s="155"/>
      <c r="L304" s="154"/>
      <c r="M304" s="154"/>
      <c r="N304" s="154"/>
    </row>
    <row r="305" ht="15.75" customHeight="1">
      <c r="A305" s="154"/>
      <c r="B305" s="154"/>
      <c r="C305" s="155"/>
      <c r="D305" s="155"/>
      <c r="E305" s="155"/>
      <c r="F305" s="116"/>
      <c r="G305" s="156"/>
      <c r="H305" s="155"/>
      <c r="I305" s="116"/>
      <c r="J305" s="156"/>
      <c r="K305" s="155"/>
      <c r="L305" s="154"/>
      <c r="M305" s="154"/>
      <c r="N305" s="154"/>
    </row>
    <row r="306" ht="15.75" customHeight="1">
      <c r="A306" s="154"/>
      <c r="B306" s="154"/>
      <c r="C306" s="155"/>
      <c r="D306" s="155"/>
      <c r="E306" s="155"/>
      <c r="F306" s="116"/>
      <c r="G306" s="156"/>
      <c r="H306" s="155"/>
      <c r="I306" s="116"/>
      <c r="J306" s="156"/>
      <c r="K306" s="155"/>
      <c r="L306" s="154"/>
      <c r="M306" s="154"/>
      <c r="N306" s="154"/>
    </row>
    <row r="307" ht="15.75" customHeight="1">
      <c r="A307" s="154"/>
      <c r="B307" s="154"/>
      <c r="C307" s="155"/>
      <c r="D307" s="155"/>
      <c r="E307" s="155"/>
      <c r="F307" s="116"/>
      <c r="G307" s="156"/>
      <c r="H307" s="155"/>
      <c r="I307" s="116"/>
      <c r="J307" s="156"/>
      <c r="K307" s="155"/>
      <c r="L307" s="154"/>
      <c r="M307" s="154"/>
      <c r="N307" s="154"/>
    </row>
    <row r="308" ht="15.75" customHeight="1">
      <c r="A308" s="154"/>
      <c r="B308" s="154"/>
      <c r="C308" s="155"/>
      <c r="D308" s="155"/>
      <c r="E308" s="155"/>
      <c r="F308" s="116"/>
      <c r="G308" s="156"/>
      <c r="H308" s="155"/>
      <c r="I308" s="116"/>
      <c r="J308" s="156"/>
      <c r="K308" s="155"/>
      <c r="L308" s="154"/>
      <c r="M308" s="154"/>
      <c r="N308" s="154"/>
    </row>
    <row r="309" ht="15.75" customHeight="1">
      <c r="A309" s="154"/>
      <c r="B309" s="154"/>
      <c r="C309" s="155"/>
      <c r="D309" s="155"/>
      <c r="E309" s="155"/>
      <c r="F309" s="116"/>
      <c r="G309" s="156"/>
      <c r="H309" s="155"/>
      <c r="I309" s="116"/>
      <c r="J309" s="156"/>
      <c r="K309" s="155"/>
      <c r="L309" s="154"/>
      <c r="M309" s="154"/>
      <c r="N309" s="154"/>
    </row>
    <row r="310" ht="15.75" customHeight="1">
      <c r="A310" s="154"/>
      <c r="B310" s="154"/>
      <c r="C310" s="155"/>
      <c r="D310" s="155"/>
      <c r="E310" s="155"/>
      <c r="F310" s="116"/>
      <c r="G310" s="156"/>
      <c r="H310" s="155"/>
      <c r="I310" s="116"/>
      <c r="J310" s="156"/>
      <c r="K310" s="155"/>
      <c r="L310" s="154"/>
      <c r="M310" s="154"/>
      <c r="N310" s="154"/>
    </row>
    <row r="311" ht="15.75" customHeight="1">
      <c r="A311" s="154"/>
      <c r="B311" s="154"/>
      <c r="C311" s="155"/>
      <c r="D311" s="155"/>
      <c r="E311" s="155"/>
      <c r="F311" s="116"/>
      <c r="G311" s="156"/>
      <c r="H311" s="155"/>
      <c r="I311" s="116"/>
      <c r="J311" s="156"/>
      <c r="K311" s="155"/>
      <c r="L311" s="154"/>
      <c r="M311" s="154"/>
      <c r="N311" s="154"/>
    </row>
    <row r="312" ht="15.75" customHeight="1">
      <c r="A312" s="154"/>
      <c r="B312" s="154"/>
      <c r="C312" s="155"/>
      <c r="D312" s="155"/>
      <c r="E312" s="155"/>
      <c r="F312" s="116"/>
      <c r="G312" s="156"/>
      <c r="H312" s="155"/>
      <c r="I312" s="116"/>
      <c r="J312" s="156"/>
      <c r="K312" s="155"/>
      <c r="L312" s="154"/>
      <c r="M312" s="154"/>
      <c r="N312" s="154"/>
    </row>
    <row r="313" ht="15.75" customHeight="1">
      <c r="A313" s="154"/>
      <c r="B313" s="154"/>
      <c r="C313" s="155"/>
      <c r="D313" s="155"/>
      <c r="E313" s="155"/>
      <c r="F313" s="116"/>
      <c r="G313" s="156"/>
      <c r="H313" s="155"/>
      <c r="I313" s="116"/>
      <c r="J313" s="156"/>
      <c r="K313" s="155"/>
      <c r="L313" s="154"/>
      <c r="M313" s="154"/>
      <c r="N313" s="154"/>
    </row>
    <row r="314" ht="15.75" customHeight="1">
      <c r="A314" s="154"/>
      <c r="B314" s="154"/>
      <c r="C314" s="155"/>
      <c r="D314" s="155"/>
      <c r="E314" s="155"/>
      <c r="F314" s="116"/>
      <c r="G314" s="156"/>
      <c r="H314" s="155"/>
      <c r="I314" s="116"/>
      <c r="J314" s="156"/>
      <c r="K314" s="155"/>
      <c r="L314" s="154"/>
      <c r="M314" s="154"/>
      <c r="N314" s="154"/>
    </row>
    <row r="315" ht="15.75" customHeight="1">
      <c r="A315" s="154"/>
      <c r="B315" s="154"/>
      <c r="C315" s="155"/>
      <c r="D315" s="155"/>
      <c r="E315" s="155"/>
      <c r="F315" s="116"/>
      <c r="G315" s="156"/>
      <c r="H315" s="155"/>
      <c r="I315" s="116"/>
      <c r="J315" s="156"/>
      <c r="K315" s="155"/>
      <c r="L315" s="154"/>
      <c r="M315" s="154"/>
      <c r="N315" s="154"/>
    </row>
    <row r="316" ht="15.75" customHeight="1">
      <c r="A316" s="154"/>
      <c r="B316" s="154"/>
      <c r="C316" s="155"/>
      <c r="D316" s="155"/>
      <c r="E316" s="155"/>
      <c r="F316" s="116"/>
      <c r="G316" s="156"/>
      <c r="H316" s="155"/>
      <c r="I316" s="116"/>
      <c r="J316" s="156"/>
      <c r="K316" s="155"/>
      <c r="L316" s="154"/>
      <c r="M316" s="154"/>
      <c r="N316" s="154"/>
    </row>
    <row r="317" ht="15.75" customHeight="1">
      <c r="A317" s="154"/>
      <c r="B317" s="154"/>
      <c r="C317" s="155"/>
      <c r="D317" s="155"/>
      <c r="E317" s="155"/>
      <c r="F317" s="116"/>
      <c r="G317" s="156"/>
      <c r="H317" s="155"/>
      <c r="I317" s="116"/>
      <c r="J317" s="156"/>
      <c r="K317" s="155"/>
      <c r="L317" s="154"/>
      <c r="M317" s="154"/>
      <c r="N317" s="154"/>
    </row>
    <row r="318" ht="15.75" customHeight="1">
      <c r="A318" s="154"/>
      <c r="B318" s="154"/>
      <c r="C318" s="155"/>
      <c r="D318" s="155"/>
      <c r="E318" s="155"/>
      <c r="F318" s="116"/>
      <c r="G318" s="156"/>
      <c r="H318" s="155"/>
      <c r="I318" s="116"/>
      <c r="J318" s="156"/>
      <c r="K318" s="155"/>
      <c r="L318" s="154"/>
      <c r="M318" s="154"/>
      <c r="N318" s="154"/>
    </row>
    <row r="319" ht="15.75" customHeight="1">
      <c r="A319" s="154"/>
      <c r="B319" s="154"/>
      <c r="C319" s="155"/>
      <c r="D319" s="155"/>
      <c r="E319" s="155"/>
      <c r="F319" s="116"/>
      <c r="G319" s="156"/>
      <c r="H319" s="155"/>
      <c r="I319" s="116"/>
      <c r="J319" s="156"/>
      <c r="K319" s="155"/>
      <c r="L319" s="154"/>
      <c r="M319" s="154"/>
      <c r="N319" s="154"/>
    </row>
    <row r="320" ht="15.75" customHeight="1">
      <c r="A320" s="154"/>
      <c r="B320" s="154"/>
      <c r="C320" s="155"/>
      <c r="D320" s="155"/>
      <c r="E320" s="155"/>
      <c r="F320" s="116"/>
      <c r="G320" s="156"/>
      <c r="H320" s="155"/>
      <c r="I320" s="116"/>
      <c r="J320" s="156"/>
      <c r="K320" s="155"/>
      <c r="L320" s="154"/>
      <c r="M320" s="154"/>
      <c r="N320" s="154"/>
    </row>
    <row r="321" ht="15.75" customHeight="1">
      <c r="A321" s="154"/>
      <c r="B321" s="154"/>
      <c r="C321" s="155"/>
      <c r="D321" s="155"/>
      <c r="E321" s="155"/>
      <c r="F321" s="116"/>
      <c r="G321" s="156"/>
      <c r="H321" s="155"/>
      <c r="I321" s="116"/>
      <c r="J321" s="156"/>
      <c r="K321" s="155"/>
      <c r="L321" s="154"/>
      <c r="M321" s="154"/>
      <c r="N321" s="154"/>
    </row>
    <row r="322" ht="15.75" customHeight="1">
      <c r="A322" s="154"/>
      <c r="B322" s="154"/>
      <c r="C322" s="155"/>
      <c r="D322" s="155"/>
      <c r="E322" s="155"/>
      <c r="F322" s="116"/>
      <c r="G322" s="156"/>
      <c r="H322" s="155"/>
      <c r="I322" s="116"/>
      <c r="J322" s="156"/>
      <c r="K322" s="155"/>
      <c r="L322" s="154"/>
      <c r="M322" s="154"/>
      <c r="N322" s="154"/>
    </row>
    <row r="323" ht="15.75" customHeight="1">
      <c r="A323" s="154"/>
      <c r="B323" s="154"/>
      <c r="C323" s="155"/>
      <c r="D323" s="155"/>
      <c r="E323" s="155"/>
      <c r="F323" s="116"/>
      <c r="G323" s="156"/>
      <c r="H323" s="155"/>
      <c r="I323" s="116"/>
      <c r="J323" s="156"/>
      <c r="K323" s="155"/>
      <c r="L323" s="154"/>
      <c r="M323" s="154"/>
      <c r="N323" s="154"/>
    </row>
    <row r="324" ht="15.75" customHeight="1">
      <c r="A324" s="154"/>
      <c r="B324" s="154"/>
      <c r="C324" s="155"/>
      <c r="D324" s="155"/>
      <c r="E324" s="155"/>
      <c r="F324" s="116"/>
      <c r="G324" s="156"/>
      <c r="H324" s="155"/>
      <c r="I324" s="116"/>
      <c r="J324" s="156"/>
      <c r="K324" s="155"/>
      <c r="L324" s="154"/>
      <c r="M324" s="154"/>
      <c r="N324" s="154"/>
    </row>
    <row r="325" ht="15.75" customHeight="1">
      <c r="A325" s="154"/>
      <c r="B325" s="154"/>
      <c r="C325" s="155"/>
      <c r="D325" s="155"/>
      <c r="E325" s="155"/>
      <c r="F325" s="116"/>
      <c r="G325" s="156"/>
      <c r="H325" s="155"/>
      <c r="I325" s="116"/>
      <c r="J325" s="156"/>
      <c r="K325" s="155"/>
      <c r="L325" s="154"/>
      <c r="M325" s="154"/>
      <c r="N325" s="154"/>
    </row>
    <row r="326" ht="15.75" customHeight="1">
      <c r="A326" s="154"/>
      <c r="B326" s="154"/>
      <c r="C326" s="155"/>
      <c r="D326" s="155"/>
      <c r="E326" s="155"/>
      <c r="F326" s="116"/>
      <c r="G326" s="156"/>
      <c r="H326" s="155"/>
      <c r="I326" s="116"/>
      <c r="J326" s="156"/>
      <c r="K326" s="155"/>
      <c r="L326" s="154"/>
      <c r="M326" s="154"/>
      <c r="N326" s="154"/>
    </row>
    <row r="327" ht="15.75" customHeight="1">
      <c r="A327" s="154"/>
      <c r="B327" s="154"/>
      <c r="C327" s="155"/>
      <c r="D327" s="155"/>
      <c r="E327" s="155"/>
      <c r="F327" s="116"/>
      <c r="G327" s="156"/>
      <c r="H327" s="155"/>
      <c r="I327" s="116"/>
      <c r="J327" s="156"/>
      <c r="K327" s="155"/>
      <c r="L327" s="154"/>
      <c r="M327" s="154"/>
      <c r="N327" s="154"/>
    </row>
    <row r="328" ht="15.75" customHeight="1">
      <c r="A328" s="154"/>
      <c r="B328" s="154"/>
      <c r="C328" s="155"/>
      <c r="D328" s="155"/>
      <c r="E328" s="155"/>
      <c r="F328" s="116"/>
      <c r="G328" s="156"/>
      <c r="H328" s="155"/>
      <c r="I328" s="116"/>
      <c r="J328" s="156"/>
      <c r="K328" s="155"/>
      <c r="L328" s="154"/>
      <c r="M328" s="154"/>
      <c r="N328" s="154"/>
    </row>
    <row r="329" ht="15.75" customHeight="1">
      <c r="A329" s="154"/>
      <c r="B329" s="154"/>
      <c r="C329" s="155"/>
      <c r="D329" s="155"/>
      <c r="E329" s="155"/>
      <c r="F329" s="116"/>
      <c r="G329" s="156"/>
      <c r="H329" s="155"/>
      <c r="I329" s="116"/>
      <c r="J329" s="156"/>
      <c r="K329" s="155"/>
      <c r="L329" s="154"/>
      <c r="M329" s="154"/>
      <c r="N329" s="154"/>
    </row>
    <row r="330" ht="15.75" customHeight="1">
      <c r="A330" s="154"/>
      <c r="B330" s="154"/>
      <c r="C330" s="155"/>
      <c r="D330" s="155"/>
      <c r="E330" s="155"/>
      <c r="F330" s="116"/>
      <c r="G330" s="156"/>
      <c r="H330" s="155"/>
      <c r="I330" s="116"/>
      <c r="J330" s="156"/>
      <c r="K330" s="155"/>
      <c r="L330" s="154"/>
      <c r="M330" s="154"/>
      <c r="N330" s="154"/>
    </row>
    <row r="331" ht="15.75" customHeight="1">
      <c r="A331" s="154"/>
      <c r="B331" s="154"/>
      <c r="C331" s="155"/>
      <c r="D331" s="155"/>
      <c r="E331" s="155"/>
      <c r="F331" s="116"/>
      <c r="G331" s="156"/>
      <c r="H331" s="155"/>
      <c r="I331" s="116"/>
      <c r="J331" s="156"/>
      <c r="K331" s="155"/>
      <c r="L331" s="154"/>
      <c r="M331" s="154"/>
      <c r="N331" s="154"/>
    </row>
    <row r="332" ht="15.75" customHeight="1">
      <c r="A332" s="154"/>
      <c r="B332" s="154"/>
      <c r="C332" s="155"/>
      <c r="D332" s="155"/>
      <c r="E332" s="155"/>
      <c r="F332" s="116"/>
      <c r="G332" s="156"/>
      <c r="H332" s="155"/>
      <c r="I332" s="116"/>
      <c r="J332" s="156"/>
      <c r="K332" s="155"/>
      <c r="L332" s="154"/>
      <c r="M332" s="154"/>
      <c r="N332" s="154"/>
    </row>
    <row r="333" ht="15.75" customHeight="1">
      <c r="A333" s="154"/>
      <c r="B333" s="154"/>
      <c r="C333" s="155"/>
      <c r="D333" s="155"/>
      <c r="E333" s="155"/>
      <c r="F333" s="116"/>
      <c r="G333" s="156"/>
      <c r="H333" s="155"/>
      <c r="I333" s="116"/>
      <c r="J333" s="156"/>
      <c r="K333" s="155"/>
      <c r="L333" s="154"/>
      <c r="M333" s="154"/>
      <c r="N333" s="154"/>
    </row>
    <row r="334" ht="15.75" customHeight="1">
      <c r="A334" s="154"/>
      <c r="B334" s="154"/>
      <c r="C334" s="155"/>
      <c r="D334" s="155"/>
      <c r="E334" s="155"/>
      <c r="F334" s="116"/>
      <c r="G334" s="156"/>
      <c r="H334" s="155"/>
      <c r="I334" s="116"/>
      <c r="J334" s="156"/>
      <c r="K334" s="155"/>
      <c r="L334" s="154"/>
      <c r="M334" s="154"/>
      <c r="N334" s="154"/>
    </row>
    <row r="335" ht="15.75" customHeight="1">
      <c r="A335" s="154"/>
      <c r="B335" s="154"/>
      <c r="C335" s="155"/>
      <c r="D335" s="155"/>
      <c r="E335" s="155"/>
      <c r="F335" s="116"/>
      <c r="G335" s="156"/>
      <c r="H335" s="155"/>
      <c r="I335" s="116"/>
      <c r="J335" s="156"/>
      <c r="K335" s="155"/>
      <c r="L335" s="154"/>
      <c r="M335" s="154"/>
      <c r="N335" s="154"/>
    </row>
    <row r="336" ht="15.75" customHeight="1">
      <c r="A336" s="154"/>
      <c r="B336" s="154"/>
      <c r="C336" s="155"/>
      <c r="D336" s="155"/>
      <c r="E336" s="155"/>
      <c r="F336" s="116"/>
      <c r="G336" s="156"/>
      <c r="H336" s="155"/>
      <c r="I336" s="116"/>
      <c r="J336" s="156"/>
      <c r="K336" s="155"/>
      <c r="L336" s="154"/>
      <c r="M336" s="154"/>
      <c r="N336" s="154"/>
    </row>
    <row r="337" ht="15.75" customHeight="1">
      <c r="A337" s="154"/>
      <c r="B337" s="154"/>
      <c r="C337" s="155"/>
      <c r="D337" s="155"/>
      <c r="E337" s="155"/>
      <c r="F337" s="116"/>
      <c r="G337" s="156"/>
      <c r="H337" s="155"/>
      <c r="I337" s="116"/>
      <c r="J337" s="156"/>
      <c r="K337" s="155"/>
      <c r="L337" s="154"/>
      <c r="M337" s="154"/>
      <c r="N337" s="154"/>
    </row>
    <row r="338" ht="15.75" customHeight="1">
      <c r="A338" s="154"/>
      <c r="B338" s="154"/>
      <c r="C338" s="155"/>
      <c r="D338" s="155"/>
      <c r="E338" s="155"/>
      <c r="F338" s="116"/>
      <c r="G338" s="156"/>
      <c r="H338" s="155"/>
      <c r="I338" s="116"/>
      <c r="J338" s="156"/>
      <c r="K338" s="155"/>
      <c r="L338" s="154"/>
      <c r="M338" s="154"/>
      <c r="N338" s="154"/>
    </row>
    <row r="339" ht="15.75" customHeight="1">
      <c r="A339" s="154"/>
      <c r="B339" s="154"/>
      <c r="C339" s="155"/>
      <c r="D339" s="155"/>
      <c r="E339" s="155"/>
      <c r="F339" s="116"/>
      <c r="G339" s="156"/>
      <c r="H339" s="155"/>
      <c r="I339" s="116"/>
      <c r="J339" s="156"/>
      <c r="K339" s="155"/>
      <c r="L339" s="154"/>
      <c r="M339" s="154"/>
      <c r="N339" s="154"/>
    </row>
    <row r="340" ht="15.75" customHeight="1">
      <c r="A340" s="154"/>
      <c r="B340" s="154"/>
      <c r="C340" s="155"/>
      <c r="D340" s="155"/>
      <c r="E340" s="155"/>
      <c r="F340" s="116"/>
      <c r="G340" s="156"/>
      <c r="H340" s="155"/>
      <c r="I340" s="116"/>
      <c r="J340" s="156"/>
      <c r="K340" s="155"/>
      <c r="L340" s="154"/>
      <c r="M340" s="154"/>
      <c r="N340" s="154"/>
    </row>
    <row r="341" ht="15.75" customHeight="1">
      <c r="A341" s="154"/>
      <c r="B341" s="154"/>
      <c r="C341" s="155"/>
      <c r="D341" s="155"/>
      <c r="E341" s="155"/>
      <c r="F341" s="116"/>
      <c r="G341" s="156"/>
      <c r="H341" s="155"/>
      <c r="I341" s="116"/>
      <c r="J341" s="156"/>
      <c r="K341" s="155"/>
      <c r="L341" s="154"/>
      <c r="M341" s="154"/>
      <c r="N341" s="154"/>
    </row>
    <row r="342" ht="15.75" customHeight="1">
      <c r="A342" s="154"/>
      <c r="B342" s="154"/>
      <c r="C342" s="155"/>
      <c r="D342" s="155"/>
      <c r="E342" s="155"/>
      <c r="F342" s="116"/>
      <c r="G342" s="156"/>
      <c r="H342" s="155"/>
      <c r="I342" s="116"/>
      <c r="J342" s="156"/>
      <c r="K342" s="155"/>
      <c r="L342" s="154"/>
      <c r="M342" s="154"/>
      <c r="N342" s="154"/>
    </row>
    <row r="343" ht="15.75" customHeight="1">
      <c r="A343" s="154"/>
      <c r="B343" s="154"/>
      <c r="C343" s="155"/>
      <c r="D343" s="155"/>
      <c r="E343" s="155"/>
      <c r="F343" s="116"/>
      <c r="G343" s="156"/>
      <c r="H343" s="155"/>
      <c r="I343" s="116"/>
      <c r="J343" s="156"/>
      <c r="K343" s="155"/>
      <c r="L343" s="154"/>
      <c r="M343" s="154"/>
      <c r="N343" s="154"/>
    </row>
    <row r="344" ht="15.75" customHeight="1">
      <c r="A344" s="154"/>
      <c r="B344" s="154"/>
      <c r="C344" s="155"/>
      <c r="D344" s="155"/>
      <c r="E344" s="155"/>
      <c r="F344" s="116"/>
      <c r="G344" s="156"/>
      <c r="H344" s="155"/>
      <c r="I344" s="116"/>
      <c r="J344" s="156"/>
      <c r="K344" s="155"/>
      <c r="L344" s="154"/>
      <c r="M344" s="154"/>
      <c r="N344" s="154"/>
    </row>
    <row r="345" ht="15.75" customHeight="1">
      <c r="A345" s="154"/>
      <c r="B345" s="154"/>
      <c r="C345" s="155"/>
      <c r="D345" s="155"/>
      <c r="E345" s="155"/>
      <c r="F345" s="116"/>
      <c r="G345" s="156"/>
      <c r="H345" s="155"/>
      <c r="I345" s="116"/>
      <c r="J345" s="156"/>
      <c r="K345" s="155"/>
      <c r="L345" s="154"/>
      <c r="M345" s="154"/>
      <c r="N345" s="154"/>
    </row>
    <row r="346" ht="15.75" customHeight="1">
      <c r="A346" s="154"/>
      <c r="B346" s="154"/>
      <c r="C346" s="155"/>
      <c r="D346" s="155"/>
      <c r="E346" s="155"/>
      <c r="F346" s="116"/>
      <c r="G346" s="156"/>
      <c r="H346" s="155"/>
      <c r="I346" s="116"/>
      <c r="J346" s="156"/>
      <c r="K346" s="155"/>
      <c r="L346" s="154"/>
      <c r="M346" s="154"/>
      <c r="N346" s="154"/>
    </row>
    <row r="347" ht="15.75" customHeight="1">
      <c r="A347" s="154"/>
      <c r="B347" s="154"/>
      <c r="C347" s="155"/>
      <c r="D347" s="155"/>
      <c r="E347" s="155"/>
      <c r="F347" s="116"/>
      <c r="G347" s="156"/>
      <c r="H347" s="155"/>
      <c r="I347" s="116"/>
      <c r="J347" s="156"/>
      <c r="K347" s="155"/>
      <c r="L347" s="154"/>
      <c r="M347" s="154"/>
      <c r="N347" s="154"/>
    </row>
    <row r="348" ht="15.75" customHeight="1">
      <c r="A348" s="154"/>
      <c r="B348" s="154"/>
      <c r="C348" s="155"/>
      <c r="D348" s="155"/>
      <c r="E348" s="155"/>
      <c r="F348" s="116"/>
      <c r="G348" s="156"/>
      <c r="H348" s="155"/>
      <c r="I348" s="116"/>
      <c r="J348" s="156"/>
      <c r="K348" s="155"/>
      <c r="L348" s="154"/>
      <c r="M348" s="154"/>
      <c r="N348" s="154"/>
    </row>
    <row r="349" ht="15.75" customHeight="1">
      <c r="A349" s="154"/>
      <c r="B349" s="154"/>
      <c r="C349" s="155"/>
      <c r="D349" s="155"/>
      <c r="E349" s="155"/>
      <c r="F349" s="116"/>
      <c r="G349" s="156"/>
      <c r="H349" s="155"/>
      <c r="I349" s="116"/>
      <c r="J349" s="156"/>
      <c r="K349" s="155"/>
      <c r="L349" s="154"/>
      <c r="M349" s="154"/>
      <c r="N349" s="154"/>
    </row>
    <row r="350" ht="15.75" customHeight="1">
      <c r="A350" s="154"/>
      <c r="B350" s="154"/>
      <c r="C350" s="155"/>
      <c r="D350" s="155"/>
      <c r="E350" s="155"/>
      <c r="F350" s="116"/>
      <c r="G350" s="156"/>
      <c r="H350" s="155"/>
      <c r="I350" s="116"/>
      <c r="J350" s="156"/>
      <c r="K350" s="155"/>
      <c r="L350" s="154"/>
      <c r="M350" s="154"/>
      <c r="N350" s="154"/>
    </row>
    <row r="351" ht="15.75" customHeight="1">
      <c r="A351" s="154"/>
      <c r="B351" s="154"/>
      <c r="C351" s="155"/>
      <c r="D351" s="155"/>
      <c r="E351" s="155"/>
      <c r="F351" s="116"/>
      <c r="G351" s="156"/>
      <c r="H351" s="155"/>
      <c r="I351" s="116"/>
      <c r="J351" s="156"/>
      <c r="K351" s="155"/>
      <c r="L351" s="154"/>
      <c r="M351" s="154"/>
      <c r="N351" s="154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M2:N2"/>
    <mergeCell ref="G4:H5"/>
    <mergeCell ref="J4:K5"/>
    <mergeCell ref="M4:N5"/>
  </mergeCells>
  <conditionalFormatting sqref="B2:D2">
    <cfRule type="expression" dxfId="49" priority="1">
      <formula>IF(D2="Correct",TRUE)</formula>
    </cfRule>
  </conditionalFormatting>
  <conditionalFormatting sqref="B3:D3">
    <cfRule type="expression" dxfId="49" priority="2">
      <formula>IF(D3="Correct",TRUE)</formula>
    </cfRule>
  </conditionalFormatting>
  <conditionalFormatting sqref="B4:D4">
    <cfRule type="expression" dxfId="49" priority="3">
      <formula>IF(D4="Correct",TRUE)</formula>
    </cfRule>
  </conditionalFormatting>
  <conditionalFormatting sqref="C2">
    <cfRule type="expression" dxfId="49" priority="4">
      <formula>IF(D2="Correct",TRUE)</formula>
    </cfRule>
  </conditionalFormatting>
  <conditionalFormatting sqref="C3">
    <cfRule type="expression" dxfId="49" priority="5">
      <formula>IF(D3="Correct",TRUE)</formula>
    </cfRule>
  </conditionalFormatting>
  <conditionalFormatting sqref="C4">
    <cfRule type="expression" dxfId="49" priority="6">
      <formula>IF(D4="Correct",TRUE)</formula>
    </cfRule>
  </conditionalFormatting>
  <conditionalFormatting sqref="D2">
    <cfRule type="cellIs" dxfId="49" priority="7" operator="equal">
      <formula>"Correct"</formula>
    </cfRule>
  </conditionalFormatting>
  <conditionalFormatting sqref="D2">
    <cfRule type="cellIs" dxfId="50" priority="8" operator="equal">
      <formula>"Difficult"</formula>
    </cfRule>
  </conditionalFormatting>
  <conditionalFormatting sqref="D3">
    <cfRule type="cellIs" dxfId="50" priority="9" operator="equal">
      <formula>"Difficult"</formula>
    </cfRule>
  </conditionalFormatting>
  <conditionalFormatting sqref="D3">
    <cfRule type="cellIs" dxfId="49" priority="10" operator="equal">
      <formula>"Correct"</formula>
    </cfRule>
  </conditionalFormatting>
  <conditionalFormatting sqref="D4">
    <cfRule type="cellIs" dxfId="49" priority="11" operator="equal">
      <formula>"Correct"</formula>
    </cfRule>
  </conditionalFormatting>
  <conditionalFormatting sqref="D4">
    <cfRule type="cellIs" dxfId="50" priority="12" operator="equal">
      <formula>"Diffic"</formula>
    </cfRule>
  </conditionalFormatting>
  <conditionalFormatting sqref="H7:H1000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1000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1000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