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rt" sheetId="1" r:id="rId3"/>
    <sheet state="visible" name="Information" sheetId="2" r:id="rId4"/>
    <sheet state="visible" name="Pattern" sheetId="3" r:id="rId5"/>
    <sheet state="visible" name="To be checked" sheetId="4" r:id="rId6"/>
  </sheets>
  <definedNames>
    <definedName hidden="1" localSheetId="0" name="Z_5FC39EA9_B3DD_434F_9F93_B62D375A1C9F_.wvu.FilterData">Heart!$A$1:$M$164</definedName>
  </definedNames>
  <calcPr/>
  <customWorkbookViews>
    <customWorkbookView activeSheetId="0" maximized="1" windowHeight="0" windowWidth="0" guid="{5FC39EA9-B3DD-434F-9F93-B62D375A1C9F}" name="To be checked"/>
  </customWorkbookViews>
</workbook>
</file>

<file path=xl/sharedStrings.xml><?xml version="1.0" encoding="utf-8"?>
<sst xmlns="http://schemas.openxmlformats.org/spreadsheetml/2006/main" count="694" uniqueCount="296">
  <si>
    <t>Pin #</t>
  </si>
  <si>
    <t>Row</t>
  </si>
  <si>
    <t>Column</t>
  </si>
  <si>
    <t>Latitude</t>
  </si>
  <si>
    <t>Longitude</t>
  </si>
  <si>
    <t>Munzee</t>
  </si>
  <si>
    <t>Color</t>
  </si>
  <si>
    <t>Username</t>
  </si>
  <si>
    <t>Deploy #</t>
  </si>
  <si>
    <t>Checker Link</t>
  </si>
  <si>
    <t>Checked</t>
  </si>
  <si>
    <t>Comments</t>
  </si>
  <si>
    <t>Deployed</t>
  </si>
  <si>
    <t>Heart #001</t>
  </si>
  <si>
    <t>Virtual Onyx</t>
  </si>
  <si>
    <t>onyx</t>
  </si>
  <si>
    <t>Heluna</t>
  </si>
  <si>
    <t>Heart #002</t>
  </si>
  <si>
    <t>humbird7</t>
  </si>
  <si>
    <t>Heart #003</t>
  </si>
  <si>
    <t>DarthMaulMax</t>
  </si>
  <si>
    <t>Heart #004</t>
  </si>
  <si>
    <t>rgforsythe</t>
  </si>
  <si>
    <t>Heart #005</t>
  </si>
  <si>
    <t>Heart #006</t>
  </si>
  <si>
    <t>janzattic</t>
  </si>
  <si>
    <t>Heart #007</t>
  </si>
  <si>
    <t>Buckeyecacher111</t>
  </si>
  <si>
    <t>Heart #008</t>
  </si>
  <si>
    <t>WinterCheetah</t>
  </si>
  <si>
    <t>Heart #009</t>
  </si>
  <si>
    <t>rayannchick</t>
  </si>
  <si>
    <t>Heart #010</t>
  </si>
  <si>
    <t>Virtual Red</t>
  </si>
  <si>
    <t>red</t>
  </si>
  <si>
    <t>Barrel</t>
  </si>
  <si>
    <t>Heart #011</t>
  </si>
  <si>
    <t>Debolicious</t>
  </si>
  <si>
    <t>Heart #012</t>
  </si>
  <si>
    <t>TheBitBandit</t>
  </si>
  <si>
    <t>Heart #013</t>
  </si>
  <si>
    <t>technical13</t>
  </si>
  <si>
    <t>Heart #014</t>
  </si>
  <si>
    <t>IggiePiggie</t>
  </si>
  <si>
    <t>Heart #015</t>
  </si>
  <si>
    <t>Heart #016</t>
  </si>
  <si>
    <t>MaryJaneKitty</t>
  </si>
  <si>
    <t>Heart #017</t>
  </si>
  <si>
    <t>Munzeejim19</t>
  </si>
  <si>
    <t>Heart #018</t>
  </si>
  <si>
    <t>dlovegrove</t>
  </si>
  <si>
    <t>Heart #019</t>
  </si>
  <si>
    <t>RoninsGal</t>
  </si>
  <si>
    <t>Heart #020</t>
  </si>
  <si>
    <t>Cinnamons</t>
  </si>
  <si>
    <t>Heart #021</t>
  </si>
  <si>
    <t>Heart #022</t>
  </si>
  <si>
    <t>MarkCase</t>
  </si>
  <si>
    <t>Heart #023</t>
  </si>
  <si>
    <t>Virtual Tickle Me Pink</t>
  </si>
  <si>
    <t>tickle me pink</t>
  </si>
  <si>
    <t>cachesaurous</t>
  </si>
  <si>
    <t>Heart #024</t>
  </si>
  <si>
    <t>3Prettys</t>
  </si>
  <si>
    <t>Heart #025</t>
  </si>
  <si>
    <t>Heart #026</t>
  </si>
  <si>
    <t>Quint71</t>
  </si>
  <si>
    <t>Heart #027</t>
  </si>
  <si>
    <t>Dicataldo2019</t>
  </si>
  <si>
    <t>Heart #028</t>
  </si>
  <si>
    <t>Heart #029</t>
  </si>
  <si>
    <t>nyisutter</t>
  </si>
  <si>
    <t>Heart #030</t>
  </si>
  <si>
    <t>GolemCZ</t>
  </si>
  <si>
    <t>Heart #031</t>
  </si>
  <si>
    <t>Benotje</t>
  </si>
  <si>
    <t>Heart #032</t>
  </si>
  <si>
    <t>Heart #033</t>
  </si>
  <si>
    <t>Heart #034</t>
  </si>
  <si>
    <t>Heart #035</t>
  </si>
  <si>
    <t>Heart #036</t>
  </si>
  <si>
    <t>Neta</t>
  </si>
  <si>
    <t>Heart #037</t>
  </si>
  <si>
    <t>MeanderingMonkeys</t>
  </si>
  <si>
    <t>Heart #038</t>
  </si>
  <si>
    <t>Promethium</t>
  </si>
  <si>
    <t>Heart #039</t>
  </si>
  <si>
    <t>EagleDadandXenia</t>
  </si>
  <si>
    <t>Heart #040</t>
  </si>
  <si>
    <t>Heart #041</t>
  </si>
  <si>
    <t>Heart #042</t>
  </si>
  <si>
    <t>Heart #043</t>
  </si>
  <si>
    <t>jldh</t>
  </si>
  <si>
    <t>Heart #044</t>
  </si>
  <si>
    <t>mobility</t>
  </si>
  <si>
    <t>Heart #045</t>
  </si>
  <si>
    <t>Heart #046</t>
  </si>
  <si>
    <t>ohiolady</t>
  </si>
  <si>
    <t>Heart #047</t>
  </si>
  <si>
    <t>92Supercoupe</t>
  </si>
  <si>
    <t>Heart #048</t>
  </si>
  <si>
    <t>Heart #049</t>
  </si>
  <si>
    <t>jeffeth</t>
  </si>
  <si>
    <t>Heart #050</t>
  </si>
  <si>
    <t>Heart #051</t>
  </si>
  <si>
    <t>Heart #052</t>
  </si>
  <si>
    <t>highmaintenance</t>
  </si>
  <si>
    <t>Heart #053</t>
  </si>
  <si>
    <t>Justforfun33</t>
  </si>
  <si>
    <t>Heart #054</t>
  </si>
  <si>
    <t>DolphinJo</t>
  </si>
  <si>
    <t>Heart #055</t>
  </si>
  <si>
    <t>Virtual Mauvelous</t>
  </si>
  <si>
    <t>mauvelous</t>
  </si>
  <si>
    <t>Heart #056</t>
  </si>
  <si>
    <t>Heart #057</t>
  </si>
  <si>
    <t>Lihi80</t>
  </si>
  <si>
    <t>Heart #058</t>
  </si>
  <si>
    <t>SJClyde</t>
  </si>
  <si>
    <t>Heart #059</t>
  </si>
  <si>
    <t>POI Virtual Garden</t>
  </si>
  <si>
    <t>poi virtual garden</t>
  </si>
  <si>
    <t>Heart #060</t>
  </si>
  <si>
    <t>ChudleighTraveller</t>
  </si>
  <si>
    <t>Heart #061</t>
  </si>
  <si>
    <t>Heart #062</t>
  </si>
  <si>
    <t>Heart #063</t>
  </si>
  <si>
    <t>Reart</t>
  </si>
  <si>
    <t>Heart #064</t>
  </si>
  <si>
    <t>Kyrandia</t>
  </si>
  <si>
    <t>Heart #065</t>
  </si>
  <si>
    <t>Heart #066</t>
  </si>
  <si>
    <t>Cidinho</t>
  </si>
  <si>
    <t>Heart #067</t>
  </si>
  <si>
    <t>BonnieB1</t>
  </si>
  <si>
    <t>Heart #068</t>
  </si>
  <si>
    <t xml:space="preserve">Derlame </t>
  </si>
  <si>
    <t>Heart #069</t>
  </si>
  <si>
    <t>Heart #070</t>
  </si>
  <si>
    <t>Heart #071</t>
  </si>
  <si>
    <t>TFAL</t>
  </si>
  <si>
    <t>Heart #072</t>
  </si>
  <si>
    <t>Heart #073</t>
  </si>
  <si>
    <t>Flat Lou</t>
  </si>
  <si>
    <t>flat lou</t>
  </si>
  <si>
    <t>Heart #074</t>
  </si>
  <si>
    <t>Heart #075</t>
  </si>
  <si>
    <t>Heart #076</t>
  </si>
  <si>
    <t>Heart #077</t>
  </si>
  <si>
    <t>claireth</t>
  </si>
  <si>
    <t>Heart #078</t>
  </si>
  <si>
    <t>Heart #079</t>
  </si>
  <si>
    <t>Heart #080</t>
  </si>
  <si>
    <t>Heart #081</t>
  </si>
  <si>
    <t>Heart #082</t>
  </si>
  <si>
    <t>Heart #083</t>
  </si>
  <si>
    <t>Heart #084</t>
  </si>
  <si>
    <t>nbtzyy2</t>
  </si>
  <si>
    <t>Heart #085</t>
  </si>
  <si>
    <t>taska1981</t>
  </si>
  <si>
    <t>Heart #086</t>
  </si>
  <si>
    <t>lison55</t>
  </si>
  <si>
    <t>Heart #087</t>
  </si>
  <si>
    <t>Heart #088</t>
  </si>
  <si>
    <t xml:space="preserve">claireth </t>
  </si>
  <si>
    <t>Heart #089</t>
  </si>
  <si>
    <t>Heart #090</t>
  </si>
  <si>
    <t>Heart #091</t>
  </si>
  <si>
    <t>ivwarrior</t>
  </si>
  <si>
    <t>Heart #092</t>
  </si>
  <si>
    <t>WVKiwi</t>
  </si>
  <si>
    <t>Heart #093</t>
  </si>
  <si>
    <t>Heart #094</t>
  </si>
  <si>
    <t>klc1960</t>
  </si>
  <si>
    <t>Heart #095</t>
  </si>
  <si>
    <t>Heart #096</t>
  </si>
  <si>
    <t>Heart #097</t>
  </si>
  <si>
    <t>c-bn</t>
  </si>
  <si>
    <t>Heart #098</t>
  </si>
  <si>
    <t>cvdchiller</t>
  </si>
  <si>
    <t>Heart #099</t>
  </si>
  <si>
    <t>NoahCache</t>
  </si>
  <si>
    <t>Heart #100</t>
  </si>
  <si>
    <t>PelicanRouge</t>
  </si>
  <si>
    <t>Heart #101</t>
  </si>
  <si>
    <t>mars00xj</t>
  </si>
  <si>
    <t>Heart #102</t>
  </si>
  <si>
    <t>halizwein</t>
  </si>
  <si>
    <t>Heart #103</t>
  </si>
  <si>
    <t>Heart #104</t>
  </si>
  <si>
    <t>Heart #105</t>
  </si>
  <si>
    <t>leesap</t>
  </si>
  <si>
    <t>Heart #106</t>
  </si>
  <si>
    <t>SzymcioT</t>
  </si>
  <si>
    <t>Heart #107</t>
  </si>
  <si>
    <t>Heart #108</t>
  </si>
  <si>
    <t>TMac2</t>
  </si>
  <si>
    <t>Heart #109</t>
  </si>
  <si>
    <t>Majsan</t>
  </si>
  <si>
    <t>Heart #110</t>
  </si>
  <si>
    <t>Heart #111</t>
  </si>
  <si>
    <t>kwd</t>
  </si>
  <si>
    <t>Heart #112</t>
  </si>
  <si>
    <t>destolkjes4ever</t>
  </si>
  <si>
    <t>Heart #113</t>
  </si>
  <si>
    <t>barefootguru</t>
  </si>
  <si>
    <t>Heart #114</t>
  </si>
  <si>
    <t>geckofreund</t>
  </si>
  <si>
    <t>Heart #115</t>
  </si>
  <si>
    <t>mossieman</t>
  </si>
  <si>
    <t>Heart #116</t>
  </si>
  <si>
    <t>Heart #117</t>
  </si>
  <si>
    <t>flipperandco</t>
  </si>
  <si>
    <t>Heart #118</t>
  </si>
  <si>
    <t>Heart #119</t>
  </si>
  <si>
    <t>Heart #120</t>
  </si>
  <si>
    <t>kiitokurre</t>
  </si>
  <si>
    <t>Heart #121</t>
  </si>
  <si>
    <t xml:space="preserve">Centern </t>
  </si>
  <si>
    <t>Heart #122</t>
  </si>
  <si>
    <t>Heart #123</t>
  </si>
  <si>
    <t>jsvetlik</t>
  </si>
  <si>
    <t>Heart #124</t>
  </si>
  <si>
    <t>DogSoft</t>
  </si>
  <si>
    <t>Heart #125</t>
  </si>
  <si>
    <t>SharSv824</t>
  </si>
  <si>
    <t>Heart #126</t>
  </si>
  <si>
    <t>J1Huisman</t>
  </si>
  <si>
    <t>Heart #127</t>
  </si>
  <si>
    <t>Syrtene</t>
  </si>
  <si>
    <t>Heart #128</t>
  </si>
  <si>
    <t>Heart #129</t>
  </si>
  <si>
    <t>Pinkeltje</t>
  </si>
  <si>
    <t>Heart #130</t>
  </si>
  <si>
    <t>Heart #131</t>
  </si>
  <si>
    <t>Heart #132</t>
  </si>
  <si>
    <t>Heart #133</t>
  </si>
  <si>
    <t>Heart #134</t>
  </si>
  <si>
    <t>munzeeprof</t>
  </si>
  <si>
    <t>Heart #135</t>
  </si>
  <si>
    <t>Heart #136</t>
  </si>
  <si>
    <t>lynnslilypad</t>
  </si>
  <si>
    <t>Heart #137</t>
  </si>
  <si>
    <t>Heart #138</t>
  </si>
  <si>
    <t>bambinacattiva</t>
  </si>
  <si>
    <t>Heart #139</t>
  </si>
  <si>
    <t>denali0407</t>
  </si>
  <si>
    <t>Heart #140</t>
  </si>
  <si>
    <t>piesciuk</t>
  </si>
  <si>
    <t>Heart #141</t>
  </si>
  <si>
    <t>lostsole68</t>
  </si>
  <si>
    <t>Heart #142</t>
  </si>
  <si>
    <t>EmeraldAngel</t>
  </si>
  <si>
    <t>Heart #143</t>
  </si>
  <si>
    <t>Heart #144</t>
  </si>
  <si>
    <t>Heart #145</t>
  </si>
  <si>
    <t>Heart #146</t>
  </si>
  <si>
    <t>Heart #147</t>
  </si>
  <si>
    <t>Heart #148</t>
  </si>
  <si>
    <t>Heart #149</t>
  </si>
  <si>
    <t>Heart #150</t>
  </si>
  <si>
    <t>Heart #151</t>
  </si>
  <si>
    <t>Heart #152</t>
  </si>
  <si>
    <t>Heart #153</t>
  </si>
  <si>
    <t>Smith2190</t>
  </si>
  <si>
    <t>Heart #154</t>
  </si>
  <si>
    <t>Heart #155</t>
  </si>
  <si>
    <t>Heart #156</t>
  </si>
  <si>
    <t>Heart #157</t>
  </si>
  <si>
    <t>brandikorte</t>
  </si>
  <si>
    <t>Heart #158</t>
  </si>
  <si>
    <t>Heart #159</t>
  </si>
  <si>
    <t>section42</t>
  </si>
  <si>
    <t>Heart #160</t>
  </si>
  <si>
    <t>TSwag</t>
  </si>
  <si>
    <t>Heart #161</t>
  </si>
  <si>
    <t>Heart #162</t>
  </si>
  <si>
    <t>CambridgeHannons</t>
  </si>
  <si>
    <t>Heart #163</t>
  </si>
  <si>
    <t>&lt;-- HIDE ROW ONCE SET --&gt;</t>
  </si>
  <si>
    <t>Number of top contributors to show:</t>
  </si>
  <si>
    <t>Coordination chat URL:</t>
  </si>
  <si>
    <t>https://discord.me/Munzee</t>
  </si>
  <si>
    <t>Map link URL:</t>
  </si>
  <si>
    <t>https://www.munzee.com/map/f247p4yzh/17</t>
  </si>
  <si>
    <t>Rockland Heart</t>
  </si>
  <si>
    <t>TOTAL</t>
  </si>
  <si>
    <t>Heart shaped garden in Rockland, Ontario, Canada</t>
  </si>
  <si>
    <t>Virual color</t>
  </si>
  <si>
    <t>Amount</t>
  </si>
  <si>
    <t>Available</t>
  </si>
  <si>
    <t>% done</t>
  </si>
  <si>
    <t>Insert screenshot from VGP
with no crosshairs as a drawing here.</t>
  </si>
  <si>
    <t>Pin Name</t>
  </si>
  <si>
    <t>Type</t>
  </si>
  <si>
    <t>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</si>
</sst>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00"/>
    <numFmt numFmtId="165" formatCode="mmm d"/>
  </numFmts>
  <fonts count="24">
    <font>
      <sz val="10.0"/>
      <color rgb="FF000000"/>
      <name val="Arial"/>
    </font>
    <font>
      <b/>
      <sz val="12.0"/>
      <name val="Arial"/>
    </font>
    <font/>
    <font>
      <sz val="11.0"/>
      <name val="Calibri"/>
    </font>
    <font>
      <color rgb="FF0000FF"/>
    </font>
    <font>
      <i/>
    </font>
    <font>
      <u/>
    </font>
    <font>
      <u/>
    </font>
    <font>
      <b/>
      <strike/>
    </font>
    <font>
      <name val="Roboto"/>
    </font>
    <font>
      <u/>
      <color rgb="FF0000FF"/>
    </font>
    <font>
      <u/>
      <color rgb="FF1155CC"/>
    </font>
    <font>
      <b/>
      <sz val="18.0"/>
    </font>
    <font>
      <b/>
      <u/>
      <sz val="14.0"/>
      <color rgb="FF0000FF"/>
    </font>
    <font>
      <b/>
      <sz val="14.0"/>
      <name val="Arial"/>
    </font>
    <font>
      <b/>
      <i/>
      <sz val="14.0"/>
      <name val="Arial"/>
    </font>
    <font>
      <b/>
      <sz val="18.0"/>
      <name val="Arial"/>
    </font>
    <font>
      <b/>
      <sz val="18.0"/>
      <name val="Oxygen"/>
    </font>
    <font>
      <b/>
      <sz val="11.0"/>
      <name val="Oxygen"/>
    </font>
    <font>
      <b/>
      <name val="Oxygen"/>
    </font>
    <font>
      <b/>
      <color rgb="FFFFFFFF"/>
      <name val="Oxygen"/>
    </font>
    <font>
      <name val="Arial"/>
    </font>
    <font>
      <b/>
      <sz val="11.0"/>
      <name val="Calibri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3">
    <border/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3" numFmtId="164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0" fillId="0" fontId="2" numFmtId="165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11" numFmtId="0" xfId="0" applyAlignment="1" applyFont="1">
      <alignment horizontal="left" readingOrder="0" vertic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2" fillId="2" fontId="14" numFmtId="0" xfId="0" applyAlignment="1" applyBorder="1" applyFill="1" applyFont="1">
      <alignment horizontal="center" vertical="bottom"/>
    </xf>
    <xf borderId="3" fillId="0" fontId="14" numFmtId="3" xfId="0" applyAlignment="1" applyBorder="1" applyFont="1" applyNumberFormat="1">
      <alignment horizontal="center" vertical="bottom"/>
    </xf>
    <xf borderId="3" fillId="0" fontId="15" numFmtId="10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 readingOrder="0" shrinkToFit="0" vertical="center" wrapText="1"/>
    </xf>
    <xf borderId="4" fillId="2" fontId="16" numFmtId="0" xfId="0" applyAlignment="1" applyBorder="1" applyFont="1">
      <alignment horizontal="center" vertical="center"/>
    </xf>
    <xf borderId="5" fillId="2" fontId="16" numFmtId="0" xfId="0" applyAlignment="1" applyBorder="1" applyFon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1" fillId="0" fontId="2" numFmtId="0" xfId="0" applyBorder="1" applyFont="1"/>
    <xf borderId="6" fillId="0" fontId="17" numFmtId="0" xfId="0" applyAlignment="1" applyBorder="1" applyFont="1">
      <alignment horizontal="center" vertical="center"/>
    </xf>
    <xf borderId="7" fillId="0" fontId="2" numFmtId="0" xfId="0" applyBorder="1" applyFont="1"/>
    <xf borderId="8" fillId="0" fontId="18" numFmtId="0" xfId="0" applyAlignment="1" applyBorder="1" applyFont="1">
      <alignment horizontal="center" vertical="center"/>
    </xf>
    <xf borderId="9" fillId="0" fontId="19" numFmtId="0" xfId="0" applyAlignment="1" applyBorder="1" applyFont="1">
      <alignment horizontal="center" vertical="center"/>
    </xf>
    <xf borderId="10" fillId="0" fontId="19" numFmtId="0" xfId="0" applyAlignment="1" applyBorder="1" applyFont="1">
      <alignment horizontal="center" vertical="center"/>
    </xf>
    <xf borderId="11" fillId="3" fontId="20" numFmtId="0" xfId="0" applyAlignment="1" applyBorder="1" applyFill="1" applyFont="1">
      <alignment horizontal="center" vertical="center"/>
    </xf>
    <xf borderId="0" fillId="3" fontId="20" numFmtId="0" xfId="0" applyAlignment="1" applyFont="1">
      <alignment horizontal="center" vertical="center"/>
    </xf>
    <xf borderId="12" fillId="3" fontId="20" numFmtId="0" xfId="0" applyAlignment="1" applyBorder="1" applyFont="1">
      <alignment horizontal="center" vertical="center"/>
    </xf>
    <xf borderId="11" fillId="4" fontId="20" numFmtId="0" xfId="0" applyAlignment="1" applyBorder="1" applyFill="1" applyFont="1">
      <alignment horizontal="center" vertical="center"/>
    </xf>
    <xf borderId="0" fillId="4" fontId="20" numFmtId="0" xfId="0" applyAlignment="1" applyFont="1">
      <alignment horizontal="center" vertical="center"/>
    </xf>
    <xf borderId="12" fillId="4" fontId="20" numFmtId="0" xfId="0" applyAlignment="1" applyBorder="1" applyFont="1">
      <alignment horizontal="center" vertical="center"/>
    </xf>
    <xf borderId="11" fillId="5" fontId="19" numFmtId="0" xfId="0" applyAlignment="1" applyBorder="1" applyFill="1" applyFont="1">
      <alignment horizontal="center" vertical="center"/>
    </xf>
    <xf borderId="0" fillId="5" fontId="19" numFmtId="0" xfId="0" applyAlignment="1" applyFont="1">
      <alignment horizontal="center" vertical="center"/>
    </xf>
    <xf borderId="12" fillId="5" fontId="19" numFmtId="0" xfId="0" applyAlignment="1" applyBorder="1" applyFont="1">
      <alignment horizontal="center" vertical="center"/>
    </xf>
    <xf borderId="11" fillId="6" fontId="21" numFmtId="0" xfId="0" applyAlignment="1" applyBorder="1" applyFill="1" applyFont="1">
      <alignment horizontal="center" vertical="center"/>
    </xf>
    <xf borderId="0" fillId="6" fontId="21" numFmtId="0" xfId="0" applyAlignment="1" applyFont="1">
      <alignment horizontal="center" vertical="center"/>
    </xf>
    <xf borderId="12" fillId="6" fontId="21" numFmtId="0" xfId="0" applyAlignment="1" applyBorder="1" applyFont="1">
      <alignment horizontal="center" vertical="center"/>
    </xf>
    <xf borderId="11" fillId="7" fontId="21" numFmtId="0" xfId="0" applyAlignment="1" applyBorder="1" applyFill="1" applyFont="1">
      <alignment horizontal="center" vertical="center"/>
    </xf>
    <xf borderId="0" fillId="7" fontId="21" numFmtId="0" xfId="0" applyAlignment="1" applyFont="1">
      <alignment horizontal="center" vertical="center"/>
    </xf>
    <xf borderId="12" fillId="7" fontId="21" numFmtId="0" xfId="0" applyAlignment="1" applyBorder="1" applyFont="1">
      <alignment horizontal="center" vertical="center"/>
    </xf>
    <xf borderId="11" fillId="0" fontId="21" numFmtId="0" xfId="0" applyAlignment="1" applyBorder="1" applyFont="1">
      <alignment horizontal="center" vertical="center"/>
    </xf>
    <xf borderId="0" fillId="0" fontId="21" numFmtId="0" xfId="0" applyAlignment="1" applyFont="1">
      <alignment horizontal="center" vertical="center"/>
    </xf>
    <xf borderId="12" fillId="0" fontId="21" numFmtId="0" xfId="0" applyAlignment="1" applyBorder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22" numFmtId="164" xfId="0" applyAlignment="1" applyFont="1" applyNumberFormat="1">
      <alignment horizontal="center" vertical="center"/>
    </xf>
    <xf borderId="0" fillId="0" fontId="22" numFmtId="0" xfId="0" applyAlignment="1" applyFont="1">
      <alignment horizontal="center" readingOrder="0" vertical="center"/>
    </xf>
    <xf borderId="0" fillId="0" fontId="23" numFmtId="0" xfId="0" applyAlignment="1" applyFont="1">
      <alignment horizontal="center" vertical="center"/>
    </xf>
  </cellXfs>
  <cellStyles count="1">
    <cellStyle xfId="0" name="Normal" builtinId="0"/>
  </cellStyles>
  <dxfs count="81">
    <dxf>
      <font>
        <b/>
        <color rgb="FFFFFF00"/>
      </font>
      <fill>
        <patternFill patternType="solid">
          <fgColor rgb="FFFF0000"/>
          <bgColor rgb="FFFF0000"/>
        </patternFill>
      </fill>
      <border/>
    </dxf>
    <dxf>
      <font>
        <b/>
        <strike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A692A"/>
          <bgColor rgb="FFEA692A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95918C"/>
          <bgColor rgb="FF95918C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>
        <color rgb="FF000000"/>
      </font>
      <fill>
        <patternFill patternType="solid">
          <fgColor rgb="FFE6A8D7"/>
          <bgColor rgb="FFE6A8D7"/>
        </patternFill>
      </fill>
      <border/>
    </dxf>
    <dxf>
      <font>
        <color rgb="FF000000"/>
      </font>
      <fill>
        <patternFill patternType="solid">
          <fgColor rgb="FFCDA4DE"/>
          <bgColor rgb="FFCDA4DE"/>
        </patternFill>
      </fill>
      <border/>
    </dxf>
    <dxf>
      <font>
        <color rgb="FFFFFFFF"/>
      </font>
      <fill>
        <patternFill patternType="solid">
          <fgColor rgb="FF9D81BA"/>
          <bgColor rgb="FF9D81BA"/>
        </patternFill>
      </fill>
      <border/>
    </dxf>
    <dxf>
      <font>
        <color rgb="FFFFFFFF"/>
      </font>
      <fill>
        <patternFill patternType="solid">
          <fgColor rgb="FF926EAE"/>
          <bgColor rgb="FF926EAE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>
        <color rgb="FFFFFFFF"/>
      </font>
      <fill>
        <patternFill patternType="solid">
          <fgColor rgb="FF7366BD"/>
          <bgColor rgb="FF7366BD"/>
        </patternFill>
      </fill>
      <border/>
    </dxf>
    <dxf>
      <font>
        <color rgb="FFFFFFFF"/>
      </font>
      <fill>
        <patternFill patternType="solid">
          <fgColor rgb="FF5D76CB"/>
          <bgColor rgb="FF5D76CB"/>
        </patternFill>
      </fill>
      <border/>
    </dxf>
    <dxf>
      <font>
        <color rgb="FFFFFFFF"/>
      </font>
      <fill>
        <patternFill patternType="solid">
          <fgColor rgb="FF1F75FE"/>
          <bgColor rgb="FF1F75FE"/>
        </patternFill>
      </fill>
      <border/>
    </dxf>
    <dxf>
      <font/>
      <fill>
        <patternFill patternType="solid">
          <fgColor rgb="FFB0B7C6"/>
          <bgColor rgb="FFB0B7C6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/>
      <fill>
        <patternFill patternType="solid">
          <fgColor rgb="FF9ACEEB"/>
          <bgColor rgb="FF9ACEEB"/>
        </patternFill>
      </fill>
      <border/>
    </dxf>
    <dxf>
      <font/>
      <fill>
        <patternFill patternType="solid">
          <fgColor rgb="FF199EBD"/>
          <bgColor rgb="FF199EBD"/>
        </patternFill>
      </fill>
      <border/>
    </dxf>
    <dxf>
      <font/>
      <fill>
        <patternFill patternType="solid">
          <fgColor rgb="FF1CA9C9"/>
          <bgColor rgb="FF1CA9C9"/>
        </patternFill>
      </fill>
      <border/>
    </dxf>
    <dxf>
      <font/>
      <fill>
        <patternFill patternType="solid">
          <fgColor rgb="FF1DACD6"/>
          <bgColor rgb="FF1DACD6"/>
        </patternFill>
      </fill>
      <border/>
    </dxf>
    <dxf>
      <font/>
      <fill>
        <patternFill patternType="solid">
          <fgColor rgb="FF1FCECB"/>
          <bgColor rgb="FF1FCECB"/>
        </patternFill>
      </fill>
      <border/>
    </dxf>
    <dxf>
      <font/>
      <fill>
        <patternFill patternType="solid">
          <fgColor rgb="FF77DDE7"/>
          <bgColor rgb="FF77DDE7"/>
        </patternFill>
      </fill>
      <border/>
    </dxf>
    <dxf>
      <font/>
      <fill>
        <patternFill patternType="solid">
          <fgColor rgb="FF9FE2BF"/>
          <bgColor rgb="FF9FE2BF"/>
        </patternFill>
      </fill>
      <border/>
    </dxf>
    <dxf>
      <font/>
      <fill>
        <patternFill patternType="solid">
          <fgColor rgb="FFA8E4A0"/>
          <bgColor rgb="FFA8E4A0"/>
        </patternFill>
      </fill>
      <border/>
    </dxf>
    <dxf>
      <font/>
      <fill>
        <patternFill patternType="solid">
          <fgColor rgb="FF1CAC78"/>
          <bgColor rgb="FF1CAC78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/>
      <fill>
        <patternFill patternType="solid">
          <fgColor rgb="FFBAB86C"/>
          <bgColor rgb="FFBAB86C"/>
        </patternFill>
      </fill>
      <border/>
    </dxf>
    <dxf>
      <font/>
      <fill>
        <patternFill patternType="solid">
          <fgColor rgb="FFC5E384"/>
          <bgColor rgb="FFC5E384"/>
        </patternFill>
      </fill>
      <border/>
    </dxf>
    <dxf>
      <font/>
      <fill>
        <patternFill patternType="solid">
          <fgColor rgb="FFF0E891"/>
          <bgColor rgb="FFF0E891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E7C697"/>
          <bgColor rgb="FFE7C697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FFD975"/>
          <bgColor rgb="FFFFD975"/>
        </patternFill>
      </fill>
      <border/>
    </dxf>
    <dxf>
      <font/>
      <fill>
        <patternFill patternType="solid">
          <fgColor rgb="FFFDDB6D"/>
          <bgColor rgb="FFFDDB6D"/>
        </patternFill>
      </fill>
      <border/>
    </dxf>
    <dxf>
      <font/>
      <fill>
        <patternFill patternType="solid">
          <fgColor rgb="FFFF7F49"/>
          <bgColor rgb="FFFF7F49"/>
        </patternFill>
      </fill>
      <border/>
    </dxf>
    <dxf>
      <font/>
      <fill>
        <patternFill patternType="solid">
          <fgColor rgb="FFFFB653"/>
          <bgColor rgb="FFFFB653"/>
        </patternFill>
      </fill>
      <border/>
    </dxf>
    <dxf>
      <font/>
      <fill>
        <patternFill patternType="solid">
          <fgColor rgb="FFFDBCB4"/>
          <bgColor rgb="FFFDBCB4"/>
        </patternFill>
      </fill>
      <border/>
    </dxf>
    <dxf>
      <font/>
      <fill>
        <patternFill patternType="solid">
          <fgColor rgb="FFFCB3D5"/>
          <bgColor rgb="FFFCB3D5"/>
        </patternFill>
      </fill>
      <border/>
    </dxf>
    <dxf>
      <font/>
      <fill>
        <patternFill patternType="solid">
          <fgColor rgb="FFFFAACC"/>
          <bgColor rgb="FFFFAACC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9BAA"/>
          <bgColor rgb="FFFF9BAA"/>
        </patternFill>
      </fill>
      <border/>
    </dxf>
    <dxf>
      <font/>
      <fill>
        <patternFill patternType="solid">
          <fgColor rgb="FFFC89AC"/>
          <bgColor rgb="FFFC89AC"/>
        </patternFill>
      </fill>
      <border/>
    </dxf>
    <dxf>
      <font/>
      <fill>
        <patternFill patternType="solid">
          <fgColor rgb="FFF664AF"/>
          <bgColor rgb="FFF664AF"/>
        </patternFill>
      </fill>
      <border/>
    </dxf>
    <dxf>
      <font/>
      <fill>
        <patternFill patternType="solid">
          <fgColor rgb="FFFF43A4"/>
          <bgColor rgb="FFFF43A4"/>
        </patternFill>
      </fill>
      <border/>
    </dxf>
    <dxf>
      <font/>
      <fill>
        <patternFill patternType="solid">
          <fgColor rgb="FFF75394"/>
          <bgColor rgb="FFF75394"/>
        </patternFill>
      </fill>
      <border/>
    </dxf>
    <dxf>
      <font/>
      <fill>
        <patternFill patternType="solid">
          <fgColor rgb="FFC0448F"/>
          <bgColor rgb="FFC0448F"/>
        </patternFill>
      </fill>
      <border/>
    </dxf>
    <dxf>
      <font/>
      <fill>
        <patternFill patternType="solid">
          <fgColor rgb="FFFDD9B5"/>
          <bgColor rgb="FFFDD9B5"/>
        </patternFill>
      </fill>
      <border/>
    </dxf>
    <dxf>
      <font/>
      <fill>
        <patternFill patternType="solid">
          <fgColor rgb="FFFFCFAB"/>
          <bgColor rgb="FFFFCFAB"/>
        </patternFill>
      </fill>
      <border/>
    </dxf>
    <dxf>
      <font/>
      <fill>
        <patternFill patternType="solid">
          <fgColor rgb="FFFFBD88"/>
          <bgColor rgb="FFFFBD88"/>
        </patternFill>
      </fill>
      <border/>
    </dxf>
    <dxf>
      <font/>
      <fill>
        <patternFill patternType="solid">
          <fgColor rgb="FFFAA76C"/>
          <bgColor rgb="FFFAA76C"/>
        </patternFill>
      </fill>
      <border/>
    </dxf>
    <dxf>
      <font/>
      <fill>
        <patternFill patternType="solid">
          <fgColor rgb="FFEA7E5D"/>
          <bgColor rgb="FFEA7E5D"/>
        </patternFill>
      </fill>
      <border/>
    </dxf>
    <dxf>
      <font/>
      <fill>
        <patternFill patternType="solid">
          <fgColor rgb="FFFD7C6E"/>
          <bgColor rgb="FFFD7C6E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F22847"/>
          <bgColor rgb="FFF22847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CD4A4A"/>
          <bgColor rgb="FFCD4A4A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/>
      <fill>
        <patternFill patternType="solid">
          <fgColor rgb="FFDEAA88"/>
          <bgColor rgb="FFDEAA88"/>
        </patternFill>
      </fill>
      <border/>
    </dxf>
    <dxf>
      <font/>
      <fill>
        <patternFill patternType="solid">
          <fgColor rgb="FFD68A59"/>
          <bgColor rgb="FFD68A59"/>
        </patternFill>
      </fill>
      <border/>
    </dxf>
    <dxf>
      <font/>
      <fill>
        <patternFill patternType="solid">
          <fgColor rgb="FFB4674D"/>
          <bgColor rgb="FFB4674D"/>
        </patternFill>
      </fill>
      <border/>
    </dxf>
    <dxf>
      <font>
        <b/>
        <i/>
      </font>
      <fill>
        <patternFill patternType="solid">
          <fgColor rgb="FFFF7538"/>
          <bgColor rgb="FFFF7538"/>
        </patternFill>
      </fill>
      <border/>
    </dxf>
    <dxf>
      <font>
        <b/>
        <i/>
        <color rgb="FFFFFFFF"/>
      </font>
      <fill>
        <patternFill patternType="solid">
          <fgColor rgb="FF1CAC78"/>
          <bgColor rgb="FF1CAC78"/>
        </patternFill>
      </fill>
      <border/>
    </dxf>
    <dxf>
      <font>
        <b/>
        <i/>
        <color rgb="FFFFFFFF"/>
      </font>
      <fill>
        <patternFill patternType="solid">
          <fgColor rgb="FFB4674D"/>
          <bgColor rgb="FFB4674D"/>
        </patternFill>
      </fill>
      <border/>
    </dxf>
    <dxf>
      <font>
        <b/>
        <i/>
        <color rgb="FF000000"/>
      </font>
      <fill>
        <patternFill patternType="solid">
          <fgColor rgb="FFFCE883"/>
          <bgColor rgb="FFFCE883"/>
        </patternFill>
      </fill>
      <border/>
    </dxf>
    <dxf>
      <font>
        <b/>
        <i/>
        <color rgb="FF000000"/>
      </font>
      <fill>
        <patternFill patternType="solid">
          <fgColor rgb="FFFF5349"/>
          <bgColor rgb="FFFF5349"/>
        </patternFill>
      </fill>
      <border/>
    </dxf>
    <dxf>
      <font>
        <b/>
        <i/>
        <color rgb="FFFFFFFF"/>
      </font>
      <fill>
        <patternFill patternType="solid">
          <fgColor rgb="FFBC5D58"/>
          <bgColor rgb="FFBC5D58"/>
        </patternFill>
      </fill>
      <border/>
    </dxf>
    <dxf>
      <font>
        <b/>
        <color rgb="FFFFFFFF"/>
      </font>
      <fill>
        <patternFill patternType="solid">
          <fgColor rgb="FF5B0F00"/>
          <bgColor rgb="FF5B0F00"/>
        </patternFill>
      </fill>
      <border/>
    </dxf>
    <dxf>
      <font>
        <b/>
        <i/>
      </font>
      <fill>
        <patternFill patternType="solid">
          <fgColor rgb="FFFFFF00"/>
          <bgColor rgb="FFFFFF00"/>
        </patternFill>
      </fill>
      <border/>
    </dxf>
    <dxf>
      <font>
        <b/>
        <i/>
        <color rgb="FFFFFFFF"/>
      </font>
      <fill>
        <patternFill patternType="solid">
          <fgColor rgb="FF232323"/>
          <bgColor rgb="FF232323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980000"/>
          <bgColor rgb="FF980000"/>
        </patternFill>
      </fill>
      <border/>
    </dxf>
    <dxf>
      <font>
        <i/>
      </font>
      <fill>
        <patternFill patternType="solid">
          <fgColor rgb="FFFFFF00"/>
          <bgColor rgb="FFFFFF00"/>
        </patternFill>
      </fill>
      <border/>
    </dxf>
    <dxf>
      <font>
        <b/>
        <i/>
        <color rgb="FF980000"/>
      </font>
      <fill>
        <patternFill patternType="solid">
          <fgColor rgb="FFFFFF00"/>
          <bgColor rgb="FFFFFF00"/>
        </patternFill>
      </fill>
      <border/>
    </dxf>
    <dxf>
      <font>
        <b/>
        <color rgb="FFFFFF00"/>
      </font>
      <fill>
        <patternFill patternType="solid">
          <fgColor rgb="FF5B0F00"/>
          <bgColor rgb="FF5B0F00"/>
        </patternFill>
      </fill>
      <border/>
    </dxf>
    <dxf>
      <font>
        <b/>
        <u/>
        <color rgb="FFFFFFFF"/>
      </font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8</xdr:row>
      <xdr:rowOff>200025</xdr:rowOff>
    </xdr:from>
    <xdr:ext cx="4191000" cy="3581400"/>
    <xdr:grpSp>
      <xdr:nvGrpSpPr>
        <xdr:cNvPr id="2" name="Shape 2" title="Drawing"/>
        <xdr:cNvGrpSpPr/>
      </xdr:nvGrpSpPr>
      <xdr:grpSpPr>
        <a:xfrm>
          <a:off x="152400" y="152400"/>
          <a:ext cx="7667625" cy="6524625"/>
          <a:chOff x="152400" y="152400"/>
          <a:chExt cx="7667625" cy="6524625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7667625" cy="6524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me/Munzee" TargetMode="External"/><Relationship Id="rId2" Type="http://schemas.openxmlformats.org/officeDocument/2006/relationships/hyperlink" Target="https://www.munzee.com/map/f247p4yzh/17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2" width="5.13"/>
    <col customWidth="1" min="3" max="3" width="8.25"/>
    <col customWidth="1" min="4" max="4" width="15.0"/>
    <col customWidth="1" min="5" max="5" width="15.63"/>
    <col customWidth="1" min="6" max="6" width="17.13"/>
    <col customWidth="1" hidden="1" min="7" max="7" width="11.75"/>
    <col customWidth="1" min="8" max="8" width="17.38"/>
    <col customWidth="1" min="9" max="9" width="9.13"/>
    <col customWidth="1" min="10" max="10" width="22.25"/>
    <col customWidth="1" min="11" max="11" width="9.13"/>
    <col customWidth="1" min="12" max="12" width="63.75"/>
    <col customWidth="1" min="13" max="13" width="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r="2">
      <c r="A2" s="4" t="s">
        <v>13</v>
      </c>
      <c r="B2" s="5">
        <v>1.0</v>
      </c>
      <c r="C2" s="5">
        <v>4.0</v>
      </c>
      <c r="D2" s="6">
        <v>45.5447333608857</v>
      </c>
      <c r="E2" s="6">
        <v>-75.2700075634346</v>
      </c>
      <c r="F2" s="5" t="s">
        <v>14</v>
      </c>
      <c r="G2" s="5" t="s">
        <v>15</v>
      </c>
      <c r="H2" s="7" t="s">
        <v>16</v>
      </c>
      <c r="I2" s="7">
        <v>643.0</v>
      </c>
      <c r="J2" s="8" t="str">
        <f>IFERROR(__xludf.DUMMYFUNCTION("IF(AND(REGEXMATCH($H2,""50( ?['fF]([oO]{2})?[tT]?)?( ?[eE][rR]{2}[oO][rR])"")=FALSE,$H2&lt;&gt;"""",$I2&lt;&gt;""""),HYPERLINK(""https://www.munzee.com/m/""&amp;$H2&amp;""/""&amp;$I2&amp;""/map/?lat=""&amp;$D2&amp;""&amp;lon=""&amp;$E2&amp;""&amp;type=""&amp;$F2&amp;""&amp;name=""&amp;SUBSTITUTE($A2,""#"",""%23""),$H2&amp;""/"&amp;"""&amp;$I2),IF($H2&lt;&gt;"""",IF(REGEXMATCH($H2,""50( ?['fF]([oO]{2})?[tT]?)?( ?[eE][rR]{2}[oO][rR])""),HYPERLINK(""https://www.munzee.com/map/?sandbox=1&amp;lat=""&amp;$D2&amp;""&amp;lon=""&amp;$E2&amp;""&amp;name=""&amp;SUBSTITUTE($A2,""#"",""%23""),""SANDBOX""),HYPERLINK(""https://www.munzee."&amp;"com/m/""&amp;$H2&amp;""/deploys/0/type/""&amp;IFNA(VLOOKUP($G2,IMPORTRANGE(""https://docs.google.com/spreadsheets/d/1DliIGyDywdzxhd4svtjaewR0p9Y5UBTMNMQ2PcXsqss"",""type data!E2:F""),2,FALSE),$F2)&amp;""/"",$H2)),""""))"),"Heluna/643")</f>
        <v>Heluna/643</v>
      </c>
      <c r="K2" s="9" t="b">
        <v>1</v>
      </c>
      <c r="L2" s="4"/>
      <c r="M2" s="10">
        <f t="shared" ref="M2:M164" si="1">IF($H2="","",COUNTIFS($H$2:$H164,"="&amp;$H2,$K$2:$K164,TRUE))</f>
        <v>5</v>
      </c>
    </row>
    <row r="3">
      <c r="A3" s="4" t="s">
        <v>17</v>
      </c>
      <c r="B3" s="5">
        <v>1.0</v>
      </c>
      <c r="C3" s="5">
        <v>5.0</v>
      </c>
      <c r="D3" s="6">
        <v>45.5447333607019</v>
      </c>
      <c r="E3" s="6">
        <v>-75.2698023374802</v>
      </c>
      <c r="F3" s="5" t="s">
        <v>14</v>
      </c>
      <c r="G3" s="5" t="s">
        <v>15</v>
      </c>
      <c r="H3" s="7" t="s">
        <v>18</v>
      </c>
      <c r="I3" s="7">
        <v>17739.0</v>
      </c>
      <c r="J3" s="8" t="str">
        <f>IFERROR(__xludf.DUMMYFUNCTION("IF(AND(REGEXMATCH($H3,""50( ?['fF]([oO]{2})?[tT]?)?( ?[eE][rR]{2}[oO][rR])"")=FALSE,$H3&lt;&gt;"""",$I3&lt;&gt;""""),HYPERLINK(""https://www.munzee.com/m/""&amp;$H3&amp;""/""&amp;$I3&amp;""/map/?lat=""&amp;$D3&amp;""&amp;lon=""&amp;$E3&amp;""&amp;type=""&amp;$F3&amp;""&amp;name=""&amp;SUBSTITUTE($A3,""#"",""%23""),$H3&amp;""/"&amp;"""&amp;$I3),IF($H3&lt;&gt;"""",IF(REGEXMATCH($H3,""50( ?['fF]([oO]{2})?[tT]?)?( ?[eE][rR]{2}[oO][rR])""),HYPERLINK(""https://www.munzee.com/map/?sandbox=1&amp;lat=""&amp;$D3&amp;""&amp;lon=""&amp;$E3&amp;""&amp;name=""&amp;SUBSTITUTE($A3,""#"",""%23""),""SANDBOX""),HYPERLINK(""https://www.munzee."&amp;"com/m/""&amp;$H3&amp;""/deploys/0/type/""&amp;IFNA(VLOOKUP($G3,IMPORTRANGE(""https://docs.google.com/spreadsheets/d/1DliIGyDywdzxhd4svtjaewR0p9Y5UBTMNMQ2PcXsqss"",""type data!E2:F""),2,FALSE),$F3)&amp;""/"",$H3)),""""))"),"humbird7/17739")</f>
        <v>humbird7/17739</v>
      </c>
      <c r="K3" s="9" t="b">
        <v>1</v>
      </c>
      <c r="L3" s="4"/>
      <c r="M3" s="10">
        <f t="shared" si="1"/>
        <v>2</v>
      </c>
    </row>
    <row r="4">
      <c r="A4" s="4" t="s">
        <v>19</v>
      </c>
      <c r="B4" s="5">
        <v>1.0</v>
      </c>
      <c r="C4" s="5">
        <v>6.0</v>
      </c>
      <c r="D4" s="6">
        <v>45.5447333605182</v>
      </c>
      <c r="E4" s="6">
        <v>-75.2695971115258</v>
      </c>
      <c r="F4" s="5" t="s">
        <v>14</v>
      </c>
      <c r="G4" s="5" t="s">
        <v>15</v>
      </c>
      <c r="H4" s="7" t="s">
        <v>20</v>
      </c>
      <c r="I4" s="11">
        <v>9637.0</v>
      </c>
      <c r="J4" s="8" t="str">
        <f>IFERROR(__xludf.DUMMYFUNCTION("IF(AND(REGEXMATCH($H4,""50( ?['fF]([oO]{2})?[tT]?)?( ?[eE][rR]{2}[oO][rR])"")=FALSE,$H4&lt;&gt;"""",$I4&lt;&gt;""""),HYPERLINK(""https://www.munzee.com/m/""&amp;$H4&amp;""/""&amp;$I4&amp;""/map/?lat=""&amp;$D4&amp;""&amp;lon=""&amp;$E4&amp;""&amp;type=""&amp;$F4&amp;""&amp;name=""&amp;SUBSTITUTE($A4,""#"",""%23""),$H4&amp;""/"&amp;"""&amp;$I4),IF($H4&lt;&gt;"""",IF(REGEXMATCH($H4,""50( ?['fF]([oO]{2})?[tT]?)?( ?[eE][rR]{2}[oO][rR])""),HYPERLINK(""https://www.munzee.com/map/?sandbox=1&amp;lat=""&amp;$D4&amp;""&amp;lon=""&amp;$E4&amp;""&amp;name=""&amp;SUBSTITUTE($A4,""#"",""%23""),""SANDBOX""),HYPERLINK(""https://www.munzee."&amp;"com/m/""&amp;$H4&amp;""/deploys/0/type/""&amp;IFNA(VLOOKUP($G4,IMPORTRANGE(""https://docs.google.com/spreadsheets/d/1DliIGyDywdzxhd4svtjaewR0p9Y5UBTMNMQ2PcXsqss"",""type data!E2:F""),2,FALSE),$F4)&amp;""/"",$H4)),""""))"),"DarthMaulMax/9637")</f>
        <v>DarthMaulMax/9637</v>
      </c>
      <c r="K4" s="9" t="b">
        <v>1</v>
      </c>
      <c r="L4" s="4"/>
      <c r="M4" s="10">
        <f t="shared" si="1"/>
        <v>2</v>
      </c>
    </row>
    <row r="5">
      <c r="A5" s="4" t="s">
        <v>21</v>
      </c>
      <c r="B5" s="5">
        <v>1.0</v>
      </c>
      <c r="C5" s="5">
        <v>7.0</v>
      </c>
      <c r="D5" s="6">
        <v>45.5447333603345</v>
      </c>
      <c r="E5" s="6">
        <v>-75.2693918855714</v>
      </c>
      <c r="F5" s="5" t="s">
        <v>14</v>
      </c>
      <c r="G5" s="5" t="s">
        <v>15</v>
      </c>
      <c r="H5" s="7" t="s">
        <v>22</v>
      </c>
      <c r="I5" s="7">
        <v>8813.0</v>
      </c>
      <c r="J5" s="8" t="str">
        <f>IFERROR(__xludf.DUMMYFUNCTION("IF(AND(REGEXMATCH($H5,""50( ?['fF]([oO]{2})?[tT]?)?( ?[eE][rR]{2}[oO][rR])"")=FALSE,$H5&lt;&gt;"""",$I5&lt;&gt;""""),HYPERLINK(""https://www.munzee.com/m/""&amp;$H5&amp;""/""&amp;$I5&amp;""/map/?lat=""&amp;$D5&amp;""&amp;lon=""&amp;$E5&amp;""&amp;type=""&amp;$F5&amp;""&amp;name=""&amp;SUBSTITUTE($A5,""#"",""%23""),$H5&amp;""/"&amp;"""&amp;$I5),IF($H5&lt;&gt;"""",IF(REGEXMATCH($H5,""50( ?['fF]([oO]{2})?[tT]?)?( ?[eE][rR]{2}[oO][rR])""),HYPERLINK(""https://www.munzee.com/map/?sandbox=1&amp;lat=""&amp;$D5&amp;""&amp;lon=""&amp;$E5&amp;""&amp;name=""&amp;SUBSTITUTE($A5,""#"",""%23""),""SANDBOX""),HYPERLINK(""https://www.munzee."&amp;"com/m/""&amp;$H5&amp;""/deploys/0/type/""&amp;IFNA(VLOOKUP($G5,IMPORTRANGE(""https://docs.google.com/spreadsheets/d/1DliIGyDywdzxhd4svtjaewR0p9Y5UBTMNMQ2PcXsqss"",""type data!E2:F""),2,FALSE),$F5)&amp;""/"",$H5)),""""))"),"rgforsythe/8813")</f>
        <v>rgforsythe/8813</v>
      </c>
      <c r="K5" s="9" t="b">
        <v>1</v>
      </c>
      <c r="L5" s="10"/>
      <c r="M5" s="10">
        <f t="shared" si="1"/>
        <v>1</v>
      </c>
    </row>
    <row r="6">
      <c r="A6" s="4" t="s">
        <v>23</v>
      </c>
      <c r="B6" s="5">
        <v>1.0</v>
      </c>
      <c r="C6" s="5">
        <v>11.0</v>
      </c>
      <c r="D6" s="6">
        <v>45.5447333595995</v>
      </c>
      <c r="E6" s="6">
        <v>-75.2685709817539</v>
      </c>
      <c r="F6" s="5" t="s">
        <v>14</v>
      </c>
      <c r="G6" s="5" t="s">
        <v>15</v>
      </c>
      <c r="H6" s="7" t="s">
        <v>18</v>
      </c>
      <c r="I6" s="7">
        <v>17742.0</v>
      </c>
      <c r="J6" s="8" t="str">
        <f>IFERROR(__xludf.DUMMYFUNCTION("IF(AND(REGEXMATCH($H6,""50( ?['fF]([oO]{2})?[tT]?)?( ?[eE][rR]{2}[oO][rR])"")=FALSE,$H6&lt;&gt;"""",$I6&lt;&gt;""""),HYPERLINK(""https://www.munzee.com/m/""&amp;$H6&amp;""/""&amp;$I6&amp;""/map/?lat=""&amp;$D6&amp;""&amp;lon=""&amp;$E6&amp;""&amp;type=""&amp;$F6&amp;""&amp;name=""&amp;SUBSTITUTE($A6,""#"",""%23""),$H6&amp;""/"&amp;"""&amp;$I6),IF($H6&lt;&gt;"""",IF(REGEXMATCH($H6,""50( ?['fF]([oO]{2})?[tT]?)?( ?[eE][rR]{2}[oO][rR])""),HYPERLINK(""https://www.munzee.com/map/?sandbox=1&amp;lat=""&amp;$D6&amp;""&amp;lon=""&amp;$E6&amp;""&amp;name=""&amp;SUBSTITUTE($A6,""#"",""%23""),""SANDBOX""),HYPERLINK(""https://www.munzee."&amp;"com/m/""&amp;$H6&amp;""/deploys/0/type/""&amp;IFNA(VLOOKUP($G6,IMPORTRANGE(""https://docs.google.com/spreadsheets/d/1DliIGyDywdzxhd4svtjaewR0p9Y5UBTMNMQ2PcXsqss"",""type data!E2:F""),2,FALSE),$F6)&amp;""/"",$H6)),""""))"),"humbird7/17742")</f>
        <v>humbird7/17742</v>
      </c>
      <c r="K6" s="9" t="b">
        <v>1</v>
      </c>
      <c r="L6" s="4"/>
      <c r="M6" s="10">
        <f t="shared" si="1"/>
        <v>2</v>
      </c>
    </row>
    <row r="7">
      <c r="A7" s="4" t="s">
        <v>24</v>
      </c>
      <c r="B7" s="5">
        <v>1.0</v>
      </c>
      <c r="C7" s="5">
        <v>12.0</v>
      </c>
      <c r="D7" s="6">
        <v>45.5447333594157</v>
      </c>
      <c r="E7" s="6">
        <v>-75.2683657557995</v>
      </c>
      <c r="F7" s="5" t="s">
        <v>14</v>
      </c>
      <c r="G7" s="5" t="s">
        <v>15</v>
      </c>
      <c r="H7" s="7" t="s">
        <v>25</v>
      </c>
      <c r="I7" s="7">
        <v>6602.0</v>
      </c>
      <c r="J7" s="8" t="str">
        <f>IFERROR(__xludf.DUMMYFUNCTION("IF(AND(REGEXMATCH($H7,""50( ?['fF]([oO]{2})?[tT]?)?( ?[eE][rR]{2}[oO][rR])"")=FALSE,$H7&lt;&gt;"""",$I7&lt;&gt;""""),HYPERLINK(""https://www.munzee.com/m/""&amp;$H7&amp;""/""&amp;$I7&amp;""/map/?lat=""&amp;$D7&amp;""&amp;lon=""&amp;$E7&amp;""&amp;type=""&amp;$F7&amp;""&amp;name=""&amp;SUBSTITUTE($A7,""#"",""%23""),$H7&amp;""/"&amp;"""&amp;$I7),IF($H7&lt;&gt;"""",IF(REGEXMATCH($H7,""50( ?['fF]([oO]{2})?[tT]?)?( ?[eE][rR]{2}[oO][rR])""),HYPERLINK(""https://www.munzee.com/map/?sandbox=1&amp;lat=""&amp;$D7&amp;""&amp;lon=""&amp;$E7&amp;""&amp;name=""&amp;SUBSTITUTE($A7,""#"",""%23""),""SANDBOX""),HYPERLINK(""https://www.munzee."&amp;"com/m/""&amp;$H7&amp;""/deploys/0/type/""&amp;IFNA(VLOOKUP($G7,IMPORTRANGE(""https://docs.google.com/spreadsheets/d/1DliIGyDywdzxhd4svtjaewR0p9Y5UBTMNMQ2PcXsqss"",""type data!E2:F""),2,FALSE),$F7)&amp;""/"",$H7)),""""))"),"janzattic/6602")</f>
        <v>janzattic/6602</v>
      </c>
      <c r="K7" s="9" t="b">
        <v>1</v>
      </c>
      <c r="M7" s="10">
        <f t="shared" si="1"/>
        <v>1</v>
      </c>
    </row>
    <row r="8">
      <c r="A8" s="4" t="s">
        <v>26</v>
      </c>
      <c r="B8" s="5">
        <v>1.0</v>
      </c>
      <c r="C8" s="5">
        <v>13.0</v>
      </c>
      <c r="D8" s="6">
        <v>45.544733359232</v>
      </c>
      <c r="E8" s="6">
        <v>-75.268160529845</v>
      </c>
      <c r="F8" s="5" t="s">
        <v>14</v>
      </c>
      <c r="G8" s="5" t="s">
        <v>15</v>
      </c>
      <c r="H8" s="12" t="s">
        <v>27</v>
      </c>
      <c r="I8" s="7">
        <v>2062.0</v>
      </c>
      <c r="J8" s="8" t="str">
        <f>IFERROR(__xludf.DUMMYFUNCTION("IF(AND(REGEXMATCH($H8,""50( ?['fF]([oO]{2})?[tT]?)?( ?[eE][rR]{2}[oO][rR])"")=FALSE,$H8&lt;&gt;"""",$I8&lt;&gt;""""),HYPERLINK(""https://www.munzee.com/m/""&amp;$H8&amp;""/""&amp;$I8&amp;""/map/?lat=""&amp;$D8&amp;""&amp;lon=""&amp;$E8&amp;""&amp;type=""&amp;$F8&amp;""&amp;name=""&amp;SUBSTITUTE($A8,""#"",""%23""),$H8&amp;""/"&amp;"""&amp;$I8),IF($H8&lt;&gt;"""",IF(REGEXMATCH($H8,""50( ?['fF]([oO]{2})?[tT]?)?( ?[eE][rR]{2}[oO][rR])""),HYPERLINK(""https://www.munzee.com/map/?sandbox=1&amp;lat=""&amp;$D8&amp;""&amp;lon=""&amp;$E8&amp;""&amp;name=""&amp;SUBSTITUTE($A8,""#"",""%23""),""SANDBOX""),HYPERLINK(""https://www.munzee."&amp;"com/m/""&amp;$H8&amp;""/deploys/0/type/""&amp;IFNA(VLOOKUP($G8,IMPORTRANGE(""https://docs.google.com/spreadsheets/d/1DliIGyDywdzxhd4svtjaewR0p9Y5UBTMNMQ2PcXsqss"",""type data!E2:F""),2,FALSE),$F8)&amp;""/"",$H8)),""""))"),"Buckeyecacher111/2062")</f>
        <v>Buckeyecacher111/2062</v>
      </c>
      <c r="K8" s="9" t="b">
        <v>1</v>
      </c>
      <c r="L8" s="9"/>
      <c r="M8" s="10">
        <f t="shared" si="1"/>
        <v>2</v>
      </c>
    </row>
    <row r="9">
      <c r="A9" s="4" t="s">
        <v>28</v>
      </c>
      <c r="B9" s="5">
        <v>1.0</v>
      </c>
      <c r="C9" s="5">
        <v>14.0</v>
      </c>
      <c r="D9" s="6">
        <v>45.5447333590483</v>
      </c>
      <c r="E9" s="6">
        <v>-75.2679553038907</v>
      </c>
      <c r="F9" s="5" t="s">
        <v>14</v>
      </c>
      <c r="G9" s="5" t="s">
        <v>15</v>
      </c>
      <c r="H9" s="7" t="s">
        <v>29</v>
      </c>
      <c r="I9" s="7">
        <v>950.0</v>
      </c>
      <c r="J9" s="8" t="str">
        <f>IFERROR(__xludf.DUMMYFUNCTION("IF(AND(REGEXMATCH($H9,""50( ?['fF]([oO]{2})?[tT]?)?( ?[eE][rR]{2}[oO][rR])"")=FALSE,$H9&lt;&gt;"""",$I9&lt;&gt;""""),HYPERLINK(""https://www.munzee.com/m/""&amp;$H9&amp;""/""&amp;$I9&amp;""/map/?lat=""&amp;$D9&amp;""&amp;lon=""&amp;$E9&amp;""&amp;type=""&amp;$F9&amp;""&amp;name=""&amp;SUBSTITUTE($A9,""#"",""%23""),$H9&amp;""/"&amp;"""&amp;$I9),IF($H9&lt;&gt;"""",IF(REGEXMATCH($H9,""50( ?['fF]([oO]{2})?[tT]?)?( ?[eE][rR]{2}[oO][rR])""),HYPERLINK(""https://www.munzee.com/map/?sandbox=1&amp;lat=""&amp;$D9&amp;""&amp;lon=""&amp;$E9&amp;""&amp;name=""&amp;SUBSTITUTE($A9,""#"",""%23""),""SANDBOX""),HYPERLINK(""https://www.munzee."&amp;"com/m/""&amp;$H9&amp;""/deploys/0/type/""&amp;IFNA(VLOOKUP($G9,IMPORTRANGE(""https://docs.google.com/spreadsheets/d/1DliIGyDywdzxhd4svtjaewR0p9Y5UBTMNMQ2PcXsqss"",""type data!E2:F""),2,FALSE),$F9)&amp;""/"",$H9)),""""))"),"WinterCheetah/950")</f>
        <v>WinterCheetah/950</v>
      </c>
      <c r="K9" s="9" t="b">
        <v>1</v>
      </c>
      <c r="L9" s="9"/>
      <c r="M9" s="10">
        <f t="shared" si="1"/>
        <v>8</v>
      </c>
    </row>
    <row r="10">
      <c r="A10" s="4" t="s">
        <v>30</v>
      </c>
      <c r="B10" s="5">
        <v>2.0</v>
      </c>
      <c r="C10" s="5">
        <v>3.0</v>
      </c>
      <c r="D10" s="6">
        <v>45.5445896306239</v>
      </c>
      <c r="E10" s="6">
        <v>-75.2702128014576</v>
      </c>
      <c r="F10" s="5" t="s">
        <v>14</v>
      </c>
      <c r="G10" s="5" t="s">
        <v>15</v>
      </c>
      <c r="H10" s="7" t="s">
        <v>31</v>
      </c>
      <c r="I10" s="13">
        <v>355.0</v>
      </c>
      <c r="J10" s="8" t="str">
        <f>IFERROR(__xludf.DUMMYFUNCTION("IF(AND(REGEXMATCH($H10,""50( ?['fF]([oO]{2})?[tT]?)?( ?[eE][rR]{2}[oO][rR])"")=FALSE,$H10&lt;&gt;"""",$I10&lt;&gt;""""),HYPERLINK(""https://www.munzee.com/m/""&amp;$H10&amp;""/""&amp;$I10&amp;""/map/?lat=""&amp;$D10&amp;""&amp;lon=""&amp;$E10&amp;""&amp;type=""&amp;$F10&amp;""&amp;name=""&amp;SUBSTITUTE($A10,""#"",""%23"""&amp;"),$H10&amp;""/""&amp;$I10),IF($H10&lt;&gt;"""",IF(REGEXMATCH($H10,""50( ?['fF]([oO]{2})?[tT]?)?( ?[eE][rR]{2}[oO][rR])""),HYPERLINK(""https://www.munzee.com/map/?sandbox=1&amp;lat=""&amp;$D10&amp;""&amp;lon=""&amp;$E10&amp;""&amp;name=""&amp;SUBSTITUTE($A10,""#"",""%23""),""SANDBOX""),HYPERLINK(""htt"&amp;"ps://www.munzee.com/m/""&amp;$H10&amp;""/deploys/0/type/""&amp;IFNA(VLOOKUP($G10,IMPORTRANGE(""https://docs.google.com/spreadsheets/d/1DliIGyDywdzxhd4svtjaewR0p9Y5UBTMNMQ2PcXsqss"",""type data!E2:F""),2,FALSE),$F10)&amp;""/"",$H10)),""""))"),"rayannchick/355")</f>
        <v>rayannchick/355</v>
      </c>
      <c r="K10" s="9" t="b">
        <v>1</v>
      </c>
      <c r="L10" s="9"/>
      <c r="M10" s="10">
        <f t="shared" si="1"/>
        <v>2</v>
      </c>
    </row>
    <row r="11">
      <c r="A11" s="4" t="s">
        <v>32</v>
      </c>
      <c r="B11" s="5">
        <v>2.0</v>
      </c>
      <c r="C11" s="5">
        <v>4.0</v>
      </c>
      <c r="D11" s="6">
        <v>45.5445896304402</v>
      </c>
      <c r="E11" s="6">
        <v>-75.2700075760279</v>
      </c>
      <c r="F11" s="5" t="s">
        <v>33</v>
      </c>
      <c r="G11" s="5" t="s">
        <v>34</v>
      </c>
      <c r="H11" s="7" t="s">
        <v>35</v>
      </c>
      <c r="I11" s="7">
        <v>9822.0</v>
      </c>
      <c r="J11" s="8" t="str">
        <f>IFERROR(__xludf.DUMMYFUNCTION("IF(AND(REGEXMATCH($H11,""50( ?['fF]([oO]{2})?[tT]?)?( ?[eE][rR]{2}[oO][rR])"")=FALSE,$H11&lt;&gt;"""",$I11&lt;&gt;""""),HYPERLINK(""https://www.munzee.com/m/""&amp;$H11&amp;""/""&amp;$I11&amp;""/map/?lat=""&amp;$D11&amp;""&amp;lon=""&amp;$E11&amp;""&amp;type=""&amp;$F11&amp;""&amp;name=""&amp;SUBSTITUTE($A11,""#"",""%23"""&amp;"),$H11&amp;""/""&amp;$I11),IF($H11&lt;&gt;"""",IF(REGEXMATCH($H11,""50( ?['fF]([oO]{2})?[tT]?)?( ?[eE][rR]{2}[oO][rR])""),HYPERLINK(""https://www.munzee.com/map/?sandbox=1&amp;lat=""&amp;$D11&amp;""&amp;lon=""&amp;$E11&amp;""&amp;name=""&amp;SUBSTITUTE($A11,""#"",""%23""),""SANDBOX""),HYPERLINK(""htt"&amp;"ps://www.munzee.com/m/""&amp;$H11&amp;""/deploys/0/type/""&amp;IFNA(VLOOKUP($G11,IMPORTRANGE(""https://docs.google.com/spreadsheets/d/1DliIGyDywdzxhd4svtjaewR0p9Y5UBTMNMQ2PcXsqss"",""type data!E2:F""),2,FALSE),$F11)&amp;""/"",$H11)),""""))"),"Barrel/9822")</f>
        <v>Barrel/9822</v>
      </c>
      <c r="K11" s="9" t="b">
        <v>1</v>
      </c>
      <c r="L11" s="9"/>
      <c r="M11" s="10">
        <f t="shared" si="1"/>
        <v>3</v>
      </c>
    </row>
    <row r="12">
      <c r="A12" s="4" t="s">
        <v>36</v>
      </c>
      <c r="B12" s="5">
        <v>2.0</v>
      </c>
      <c r="C12" s="5">
        <v>5.0</v>
      </c>
      <c r="D12" s="6">
        <v>45.5445896302564</v>
      </c>
      <c r="E12" s="6">
        <v>-75.2698023505983</v>
      </c>
      <c r="F12" s="5" t="s">
        <v>33</v>
      </c>
      <c r="G12" s="5" t="s">
        <v>34</v>
      </c>
      <c r="H12" s="14" t="s">
        <v>37</v>
      </c>
      <c r="I12" s="7">
        <v>9128.0</v>
      </c>
      <c r="J12" s="8" t="str">
        <f>IFERROR(__xludf.DUMMYFUNCTION("IF(AND(REGEXMATCH($H12,""50( ?['fF]([oO]{2})?[tT]?)?( ?[eE][rR]{2}[oO][rR])"")=FALSE,$H12&lt;&gt;"""",$I12&lt;&gt;""""),HYPERLINK(""https://www.munzee.com/m/""&amp;$H12&amp;""/""&amp;$I12&amp;""/map/?lat=""&amp;$D12&amp;""&amp;lon=""&amp;$E12&amp;""&amp;type=""&amp;$F12&amp;""&amp;name=""&amp;SUBSTITUTE($A12,""#"",""%23"""&amp;"),$H12&amp;""/""&amp;$I12),IF($H12&lt;&gt;"""",IF(REGEXMATCH($H12,""50( ?['fF]([oO]{2})?[tT]?)?( ?[eE][rR]{2}[oO][rR])""),HYPERLINK(""https://www.munzee.com/map/?sandbox=1&amp;lat=""&amp;$D12&amp;""&amp;lon=""&amp;$E12&amp;""&amp;name=""&amp;SUBSTITUTE($A12,""#"",""%23""),""SANDBOX""),HYPERLINK(""htt"&amp;"ps://www.munzee.com/m/""&amp;$H12&amp;""/deploys/0/type/""&amp;IFNA(VLOOKUP($G12,IMPORTRANGE(""https://docs.google.com/spreadsheets/d/1DliIGyDywdzxhd4svtjaewR0p9Y5UBTMNMQ2PcXsqss"",""type data!E2:F""),2,FALSE),$F12)&amp;""/"",$H12)),""""))"),"Debolicious/9128")</f>
        <v>Debolicious/9128</v>
      </c>
      <c r="K12" s="9" t="b">
        <v>1</v>
      </c>
      <c r="L12" s="9"/>
      <c r="M12" s="10">
        <f t="shared" si="1"/>
        <v>1</v>
      </c>
    </row>
    <row r="13">
      <c r="A13" s="4" t="s">
        <v>38</v>
      </c>
      <c r="B13" s="5">
        <v>2.0</v>
      </c>
      <c r="C13" s="5">
        <v>6.0</v>
      </c>
      <c r="D13" s="6">
        <v>45.5445896300727</v>
      </c>
      <c r="E13" s="6">
        <v>-75.2695971251686</v>
      </c>
      <c r="F13" s="5" t="s">
        <v>33</v>
      </c>
      <c r="G13" s="5" t="s">
        <v>34</v>
      </c>
      <c r="H13" s="7" t="s">
        <v>39</v>
      </c>
      <c r="I13" s="13">
        <v>4290.0</v>
      </c>
      <c r="J13" s="8" t="str">
        <f>IFERROR(__xludf.DUMMYFUNCTION("IF(AND(REGEXMATCH($H13,""50( ?['fF]([oO]{2})?[tT]?)?( ?[eE][rR]{2}[oO][rR])"")=FALSE,$H13&lt;&gt;"""",$I13&lt;&gt;""""),HYPERLINK(""https://www.munzee.com/m/""&amp;$H13&amp;""/""&amp;$I13&amp;""/map/?lat=""&amp;$D13&amp;""&amp;lon=""&amp;$E13&amp;""&amp;type=""&amp;$F13&amp;""&amp;name=""&amp;SUBSTITUTE($A13,""#"",""%23"""&amp;"),$H13&amp;""/""&amp;$I13),IF($H13&lt;&gt;"""",IF(REGEXMATCH($H13,""50( ?['fF]([oO]{2})?[tT]?)?( ?[eE][rR]{2}[oO][rR])""),HYPERLINK(""https://www.munzee.com/map/?sandbox=1&amp;lat=""&amp;$D13&amp;""&amp;lon=""&amp;$E13&amp;""&amp;name=""&amp;SUBSTITUTE($A13,""#"",""%23""),""SANDBOX""),HYPERLINK(""htt"&amp;"ps://www.munzee.com/m/""&amp;$H13&amp;""/deploys/0/type/""&amp;IFNA(VLOOKUP($G13,IMPORTRANGE(""https://docs.google.com/spreadsheets/d/1DliIGyDywdzxhd4svtjaewR0p9Y5UBTMNMQ2PcXsqss"",""type data!E2:F""),2,FALSE),$F13)&amp;""/"",$H13)),""""))"),"TheBitBandit/4290")</f>
        <v>TheBitBandit/4290</v>
      </c>
      <c r="K13" s="9" t="b">
        <v>1</v>
      </c>
      <c r="L13" s="10"/>
      <c r="M13" s="10">
        <f t="shared" si="1"/>
        <v>1</v>
      </c>
    </row>
    <row r="14">
      <c r="A14" s="4" t="s">
        <v>40</v>
      </c>
      <c r="B14" s="5">
        <v>2.0</v>
      </c>
      <c r="C14" s="5">
        <v>7.0</v>
      </c>
      <c r="D14" s="6">
        <v>45.544589629889</v>
      </c>
      <c r="E14" s="6">
        <v>-75.2693918997389</v>
      </c>
      <c r="F14" s="5" t="s">
        <v>33</v>
      </c>
      <c r="G14" s="5" t="s">
        <v>34</v>
      </c>
      <c r="H14" s="7" t="s">
        <v>41</v>
      </c>
      <c r="I14" s="13">
        <v>2237.0</v>
      </c>
      <c r="J14" s="8" t="str">
        <f>IFERROR(__xludf.DUMMYFUNCTION("IF(AND(REGEXMATCH($H14,""50( ?['fF]([oO]{2})?[tT]?)?( ?[eE][rR]{2}[oO][rR])"")=FALSE,$H14&lt;&gt;"""",$I14&lt;&gt;""""),HYPERLINK(""https://www.munzee.com/m/""&amp;$H14&amp;""/""&amp;$I14&amp;""/map/?lat=""&amp;$D14&amp;""&amp;lon=""&amp;$E14&amp;""&amp;type=""&amp;$F14&amp;""&amp;name=""&amp;SUBSTITUTE($A14,""#"",""%23"""&amp;"),$H14&amp;""/""&amp;$I14),IF($H14&lt;&gt;"""",IF(REGEXMATCH($H14,""50( ?['fF]([oO]{2})?[tT]?)?( ?[eE][rR]{2}[oO][rR])""),HYPERLINK(""https://www.munzee.com/map/?sandbox=1&amp;lat=""&amp;$D14&amp;""&amp;lon=""&amp;$E14&amp;""&amp;name=""&amp;SUBSTITUTE($A14,""#"",""%23""),""SANDBOX""),HYPERLINK(""htt"&amp;"ps://www.munzee.com/m/""&amp;$H14&amp;""/deploys/0/type/""&amp;IFNA(VLOOKUP($G14,IMPORTRANGE(""https://docs.google.com/spreadsheets/d/1DliIGyDywdzxhd4svtjaewR0p9Y5UBTMNMQ2PcXsqss"",""type data!E2:F""),2,FALSE),$F14)&amp;""/"",$H14)),""""))"),"technical13/2237")</f>
        <v>technical13/2237</v>
      </c>
      <c r="K14" s="9" t="b">
        <v>1</v>
      </c>
      <c r="L14" s="15"/>
      <c r="M14" s="10">
        <f t="shared" si="1"/>
        <v>10</v>
      </c>
    </row>
    <row r="15">
      <c r="A15" s="4" t="s">
        <v>42</v>
      </c>
      <c r="B15" s="5">
        <v>2.0</v>
      </c>
      <c r="C15" s="5">
        <v>8.0</v>
      </c>
      <c r="D15" s="6">
        <v>45.5445896297052</v>
      </c>
      <c r="E15" s="6">
        <v>-75.2691866743092</v>
      </c>
      <c r="F15" s="5" t="s">
        <v>14</v>
      </c>
      <c r="G15" s="5" t="s">
        <v>15</v>
      </c>
      <c r="H15" s="7" t="s">
        <v>43</v>
      </c>
      <c r="I15" s="7">
        <v>1872.0</v>
      </c>
      <c r="J15" s="8" t="str">
        <f>IFERROR(__xludf.DUMMYFUNCTION("IF(AND(REGEXMATCH($H15,""50( ?['fF]([oO]{2})?[tT]?)?( ?[eE][rR]{2}[oO][rR])"")=FALSE,$H15&lt;&gt;"""",$I15&lt;&gt;""""),HYPERLINK(""https://www.munzee.com/m/""&amp;$H15&amp;""/""&amp;$I15&amp;""/map/?lat=""&amp;$D15&amp;""&amp;lon=""&amp;$E15&amp;""&amp;type=""&amp;$F15&amp;""&amp;name=""&amp;SUBSTITUTE($A15,""#"",""%23"""&amp;"),$H15&amp;""/""&amp;$I15),IF($H15&lt;&gt;"""",IF(REGEXMATCH($H15,""50( ?['fF]([oO]{2})?[tT]?)?( ?[eE][rR]{2}[oO][rR])""),HYPERLINK(""https://www.munzee.com/map/?sandbox=1&amp;lat=""&amp;$D15&amp;""&amp;lon=""&amp;$E15&amp;""&amp;name=""&amp;SUBSTITUTE($A15,""#"",""%23""),""SANDBOX""),HYPERLINK(""htt"&amp;"ps://www.munzee.com/m/""&amp;$H15&amp;""/deploys/0/type/""&amp;IFNA(VLOOKUP($G15,IMPORTRANGE(""https://docs.google.com/spreadsheets/d/1DliIGyDywdzxhd4svtjaewR0p9Y5UBTMNMQ2PcXsqss"",""type data!E2:F""),2,FALSE),$F15)&amp;""/"",$H15)),""""))"),"IggiePiggie/1872")</f>
        <v>IggiePiggie/1872</v>
      </c>
      <c r="K15" s="9" t="b">
        <v>1</v>
      </c>
      <c r="L15" s="10"/>
      <c r="M15" s="10">
        <f t="shared" si="1"/>
        <v>3</v>
      </c>
    </row>
    <row r="16">
      <c r="A16" s="4" t="s">
        <v>44</v>
      </c>
      <c r="B16" s="5">
        <v>2.0</v>
      </c>
      <c r="C16" s="5">
        <v>10.0</v>
      </c>
      <c r="D16" s="6">
        <v>45.5445896293377</v>
      </c>
      <c r="E16" s="6">
        <v>-75.2687762234498</v>
      </c>
      <c r="F16" s="5" t="s">
        <v>14</v>
      </c>
      <c r="G16" s="5" t="s">
        <v>15</v>
      </c>
      <c r="H16" s="7" t="s">
        <v>20</v>
      </c>
      <c r="I16" s="7">
        <v>9599.0</v>
      </c>
      <c r="J16" s="8" t="str">
        <f>IFERROR(__xludf.DUMMYFUNCTION("IF(AND(REGEXMATCH($H16,""50( ?['fF]([oO]{2})?[tT]?)?( ?[eE][rR]{2}[oO][rR])"")=FALSE,$H16&lt;&gt;"""",$I16&lt;&gt;""""),HYPERLINK(""https://www.munzee.com/m/""&amp;$H16&amp;""/""&amp;$I16&amp;""/map/?lat=""&amp;$D16&amp;""&amp;lon=""&amp;$E16&amp;""&amp;type=""&amp;$F16&amp;""&amp;name=""&amp;SUBSTITUTE($A16,""#"",""%23"""&amp;"),$H16&amp;""/""&amp;$I16),IF($H16&lt;&gt;"""",IF(REGEXMATCH($H16,""50( ?['fF]([oO]{2})?[tT]?)?( ?[eE][rR]{2}[oO][rR])""),HYPERLINK(""https://www.munzee.com/map/?sandbox=1&amp;lat=""&amp;$D16&amp;""&amp;lon=""&amp;$E16&amp;""&amp;name=""&amp;SUBSTITUTE($A16,""#"",""%23""),""SANDBOX""),HYPERLINK(""htt"&amp;"ps://www.munzee.com/m/""&amp;$H16&amp;""/deploys/0/type/""&amp;IFNA(VLOOKUP($G16,IMPORTRANGE(""https://docs.google.com/spreadsheets/d/1DliIGyDywdzxhd4svtjaewR0p9Y5UBTMNMQ2PcXsqss"",""type data!E2:F""),2,FALSE),$F16)&amp;""/"",$H16)),""""))"),"DarthMaulMax/9599")</f>
        <v>DarthMaulMax/9599</v>
      </c>
      <c r="K16" s="9" t="b">
        <v>1</v>
      </c>
      <c r="L16" s="10"/>
      <c r="M16" s="10">
        <f t="shared" si="1"/>
        <v>2</v>
      </c>
    </row>
    <row r="17">
      <c r="A17" s="4" t="s">
        <v>45</v>
      </c>
      <c r="B17" s="5">
        <v>2.0</v>
      </c>
      <c r="C17" s="5">
        <v>11.0</v>
      </c>
      <c r="D17" s="6">
        <v>45.544589629154</v>
      </c>
      <c r="E17" s="6">
        <v>-75.2685709980202</v>
      </c>
      <c r="F17" s="5" t="s">
        <v>33</v>
      </c>
      <c r="G17" s="5" t="s">
        <v>34</v>
      </c>
      <c r="H17" s="7" t="s">
        <v>46</v>
      </c>
      <c r="I17" s="12">
        <v>854.0</v>
      </c>
      <c r="J17" s="8" t="str">
        <f>IFERROR(__xludf.DUMMYFUNCTION("IF(AND(REGEXMATCH($H17,""50( ?['fF]([oO]{2})?[tT]?)?( ?[eE][rR]{2}[oO][rR])"")=FALSE,$H17&lt;&gt;"""",$I17&lt;&gt;""""),HYPERLINK(""https://www.munzee.com/m/""&amp;$H17&amp;""/""&amp;$I17&amp;""/map/?lat=""&amp;$D17&amp;""&amp;lon=""&amp;$E17&amp;""&amp;type=""&amp;$F17&amp;""&amp;name=""&amp;SUBSTITUTE($A17,""#"",""%23"""&amp;"),$H17&amp;""/""&amp;$I17),IF($H17&lt;&gt;"""",IF(REGEXMATCH($H17,""50( ?['fF]([oO]{2})?[tT]?)?( ?[eE][rR]{2}[oO][rR])""),HYPERLINK(""https://www.munzee.com/map/?sandbox=1&amp;lat=""&amp;$D17&amp;""&amp;lon=""&amp;$E17&amp;""&amp;name=""&amp;SUBSTITUTE($A17,""#"",""%23""),""SANDBOX""),HYPERLINK(""htt"&amp;"ps://www.munzee.com/m/""&amp;$H17&amp;""/deploys/0/type/""&amp;IFNA(VLOOKUP($G17,IMPORTRANGE(""https://docs.google.com/spreadsheets/d/1DliIGyDywdzxhd4svtjaewR0p9Y5UBTMNMQ2PcXsqss"",""type data!E2:F""),2,FALSE),$F17)&amp;""/"",$H17)),""""))"),"MaryJaneKitty/854")</f>
        <v>MaryJaneKitty/854</v>
      </c>
      <c r="K17" s="9" t="b">
        <v>1</v>
      </c>
      <c r="L17" s="9"/>
      <c r="M17" s="10">
        <f t="shared" si="1"/>
        <v>3</v>
      </c>
    </row>
    <row r="18">
      <c r="A18" s="4" t="s">
        <v>47</v>
      </c>
      <c r="B18" s="5">
        <v>2.0</v>
      </c>
      <c r="C18" s="5">
        <v>12.0</v>
      </c>
      <c r="D18" s="6">
        <v>45.5445896289703</v>
      </c>
      <c r="E18" s="6">
        <v>-75.2683657725905</v>
      </c>
      <c r="F18" s="5" t="s">
        <v>33</v>
      </c>
      <c r="G18" s="5" t="s">
        <v>34</v>
      </c>
      <c r="H18" s="7" t="s">
        <v>48</v>
      </c>
      <c r="I18" s="13">
        <v>881.0</v>
      </c>
      <c r="J18" s="8" t="str">
        <f>IFERROR(__xludf.DUMMYFUNCTION("IF(AND(REGEXMATCH($H18,""50( ?['fF]([oO]{2})?[tT]?)?( ?[eE][rR]{2}[oO][rR])"")=FALSE,$H18&lt;&gt;"""",$I18&lt;&gt;""""),HYPERLINK(""https://www.munzee.com/m/""&amp;$H18&amp;""/""&amp;$I18&amp;""/map/?lat=""&amp;$D18&amp;""&amp;lon=""&amp;$E18&amp;""&amp;type=""&amp;$F18&amp;""&amp;name=""&amp;SUBSTITUTE($A18,""#"",""%23"""&amp;"),$H18&amp;""/""&amp;$I18),IF($H18&lt;&gt;"""",IF(REGEXMATCH($H18,""50( ?['fF]([oO]{2})?[tT]?)?( ?[eE][rR]{2}[oO][rR])""),HYPERLINK(""https://www.munzee.com/map/?sandbox=1&amp;lat=""&amp;$D18&amp;""&amp;lon=""&amp;$E18&amp;""&amp;name=""&amp;SUBSTITUTE($A18,""#"",""%23""),""SANDBOX""),HYPERLINK(""htt"&amp;"ps://www.munzee.com/m/""&amp;$H18&amp;""/deploys/0/type/""&amp;IFNA(VLOOKUP($G18,IMPORTRANGE(""https://docs.google.com/spreadsheets/d/1DliIGyDywdzxhd4svtjaewR0p9Y5UBTMNMQ2PcXsqss"",""type data!E2:F""),2,FALSE),$F18)&amp;""/"",$H18)),""""))"),"Munzeejim19/881")</f>
        <v>Munzeejim19/881</v>
      </c>
      <c r="K18" s="9" t="b">
        <v>1</v>
      </c>
      <c r="L18" s="9"/>
      <c r="M18" s="10">
        <f t="shared" si="1"/>
        <v>1</v>
      </c>
    </row>
    <row r="19">
      <c r="A19" s="4" t="s">
        <v>49</v>
      </c>
      <c r="B19" s="5">
        <v>2.0</v>
      </c>
      <c r="C19" s="5">
        <v>13.0</v>
      </c>
      <c r="D19" s="6">
        <v>45.5445896287865</v>
      </c>
      <c r="E19" s="6">
        <v>-75.2681605471608</v>
      </c>
      <c r="F19" s="5" t="s">
        <v>33</v>
      </c>
      <c r="G19" s="5" t="s">
        <v>34</v>
      </c>
      <c r="H19" s="7" t="s">
        <v>50</v>
      </c>
      <c r="I19" s="7">
        <v>6010.0</v>
      </c>
      <c r="J19" s="8" t="str">
        <f>IFERROR(__xludf.DUMMYFUNCTION("IF(AND(REGEXMATCH($H19,""50( ?['fF]([oO]{2})?[tT]?)?( ?[eE][rR]{2}[oO][rR])"")=FALSE,$H19&lt;&gt;"""",$I19&lt;&gt;""""),HYPERLINK(""https://www.munzee.com/m/""&amp;$H19&amp;""/""&amp;$I19&amp;""/map/?lat=""&amp;$D19&amp;""&amp;lon=""&amp;$E19&amp;""&amp;type=""&amp;$F19&amp;""&amp;name=""&amp;SUBSTITUTE($A19,""#"",""%23"""&amp;"),$H19&amp;""/""&amp;$I19),IF($H19&lt;&gt;"""",IF(REGEXMATCH($H19,""50( ?['fF]([oO]{2})?[tT]?)?( ?[eE][rR]{2}[oO][rR])""),HYPERLINK(""https://www.munzee.com/map/?sandbox=1&amp;lat=""&amp;$D19&amp;""&amp;lon=""&amp;$E19&amp;""&amp;name=""&amp;SUBSTITUTE($A19,""#"",""%23""),""SANDBOX""),HYPERLINK(""htt"&amp;"ps://www.munzee.com/m/""&amp;$H19&amp;""/deploys/0/type/""&amp;IFNA(VLOOKUP($G19,IMPORTRANGE(""https://docs.google.com/spreadsheets/d/1DliIGyDywdzxhd4svtjaewR0p9Y5UBTMNMQ2PcXsqss"",""type data!E2:F""),2,FALSE),$F19)&amp;""/"",$H19)),""""))"),"dlovegrove/6010")</f>
        <v>dlovegrove/6010</v>
      </c>
      <c r="K19" s="9" t="b">
        <v>1</v>
      </c>
      <c r="L19" s="9"/>
      <c r="M19" s="10">
        <f t="shared" si="1"/>
        <v>2</v>
      </c>
    </row>
    <row r="20">
      <c r="A20" s="4" t="s">
        <v>51</v>
      </c>
      <c r="B20" s="5">
        <v>2.0</v>
      </c>
      <c r="C20" s="5">
        <v>14.0</v>
      </c>
      <c r="D20" s="6">
        <v>45.5445896286028</v>
      </c>
      <c r="E20" s="6">
        <v>-75.2679553217311</v>
      </c>
      <c r="F20" s="5" t="s">
        <v>33</v>
      </c>
      <c r="G20" s="5" t="s">
        <v>34</v>
      </c>
      <c r="H20" s="7" t="s">
        <v>52</v>
      </c>
      <c r="I20" s="7">
        <v>1237.0</v>
      </c>
      <c r="J20" s="8" t="str">
        <f>IFERROR(__xludf.DUMMYFUNCTION("IF(AND(REGEXMATCH($H20,""50( ?['fF]([oO]{2})?[tT]?)?( ?[eE][rR]{2}[oO][rR])"")=FALSE,$H20&lt;&gt;"""",$I20&lt;&gt;""""),HYPERLINK(""https://www.munzee.com/m/""&amp;$H20&amp;""/""&amp;$I20&amp;""/map/?lat=""&amp;$D20&amp;""&amp;lon=""&amp;$E20&amp;""&amp;type=""&amp;$F20&amp;""&amp;name=""&amp;SUBSTITUTE($A20,""#"",""%23"""&amp;"),$H20&amp;""/""&amp;$I20),IF($H20&lt;&gt;"""",IF(REGEXMATCH($H20,""50( ?['fF]([oO]{2})?[tT]?)?( ?[eE][rR]{2}[oO][rR])""),HYPERLINK(""https://www.munzee.com/map/?sandbox=1&amp;lat=""&amp;$D20&amp;""&amp;lon=""&amp;$E20&amp;""&amp;name=""&amp;SUBSTITUTE($A20,""#"",""%23""),""SANDBOX""),HYPERLINK(""htt"&amp;"ps://www.munzee.com/m/""&amp;$H20&amp;""/deploys/0/type/""&amp;IFNA(VLOOKUP($G20,IMPORTRANGE(""https://docs.google.com/spreadsheets/d/1DliIGyDywdzxhd4svtjaewR0p9Y5UBTMNMQ2PcXsqss"",""type data!E2:F""),2,FALSE),$F20)&amp;""/"",$H20)),""""))"),"RoninsGal/1237")</f>
        <v>RoninsGal/1237</v>
      </c>
      <c r="K20" s="9" t="b">
        <v>1</v>
      </c>
      <c r="L20" s="9"/>
      <c r="M20" s="10">
        <f t="shared" si="1"/>
        <v>3</v>
      </c>
    </row>
    <row r="21">
      <c r="A21" s="4" t="s">
        <v>53</v>
      </c>
      <c r="B21" s="5">
        <v>2.0</v>
      </c>
      <c r="C21" s="5">
        <v>15.0</v>
      </c>
      <c r="D21" s="6">
        <v>45.544589628419</v>
      </c>
      <c r="E21" s="6">
        <v>-75.2677500963014</v>
      </c>
      <c r="F21" s="5" t="s">
        <v>14</v>
      </c>
      <c r="G21" s="5" t="s">
        <v>15</v>
      </c>
      <c r="H21" s="7" t="s">
        <v>54</v>
      </c>
      <c r="I21" s="7">
        <v>2288.0</v>
      </c>
      <c r="J21" s="8" t="str">
        <f>IFERROR(__xludf.DUMMYFUNCTION("IF(AND(REGEXMATCH($H21,""50( ?['fF]([oO]{2})?[tT]?)?( ?[eE][rR]{2}[oO][rR])"")=FALSE,$H21&lt;&gt;"""",$I21&lt;&gt;""""),HYPERLINK(""https://www.munzee.com/m/""&amp;$H21&amp;""/""&amp;$I21&amp;""/map/?lat=""&amp;$D21&amp;""&amp;lon=""&amp;$E21&amp;""&amp;type=""&amp;$F21&amp;""&amp;name=""&amp;SUBSTITUTE($A21,""#"",""%23"""&amp;"),$H21&amp;""/""&amp;$I21),IF($H21&lt;&gt;"""",IF(REGEXMATCH($H21,""50( ?['fF]([oO]{2})?[tT]?)?( ?[eE][rR]{2}[oO][rR])""),HYPERLINK(""https://www.munzee.com/map/?sandbox=1&amp;lat=""&amp;$D21&amp;""&amp;lon=""&amp;$E21&amp;""&amp;name=""&amp;SUBSTITUTE($A21,""#"",""%23""),""SANDBOX""),HYPERLINK(""htt"&amp;"ps://www.munzee.com/m/""&amp;$H21&amp;""/deploys/0/type/""&amp;IFNA(VLOOKUP($G21,IMPORTRANGE(""https://docs.google.com/spreadsheets/d/1DliIGyDywdzxhd4svtjaewR0p9Y5UBTMNMQ2PcXsqss"",""type data!E2:F""),2,FALSE),$F21)&amp;""/"",$H21)),""""))"),"Cinnamons/2288")</f>
        <v>Cinnamons/2288</v>
      </c>
      <c r="K21" s="9" t="b">
        <v>1</v>
      </c>
      <c r="L21" s="10"/>
      <c r="M21" s="10">
        <f t="shared" si="1"/>
        <v>1</v>
      </c>
    </row>
    <row r="22">
      <c r="A22" s="4" t="s">
        <v>55</v>
      </c>
      <c r="B22" s="5">
        <v>3.0</v>
      </c>
      <c r="C22" s="5">
        <v>2.0</v>
      </c>
      <c r="D22" s="6">
        <v>45.5444459003622</v>
      </c>
      <c r="E22" s="6">
        <v>-75.2704180384299</v>
      </c>
      <c r="F22" s="5" t="s">
        <v>14</v>
      </c>
      <c r="G22" s="5" t="s">
        <v>15</v>
      </c>
      <c r="H22" s="7" t="s">
        <v>41</v>
      </c>
      <c r="I22" s="7">
        <v>2302.0</v>
      </c>
      <c r="J22" s="8" t="str">
        <f>IFERROR(__xludf.DUMMYFUNCTION("IF(AND(REGEXMATCH($H22,""50( ?['fF]([oO]{2})?[tT]?)?( ?[eE][rR]{2}[oO][rR])"")=FALSE,$H22&lt;&gt;"""",$I22&lt;&gt;""""),HYPERLINK(""https://www.munzee.com/m/""&amp;$H22&amp;""/""&amp;$I22&amp;""/map/?lat=""&amp;$D22&amp;""&amp;lon=""&amp;$E22&amp;""&amp;type=""&amp;$F22&amp;""&amp;name=""&amp;SUBSTITUTE($A22,""#"",""%23"""&amp;"),$H22&amp;""/""&amp;$I22),IF($H22&lt;&gt;"""",IF(REGEXMATCH($H22,""50( ?['fF]([oO]{2})?[tT]?)?( ?[eE][rR]{2}[oO][rR])""),HYPERLINK(""https://www.munzee.com/map/?sandbox=1&amp;lat=""&amp;$D22&amp;""&amp;lon=""&amp;$E22&amp;""&amp;name=""&amp;SUBSTITUTE($A22,""#"",""%23""),""SANDBOX""),HYPERLINK(""htt"&amp;"ps://www.munzee.com/m/""&amp;$H22&amp;""/deploys/0/type/""&amp;IFNA(VLOOKUP($G22,IMPORTRANGE(""https://docs.google.com/spreadsheets/d/1DliIGyDywdzxhd4svtjaewR0p9Y5UBTMNMQ2PcXsqss"",""type data!E2:F""),2,FALSE),$F22)&amp;""/"",$H22)),""""))"),"technical13/2302")</f>
        <v>technical13/2302</v>
      </c>
      <c r="K22" s="9" t="b">
        <v>1</v>
      </c>
      <c r="L22" s="9"/>
      <c r="M22" s="10">
        <f t="shared" si="1"/>
        <v>10</v>
      </c>
    </row>
    <row r="23">
      <c r="A23" s="4" t="s">
        <v>56</v>
      </c>
      <c r="B23" s="5">
        <v>3.0</v>
      </c>
      <c r="C23" s="5">
        <v>3.0</v>
      </c>
      <c r="D23" s="6">
        <v>45.5444459001785</v>
      </c>
      <c r="E23" s="6">
        <v>-75.2702128135249</v>
      </c>
      <c r="F23" s="5" t="s">
        <v>33</v>
      </c>
      <c r="G23" s="5" t="s">
        <v>34</v>
      </c>
      <c r="H23" s="7" t="s">
        <v>57</v>
      </c>
      <c r="I23" s="13">
        <v>7601.0</v>
      </c>
      <c r="J23" s="8" t="str">
        <f>IFERROR(__xludf.DUMMYFUNCTION("IF(AND(REGEXMATCH($H23,""50( ?['fF]([oO]{2})?[tT]?)?( ?[eE][rR]{2}[oO][rR])"")=FALSE,$H23&lt;&gt;"""",$I23&lt;&gt;""""),HYPERLINK(""https://www.munzee.com/m/""&amp;$H23&amp;""/""&amp;$I23&amp;""/map/?lat=""&amp;$D23&amp;""&amp;lon=""&amp;$E23&amp;""&amp;type=""&amp;$F23&amp;""&amp;name=""&amp;SUBSTITUTE($A23,""#"",""%23"""&amp;"),$H23&amp;""/""&amp;$I23),IF($H23&lt;&gt;"""",IF(REGEXMATCH($H23,""50( ?['fF]([oO]{2})?[tT]?)?( ?[eE][rR]{2}[oO][rR])""),HYPERLINK(""https://www.munzee.com/map/?sandbox=1&amp;lat=""&amp;$D23&amp;""&amp;lon=""&amp;$E23&amp;""&amp;name=""&amp;SUBSTITUTE($A23,""#"",""%23""),""SANDBOX""),HYPERLINK(""htt"&amp;"ps://www.munzee.com/m/""&amp;$H23&amp;""/deploys/0/type/""&amp;IFNA(VLOOKUP($G23,IMPORTRANGE(""https://docs.google.com/spreadsheets/d/1DliIGyDywdzxhd4svtjaewR0p9Y5UBTMNMQ2PcXsqss"",""type data!E2:F""),2,FALSE),$F23)&amp;""/"",$H23)),""""))"),"MarkCase/7601")</f>
        <v>MarkCase/7601</v>
      </c>
      <c r="K23" s="9" t="b">
        <v>1</v>
      </c>
      <c r="L23" s="16"/>
      <c r="M23" s="10">
        <f t="shared" si="1"/>
        <v>1</v>
      </c>
    </row>
    <row r="24">
      <c r="A24" s="4" t="s">
        <v>58</v>
      </c>
      <c r="B24" s="5">
        <v>3.0</v>
      </c>
      <c r="C24" s="5">
        <v>4.0</v>
      </c>
      <c r="D24" s="6">
        <v>45.5444458999947</v>
      </c>
      <c r="E24" s="6">
        <v>-75.2700075886199</v>
      </c>
      <c r="F24" s="5" t="s">
        <v>59</v>
      </c>
      <c r="G24" s="5" t="s">
        <v>60</v>
      </c>
      <c r="H24" s="7" t="s">
        <v>61</v>
      </c>
      <c r="I24" s="7">
        <v>234.0</v>
      </c>
      <c r="J24" s="8" t="str">
        <f>IFERROR(__xludf.DUMMYFUNCTION("IF(AND(REGEXMATCH($H24,""50( ?['fF]([oO]{2})?[tT]?)?( ?[eE][rR]{2}[oO][rR])"")=FALSE,$H24&lt;&gt;"""",$I24&lt;&gt;""""),HYPERLINK(""https://www.munzee.com/m/""&amp;$H24&amp;""/""&amp;$I24&amp;""/map/?lat=""&amp;$D24&amp;""&amp;lon=""&amp;$E24&amp;""&amp;type=""&amp;$F24&amp;""&amp;name=""&amp;SUBSTITUTE($A24,""#"",""%23"""&amp;"),$H24&amp;""/""&amp;$I24),IF($H24&lt;&gt;"""",IF(REGEXMATCH($H24,""50( ?['fF]([oO]{2})?[tT]?)?( ?[eE][rR]{2}[oO][rR])""),HYPERLINK(""https://www.munzee.com/map/?sandbox=1&amp;lat=""&amp;$D24&amp;""&amp;lon=""&amp;$E24&amp;""&amp;name=""&amp;SUBSTITUTE($A24,""#"",""%23""),""SANDBOX""),HYPERLINK(""htt"&amp;"ps://www.munzee.com/m/""&amp;$H24&amp;""/deploys/0/type/""&amp;IFNA(VLOOKUP($G24,IMPORTRANGE(""https://docs.google.com/spreadsheets/d/1DliIGyDywdzxhd4svtjaewR0p9Y5UBTMNMQ2PcXsqss"",""type data!E2:F""),2,FALSE),$F24)&amp;""/"",$H24)),""""))"),"cachesaurous/234")</f>
        <v>cachesaurous/234</v>
      </c>
      <c r="K24" s="9" t="b">
        <v>1</v>
      </c>
      <c r="L24" s="9"/>
      <c r="M24" s="10">
        <f t="shared" si="1"/>
        <v>2</v>
      </c>
    </row>
    <row r="25">
      <c r="A25" s="4" t="s">
        <v>62</v>
      </c>
      <c r="B25" s="5">
        <v>3.0</v>
      </c>
      <c r="C25" s="5">
        <v>5.0</v>
      </c>
      <c r="D25" s="6">
        <v>45.544445899811</v>
      </c>
      <c r="E25" s="6">
        <v>-75.2698023637149</v>
      </c>
      <c r="F25" s="5" t="s">
        <v>59</v>
      </c>
      <c r="G25" s="5" t="s">
        <v>60</v>
      </c>
      <c r="H25" s="7" t="s">
        <v>63</v>
      </c>
      <c r="I25" s="7">
        <v>69.0</v>
      </c>
      <c r="J25" s="8" t="str">
        <f>IFERROR(__xludf.DUMMYFUNCTION("IF(AND(REGEXMATCH($H25,""50( ?['fF]([oO]{2})?[tT]?)?( ?[eE][rR]{2}[oO][rR])"")=FALSE,$H25&lt;&gt;"""",$I25&lt;&gt;""""),HYPERLINK(""https://www.munzee.com/m/""&amp;$H25&amp;""/""&amp;$I25&amp;""/map/?lat=""&amp;$D25&amp;""&amp;lon=""&amp;$E25&amp;""&amp;type=""&amp;$F25&amp;""&amp;name=""&amp;SUBSTITUTE($A25,""#"",""%23"""&amp;"),$H25&amp;""/""&amp;$I25),IF($H25&lt;&gt;"""",IF(REGEXMATCH($H25,""50( ?['fF]([oO]{2})?[tT]?)?( ?[eE][rR]{2}[oO][rR])""),HYPERLINK(""https://www.munzee.com/map/?sandbox=1&amp;lat=""&amp;$D25&amp;""&amp;lon=""&amp;$E25&amp;""&amp;name=""&amp;SUBSTITUTE($A25,""#"",""%23""),""SANDBOX""),HYPERLINK(""htt"&amp;"ps://www.munzee.com/m/""&amp;$H25&amp;""/deploys/0/type/""&amp;IFNA(VLOOKUP($G25,IMPORTRANGE(""https://docs.google.com/spreadsheets/d/1DliIGyDywdzxhd4svtjaewR0p9Y5UBTMNMQ2PcXsqss"",""type data!E2:F""),2,FALSE),$F25)&amp;""/"",$H25)),""""))"),"3Prettys/69")</f>
        <v>3Prettys/69</v>
      </c>
      <c r="K25" s="9" t="b">
        <v>1</v>
      </c>
      <c r="L25" s="9"/>
      <c r="M25" s="10">
        <f t="shared" si="1"/>
        <v>2</v>
      </c>
    </row>
    <row r="26">
      <c r="A26" s="4" t="s">
        <v>64</v>
      </c>
      <c r="B26" s="5">
        <v>3.0</v>
      </c>
      <c r="C26" s="5">
        <v>6.0</v>
      </c>
      <c r="D26" s="6">
        <v>45.5444458996273</v>
      </c>
      <c r="E26" s="6">
        <v>-75.26959713881</v>
      </c>
      <c r="F26" s="5" t="s">
        <v>59</v>
      </c>
      <c r="G26" s="5" t="s">
        <v>60</v>
      </c>
      <c r="H26" s="7" t="s">
        <v>52</v>
      </c>
      <c r="I26" s="7">
        <v>1243.0</v>
      </c>
      <c r="J26" s="8" t="str">
        <f>IFERROR(__xludf.DUMMYFUNCTION("IF(AND(REGEXMATCH($H26,""50( ?['fF]([oO]{2})?[tT]?)?( ?[eE][rR]{2}[oO][rR])"")=FALSE,$H26&lt;&gt;"""",$I26&lt;&gt;""""),HYPERLINK(""https://www.munzee.com/m/""&amp;$H26&amp;""/""&amp;$I26&amp;""/map/?lat=""&amp;$D26&amp;""&amp;lon=""&amp;$E26&amp;""&amp;type=""&amp;$F26&amp;""&amp;name=""&amp;SUBSTITUTE($A26,""#"",""%23"""&amp;"),$H26&amp;""/""&amp;$I26),IF($H26&lt;&gt;"""",IF(REGEXMATCH($H26,""50( ?['fF]([oO]{2})?[tT]?)?( ?[eE][rR]{2}[oO][rR])""),HYPERLINK(""https://www.munzee.com/map/?sandbox=1&amp;lat=""&amp;$D26&amp;""&amp;lon=""&amp;$E26&amp;""&amp;name=""&amp;SUBSTITUTE($A26,""#"",""%23""),""SANDBOX""),HYPERLINK(""htt"&amp;"ps://www.munzee.com/m/""&amp;$H26&amp;""/deploys/0/type/""&amp;IFNA(VLOOKUP($G26,IMPORTRANGE(""https://docs.google.com/spreadsheets/d/1DliIGyDywdzxhd4svtjaewR0p9Y5UBTMNMQ2PcXsqss"",""type data!E2:F""),2,FALSE),$F26)&amp;""/"",$H26)),""""))"),"RoninsGal/1243")</f>
        <v>RoninsGal/1243</v>
      </c>
      <c r="K26" s="9" t="b">
        <v>1</v>
      </c>
      <c r="L26" s="9"/>
      <c r="M26" s="10">
        <f t="shared" si="1"/>
        <v>3</v>
      </c>
    </row>
    <row r="27">
      <c r="A27" s="4" t="s">
        <v>65</v>
      </c>
      <c r="B27" s="5">
        <v>3.0</v>
      </c>
      <c r="C27" s="5">
        <v>7.0</v>
      </c>
      <c r="D27" s="6">
        <v>45.5444458994435</v>
      </c>
      <c r="E27" s="6">
        <v>-75.269391913905</v>
      </c>
      <c r="F27" s="5" t="s">
        <v>33</v>
      </c>
      <c r="G27" s="5" t="s">
        <v>34</v>
      </c>
      <c r="H27" s="7" t="s">
        <v>66</v>
      </c>
      <c r="I27" s="7">
        <v>2304.0</v>
      </c>
      <c r="J27" s="8" t="str">
        <f>IFERROR(__xludf.DUMMYFUNCTION("IF(AND(REGEXMATCH($H27,""50( ?['fF]([oO]{2})?[tT]?)?( ?[eE][rR]{2}[oO][rR])"")=FALSE,$H27&lt;&gt;"""",$I27&lt;&gt;""""),HYPERLINK(""https://www.munzee.com/m/""&amp;$H27&amp;""/""&amp;$I27&amp;""/map/?lat=""&amp;$D27&amp;""&amp;lon=""&amp;$E27&amp;""&amp;type=""&amp;$F27&amp;""&amp;name=""&amp;SUBSTITUTE($A27,""#"",""%23"""&amp;"),$H27&amp;""/""&amp;$I27),IF($H27&lt;&gt;"""",IF(REGEXMATCH($H27,""50( ?['fF]([oO]{2})?[tT]?)?( ?[eE][rR]{2}[oO][rR])""),HYPERLINK(""https://www.munzee.com/map/?sandbox=1&amp;lat=""&amp;$D27&amp;""&amp;lon=""&amp;$E27&amp;""&amp;name=""&amp;SUBSTITUTE($A27,""#"",""%23""),""SANDBOX""),HYPERLINK(""htt"&amp;"ps://www.munzee.com/m/""&amp;$H27&amp;""/deploys/0/type/""&amp;IFNA(VLOOKUP($G27,IMPORTRANGE(""https://docs.google.com/spreadsheets/d/1DliIGyDywdzxhd4svtjaewR0p9Y5UBTMNMQ2PcXsqss"",""type data!E2:F""),2,FALSE),$F27)&amp;""/"",$H27)),""""))"),"Quint71/2304")</f>
        <v>Quint71/2304</v>
      </c>
      <c r="K27" s="9" t="b">
        <v>1</v>
      </c>
      <c r="L27" s="10"/>
      <c r="M27" s="10">
        <f t="shared" si="1"/>
        <v>2</v>
      </c>
    </row>
    <row r="28">
      <c r="A28" s="4" t="s">
        <v>67</v>
      </c>
      <c r="B28" s="5">
        <v>3.0</v>
      </c>
      <c r="C28" s="5">
        <v>8.0</v>
      </c>
      <c r="D28" s="6">
        <v>45.5444458992598</v>
      </c>
      <c r="E28" s="6">
        <v>-75.2691866890001</v>
      </c>
      <c r="F28" s="5" t="s">
        <v>33</v>
      </c>
      <c r="G28" s="5" t="s">
        <v>34</v>
      </c>
      <c r="H28" s="7" t="s">
        <v>68</v>
      </c>
      <c r="I28" s="7">
        <v>284.0</v>
      </c>
      <c r="J28" s="8" t="str">
        <f>IFERROR(__xludf.DUMMYFUNCTION("IF(AND(REGEXMATCH($H28,""50( ?['fF]([oO]{2})?[tT]?)?( ?[eE][rR]{2}[oO][rR])"")=FALSE,$H28&lt;&gt;"""",$I28&lt;&gt;""""),HYPERLINK(""https://www.munzee.com/m/""&amp;$H28&amp;""/""&amp;$I28&amp;""/map/?lat=""&amp;$D28&amp;""&amp;lon=""&amp;$E28&amp;""&amp;type=""&amp;$F28&amp;""&amp;name=""&amp;SUBSTITUTE($A28,""#"",""%23"""&amp;"),$H28&amp;""/""&amp;$I28),IF($H28&lt;&gt;"""",IF(REGEXMATCH($H28,""50( ?['fF]([oO]{2})?[tT]?)?( ?[eE][rR]{2}[oO][rR])""),HYPERLINK(""https://www.munzee.com/map/?sandbox=1&amp;lat=""&amp;$D28&amp;""&amp;lon=""&amp;$E28&amp;""&amp;name=""&amp;SUBSTITUTE($A28,""#"",""%23""),""SANDBOX""),HYPERLINK(""htt"&amp;"ps://www.munzee.com/m/""&amp;$H28&amp;""/deploys/0/type/""&amp;IFNA(VLOOKUP($G28,IMPORTRANGE(""https://docs.google.com/spreadsheets/d/1DliIGyDywdzxhd4svtjaewR0p9Y5UBTMNMQ2PcXsqss"",""type data!E2:F""),2,FALSE),$F28)&amp;""/"",$H28)),""""))"),"Dicataldo2019/284")</f>
        <v>Dicataldo2019/284</v>
      </c>
      <c r="K28" s="9" t="b">
        <v>1</v>
      </c>
      <c r="L28" s="9"/>
      <c r="M28" s="10">
        <f t="shared" si="1"/>
        <v>1</v>
      </c>
    </row>
    <row r="29">
      <c r="A29" s="4" t="s">
        <v>69</v>
      </c>
      <c r="B29" s="5">
        <v>3.0</v>
      </c>
      <c r="C29" s="5">
        <v>9.0</v>
      </c>
      <c r="D29" s="6">
        <v>45.544445899076</v>
      </c>
      <c r="E29" s="6">
        <v>-75.2689814640951</v>
      </c>
      <c r="F29" s="5" t="s">
        <v>14</v>
      </c>
      <c r="G29" s="5" t="s">
        <v>15</v>
      </c>
      <c r="H29" s="7" t="s">
        <v>61</v>
      </c>
      <c r="I29" s="7">
        <v>336.0</v>
      </c>
      <c r="J29" s="8" t="str">
        <f>IFERROR(__xludf.DUMMYFUNCTION("IF(AND(REGEXMATCH($H29,""50( ?['fF]([oO]{2})?[tT]?)?( ?[eE][rR]{2}[oO][rR])"")=FALSE,$H29&lt;&gt;"""",$I29&lt;&gt;""""),HYPERLINK(""https://www.munzee.com/m/""&amp;$H29&amp;""/""&amp;$I29&amp;""/map/?lat=""&amp;$D29&amp;""&amp;lon=""&amp;$E29&amp;""&amp;type=""&amp;$F29&amp;""&amp;name=""&amp;SUBSTITUTE($A29,""#"",""%23"""&amp;"),$H29&amp;""/""&amp;$I29),IF($H29&lt;&gt;"""",IF(REGEXMATCH($H29,""50( ?['fF]([oO]{2})?[tT]?)?( ?[eE][rR]{2}[oO][rR])""),HYPERLINK(""https://www.munzee.com/map/?sandbox=1&amp;lat=""&amp;$D29&amp;""&amp;lon=""&amp;$E29&amp;""&amp;name=""&amp;SUBSTITUTE($A29,""#"",""%23""),""SANDBOX""),HYPERLINK(""htt"&amp;"ps://www.munzee.com/m/""&amp;$H29&amp;""/deploys/0/type/""&amp;IFNA(VLOOKUP($G29,IMPORTRANGE(""https://docs.google.com/spreadsheets/d/1DliIGyDywdzxhd4svtjaewR0p9Y5UBTMNMQ2PcXsqss"",""type data!E2:F""),2,FALSE),$F29)&amp;""/"",$H29)),""""))"),"cachesaurous/336")</f>
        <v>cachesaurous/336</v>
      </c>
      <c r="K29" s="9" t="b">
        <v>1</v>
      </c>
      <c r="L29" s="9"/>
      <c r="M29" s="10">
        <f t="shared" si="1"/>
        <v>2</v>
      </c>
    </row>
    <row r="30">
      <c r="A30" s="4" t="s">
        <v>70</v>
      </c>
      <c r="B30" s="5">
        <v>3.0</v>
      </c>
      <c r="C30" s="5">
        <v>10.0</v>
      </c>
      <c r="D30" s="6">
        <v>45.5444458988923</v>
      </c>
      <c r="E30" s="6">
        <v>-75.2687762391901</v>
      </c>
      <c r="F30" s="5" t="s">
        <v>33</v>
      </c>
      <c r="G30" s="5" t="s">
        <v>34</v>
      </c>
      <c r="H30" s="7" t="s">
        <v>71</v>
      </c>
      <c r="I30" s="7">
        <v>7684.0</v>
      </c>
      <c r="J30" s="8" t="str">
        <f>IFERROR(__xludf.DUMMYFUNCTION("IF(AND(REGEXMATCH($H30,""50( ?['fF]([oO]{2})?[tT]?)?( ?[eE][rR]{2}[oO][rR])"")=FALSE,$H30&lt;&gt;"""",$I30&lt;&gt;""""),HYPERLINK(""https://www.munzee.com/m/""&amp;$H30&amp;""/""&amp;$I30&amp;""/map/?lat=""&amp;$D30&amp;""&amp;lon=""&amp;$E30&amp;""&amp;type=""&amp;$F30&amp;""&amp;name=""&amp;SUBSTITUTE($A30,""#"",""%23"""&amp;"),$H30&amp;""/""&amp;$I30),IF($H30&lt;&gt;"""",IF(REGEXMATCH($H30,""50( ?['fF]([oO]{2})?[tT]?)?( ?[eE][rR]{2}[oO][rR])""),HYPERLINK(""https://www.munzee.com/map/?sandbox=1&amp;lat=""&amp;$D30&amp;""&amp;lon=""&amp;$E30&amp;""&amp;name=""&amp;SUBSTITUTE($A30,""#"",""%23""),""SANDBOX""),HYPERLINK(""htt"&amp;"ps://www.munzee.com/m/""&amp;$H30&amp;""/deploys/0/type/""&amp;IFNA(VLOOKUP($G30,IMPORTRANGE(""https://docs.google.com/spreadsheets/d/1DliIGyDywdzxhd4svtjaewR0p9Y5UBTMNMQ2PcXsqss"",""type data!E2:F""),2,FALSE),$F30)&amp;""/"",$H30)),""""))"),"nyisutter/7684")</f>
        <v>nyisutter/7684</v>
      </c>
      <c r="K30" s="9" t="b">
        <v>1</v>
      </c>
      <c r="L30" s="9"/>
      <c r="M30" s="10">
        <f t="shared" si="1"/>
        <v>7</v>
      </c>
    </row>
    <row r="31">
      <c r="A31" s="4" t="s">
        <v>72</v>
      </c>
      <c r="B31" s="5">
        <v>3.0</v>
      </c>
      <c r="C31" s="5">
        <v>11.0</v>
      </c>
      <c r="D31" s="6">
        <v>45.5444458987085</v>
      </c>
      <c r="E31" s="6">
        <v>-75.2685710142851</v>
      </c>
      <c r="F31" s="5" t="s">
        <v>33</v>
      </c>
      <c r="G31" s="5" t="s">
        <v>34</v>
      </c>
      <c r="H31" s="7" t="s">
        <v>73</v>
      </c>
      <c r="I31" s="7">
        <v>989.0</v>
      </c>
      <c r="J31" s="8" t="str">
        <f>IFERROR(__xludf.DUMMYFUNCTION("IF(AND(REGEXMATCH($H31,""50( ?['fF]([oO]{2})?[tT]?)?( ?[eE][rR]{2}[oO][rR])"")=FALSE,$H31&lt;&gt;"""",$I31&lt;&gt;""""),HYPERLINK(""https://www.munzee.com/m/""&amp;$H31&amp;""/""&amp;$I31&amp;""/map/?lat=""&amp;$D31&amp;""&amp;lon=""&amp;$E31&amp;""&amp;type=""&amp;$F31&amp;""&amp;name=""&amp;SUBSTITUTE($A31,""#"",""%23"""&amp;"),$H31&amp;""/""&amp;$I31),IF($H31&lt;&gt;"""",IF(REGEXMATCH($H31,""50( ?['fF]([oO]{2})?[tT]?)?( ?[eE][rR]{2}[oO][rR])""),HYPERLINK(""https://www.munzee.com/map/?sandbox=1&amp;lat=""&amp;$D31&amp;""&amp;lon=""&amp;$E31&amp;""&amp;name=""&amp;SUBSTITUTE($A31,""#"",""%23""),""SANDBOX""),HYPERLINK(""htt"&amp;"ps://www.munzee.com/m/""&amp;$H31&amp;""/deploys/0/type/""&amp;IFNA(VLOOKUP($G31,IMPORTRANGE(""https://docs.google.com/spreadsheets/d/1DliIGyDywdzxhd4svtjaewR0p9Y5UBTMNMQ2PcXsqss"",""type data!E2:F""),2,FALSE),$F31)&amp;""/"",$H31)),""""))"),"GolemCZ/989")</f>
        <v>GolemCZ/989</v>
      </c>
      <c r="K31" s="9" t="b">
        <v>1</v>
      </c>
      <c r="L31" s="9"/>
      <c r="M31" s="10">
        <f t="shared" si="1"/>
        <v>1</v>
      </c>
    </row>
    <row r="32">
      <c r="A32" s="4" t="s">
        <v>74</v>
      </c>
      <c r="B32" s="5">
        <v>3.0</v>
      </c>
      <c r="C32" s="5">
        <v>12.0</v>
      </c>
      <c r="D32" s="6">
        <v>45.5444458985248</v>
      </c>
      <c r="E32" s="6">
        <v>-75.2683657893801</v>
      </c>
      <c r="F32" s="5" t="s">
        <v>59</v>
      </c>
      <c r="G32" s="5" t="s">
        <v>60</v>
      </c>
      <c r="H32" s="7" t="s">
        <v>75</v>
      </c>
      <c r="I32" s="7">
        <v>1411.0</v>
      </c>
      <c r="J32" s="8" t="str">
        <f>IFERROR(__xludf.DUMMYFUNCTION("IF(AND(REGEXMATCH($H32,""50( ?['fF]([oO]{2})?[tT]?)?( ?[eE][rR]{2}[oO][rR])"")=FALSE,$H32&lt;&gt;"""",$I32&lt;&gt;""""),HYPERLINK(""https://www.munzee.com/m/""&amp;$H32&amp;""/""&amp;$I32&amp;""/map/?lat=""&amp;$D32&amp;""&amp;lon=""&amp;$E32&amp;""&amp;type=""&amp;$F32&amp;""&amp;name=""&amp;SUBSTITUTE($A32,""#"",""%23"""&amp;"),$H32&amp;""/""&amp;$I32),IF($H32&lt;&gt;"""",IF(REGEXMATCH($H32,""50( ?['fF]([oO]{2})?[tT]?)?( ?[eE][rR]{2}[oO][rR])""),HYPERLINK(""https://www.munzee.com/map/?sandbox=1&amp;lat=""&amp;$D32&amp;""&amp;lon=""&amp;$E32&amp;""&amp;name=""&amp;SUBSTITUTE($A32,""#"",""%23""),""SANDBOX""),HYPERLINK(""htt"&amp;"ps://www.munzee.com/m/""&amp;$H32&amp;""/deploys/0/type/""&amp;IFNA(VLOOKUP($G32,IMPORTRANGE(""https://docs.google.com/spreadsheets/d/1DliIGyDywdzxhd4svtjaewR0p9Y5UBTMNMQ2PcXsqss"",""type data!E2:F""),2,FALSE),$F32)&amp;""/"",$H32)),""""))"),"Benotje/1411")</f>
        <v>Benotje/1411</v>
      </c>
      <c r="K32" s="9" t="b">
        <v>1</v>
      </c>
      <c r="M32" s="10">
        <f t="shared" si="1"/>
        <v>1</v>
      </c>
    </row>
    <row r="33">
      <c r="A33" s="4" t="s">
        <v>76</v>
      </c>
      <c r="B33" s="5">
        <v>3.0</v>
      </c>
      <c r="C33" s="5">
        <v>13.0</v>
      </c>
      <c r="D33" s="6">
        <v>45.544445898341</v>
      </c>
      <c r="E33" s="6">
        <v>-75.2681605644751</v>
      </c>
      <c r="F33" s="5" t="s">
        <v>59</v>
      </c>
      <c r="G33" s="5" t="s">
        <v>60</v>
      </c>
      <c r="H33" s="7" t="s">
        <v>71</v>
      </c>
      <c r="I33" s="7">
        <v>7673.0</v>
      </c>
      <c r="J33" s="8" t="str">
        <f>IFERROR(__xludf.DUMMYFUNCTION("IF(AND(REGEXMATCH($H33,""50( ?['fF]([oO]{2})?[tT]?)?( ?[eE][rR]{2}[oO][rR])"")=FALSE,$H33&lt;&gt;"""",$I33&lt;&gt;""""),HYPERLINK(""https://www.munzee.com/m/""&amp;$H33&amp;""/""&amp;$I33&amp;""/map/?lat=""&amp;$D33&amp;""&amp;lon=""&amp;$E33&amp;""&amp;type=""&amp;$F33&amp;""&amp;name=""&amp;SUBSTITUTE($A33,""#"",""%23"""&amp;"),$H33&amp;""/""&amp;$I33),IF($H33&lt;&gt;"""",IF(REGEXMATCH($H33,""50( ?['fF]([oO]{2})?[tT]?)?( ?[eE][rR]{2}[oO][rR])""),HYPERLINK(""https://www.munzee.com/map/?sandbox=1&amp;lat=""&amp;$D33&amp;""&amp;lon=""&amp;$E33&amp;""&amp;name=""&amp;SUBSTITUTE($A33,""#"",""%23""),""SANDBOX""),HYPERLINK(""htt"&amp;"ps://www.munzee.com/m/""&amp;$H33&amp;""/deploys/0/type/""&amp;IFNA(VLOOKUP($G33,IMPORTRANGE(""https://docs.google.com/spreadsheets/d/1DliIGyDywdzxhd4svtjaewR0p9Y5UBTMNMQ2PcXsqss"",""type data!E2:F""),2,FALSE),$F33)&amp;""/"",$H33)),""""))"),"nyisutter/7673")</f>
        <v>nyisutter/7673</v>
      </c>
      <c r="K33" s="9" t="b">
        <v>1</v>
      </c>
      <c r="L33" s="9"/>
      <c r="M33" s="10">
        <f t="shared" si="1"/>
        <v>7</v>
      </c>
    </row>
    <row r="34">
      <c r="A34" s="4" t="s">
        <v>77</v>
      </c>
      <c r="B34" s="5">
        <v>3.0</v>
      </c>
      <c r="C34" s="5">
        <v>14.0</v>
      </c>
      <c r="D34" s="6">
        <v>45.5444458981573</v>
      </c>
      <c r="E34" s="6">
        <v>-75.2679553395702</v>
      </c>
      <c r="F34" s="5" t="s">
        <v>59</v>
      </c>
      <c r="G34" s="5" t="s">
        <v>60</v>
      </c>
      <c r="H34" s="7" t="s">
        <v>35</v>
      </c>
      <c r="I34" s="7">
        <v>9805.0</v>
      </c>
      <c r="J34" s="8" t="str">
        <f>IFERROR(__xludf.DUMMYFUNCTION("IF(AND(REGEXMATCH($H34,""50( ?['fF]([oO]{2})?[tT]?)?( ?[eE][rR]{2}[oO][rR])"")=FALSE,$H34&lt;&gt;"""",$I34&lt;&gt;""""),HYPERLINK(""https://www.munzee.com/m/""&amp;$H34&amp;""/""&amp;$I34&amp;""/map/?lat=""&amp;$D34&amp;""&amp;lon=""&amp;$E34&amp;""&amp;type=""&amp;$F34&amp;""&amp;name=""&amp;SUBSTITUTE($A34,""#"",""%23"""&amp;"),$H34&amp;""/""&amp;$I34),IF($H34&lt;&gt;"""",IF(REGEXMATCH($H34,""50( ?['fF]([oO]{2})?[tT]?)?( ?[eE][rR]{2}[oO][rR])""),HYPERLINK(""https://www.munzee.com/map/?sandbox=1&amp;lat=""&amp;$D34&amp;""&amp;lon=""&amp;$E34&amp;""&amp;name=""&amp;SUBSTITUTE($A34,""#"",""%23""),""SANDBOX""),HYPERLINK(""htt"&amp;"ps://www.munzee.com/m/""&amp;$H34&amp;""/deploys/0/type/""&amp;IFNA(VLOOKUP($G34,IMPORTRANGE(""https://docs.google.com/spreadsheets/d/1DliIGyDywdzxhd4svtjaewR0p9Y5UBTMNMQ2PcXsqss"",""type data!E2:F""),2,FALSE),$F34)&amp;""/"",$H34)),""""))"),"Barrel/9805")</f>
        <v>Barrel/9805</v>
      </c>
      <c r="K34" s="9" t="b">
        <v>1</v>
      </c>
      <c r="L34" s="9"/>
      <c r="M34" s="10">
        <f t="shared" si="1"/>
        <v>3</v>
      </c>
    </row>
    <row r="35">
      <c r="A35" s="4" t="s">
        <v>78</v>
      </c>
      <c r="B35" s="5">
        <v>3.0</v>
      </c>
      <c r="C35" s="5">
        <v>15.0</v>
      </c>
      <c r="D35" s="6">
        <v>45.5444458979736</v>
      </c>
      <c r="E35" s="6">
        <v>-75.2677501146652</v>
      </c>
      <c r="F35" s="5" t="s">
        <v>33</v>
      </c>
      <c r="G35" s="5" t="s">
        <v>34</v>
      </c>
      <c r="H35" s="7" t="s">
        <v>16</v>
      </c>
      <c r="I35" s="7">
        <v>656.0</v>
      </c>
      <c r="J35" s="8" t="str">
        <f>IFERROR(__xludf.DUMMYFUNCTION("IF(AND(REGEXMATCH($H35,""50( ?['fF]([oO]{2})?[tT]?)?( ?[eE][rR]{2}[oO][rR])"")=FALSE,$H35&lt;&gt;"""",$I35&lt;&gt;""""),HYPERLINK(""https://www.munzee.com/m/""&amp;$H35&amp;""/""&amp;$I35&amp;""/map/?lat=""&amp;$D35&amp;""&amp;lon=""&amp;$E35&amp;""&amp;type=""&amp;$F35&amp;""&amp;name=""&amp;SUBSTITUTE($A35,""#"",""%23"""&amp;"),$H35&amp;""/""&amp;$I35),IF($H35&lt;&gt;"""",IF(REGEXMATCH($H35,""50( ?['fF]([oO]{2})?[tT]?)?( ?[eE][rR]{2}[oO][rR])""),HYPERLINK(""https://www.munzee.com/map/?sandbox=1&amp;lat=""&amp;$D35&amp;""&amp;lon=""&amp;$E35&amp;""&amp;name=""&amp;SUBSTITUTE($A35,""#"",""%23""),""SANDBOX""),HYPERLINK(""htt"&amp;"ps://www.munzee.com/m/""&amp;$H35&amp;""/deploys/0/type/""&amp;IFNA(VLOOKUP($G35,IMPORTRANGE(""https://docs.google.com/spreadsheets/d/1DliIGyDywdzxhd4svtjaewR0p9Y5UBTMNMQ2PcXsqss"",""type data!E2:F""),2,FALSE),$F35)&amp;""/"",$H35)),""""))"),"Heluna/656")</f>
        <v>Heluna/656</v>
      </c>
      <c r="K35" s="9" t="b">
        <v>1</v>
      </c>
      <c r="L35" s="9"/>
      <c r="M35" s="10">
        <f t="shared" si="1"/>
        <v>5</v>
      </c>
    </row>
    <row r="36">
      <c r="A36" s="4" t="s">
        <v>79</v>
      </c>
      <c r="B36" s="5">
        <v>3.0</v>
      </c>
      <c r="C36" s="5">
        <v>16.0</v>
      </c>
      <c r="D36" s="6">
        <v>45.5444458977898</v>
      </c>
      <c r="E36" s="6">
        <v>-75.2675448897603</v>
      </c>
      <c r="F36" s="5" t="s">
        <v>14</v>
      </c>
      <c r="G36" s="5" t="s">
        <v>15</v>
      </c>
      <c r="H36" s="7" t="s">
        <v>41</v>
      </c>
      <c r="I36" s="12">
        <v>2295.0</v>
      </c>
      <c r="J36" s="8" t="str">
        <f>IFERROR(__xludf.DUMMYFUNCTION("IF(AND(REGEXMATCH($H36,""50( ?['fF]([oO]{2})?[tT]?)?( ?[eE][rR]{2}[oO][rR])"")=FALSE,$H36&lt;&gt;"""",$I36&lt;&gt;""""),HYPERLINK(""https://www.munzee.com/m/""&amp;$H36&amp;""/""&amp;$I36&amp;""/map/?lat=""&amp;$D36&amp;""&amp;lon=""&amp;$E36&amp;""&amp;type=""&amp;$F36&amp;""&amp;name=""&amp;SUBSTITUTE($A36,""#"",""%23"""&amp;"),$H36&amp;""/""&amp;$I36),IF($H36&lt;&gt;"""",IF(REGEXMATCH($H36,""50( ?['fF]([oO]{2})?[tT]?)?( ?[eE][rR]{2}[oO][rR])""),HYPERLINK(""https://www.munzee.com/map/?sandbox=1&amp;lat=""&amp;$D36&amp;""&amp;lon=""&amp;$E36&amp;""&amp;name=""&amp;SUBSTITUTE($A36,""#"",""%23""),""SANDBOX""),HYPERLINK(""htt"&amp;"ps://www.munzee.com/m/""&amp;$H36&amp;""/deploys/0/type/""&amp;IFNA(VLOOKUP($G36,IMPORTRANGE(""https://docs.google.com/spreadsheets/d/1DliIGyDywdzxhd4svtjaewR0p9Y5UBTMNMQ2PcXsqss"",""type data!E2:F""),2,FALSE),$F36)&amp;""/"",$H36)),""""))"),"technical13/2295")</f>
        <v>technical13/2295</v>
      </c>
      <c r="K36" s="9" t="b">
        <v>1</v>
      </c>
      <c r="L36" s="15"/>
      <c r="M36" s="10">
        <f t="shared" si="1"/>
        <v>10</v>
      </c>
    </row>
    <row r="37">
      <c r="A37" s="4" t="s">
        <v>80</v>
      </c>
      <c r="B37" s="5">
        <v>4.0</v>
      </c>
      <c r="C37" s="5">
        <v>2.0</v>
      </c>
      <c r="D37" s="6">
        <v>45.5443021699168</v>
      </c>
      <c r="E37" s="6">
        <v>-75.2704180499738</v>
      </c>
      <c r="F37" s="5" t="s">
        <v>14</v>
      </c>
      <c r="G37" s="5" t="s">
        <v>15</v>
      </c>
      <c r="H37" s="7" t="s">
        <v>81</v>
      </c>
      <c r="I37" s="7">
        <v>4938.0</v>
      </c>
      <c r="J37" s="8" t="str">
        <f>IFERROR(__xludf.DUMMYFUNCTION("IF(AND(REGEXMATCH($H37,""50( ?['fF]([oO]{2})?[tT]?)?( ?[eE][rR]{2}[oO][rR])"")=FALSE,$H37&lt;&gt;"""",$I37&lt;&gt;""""),HYPERLINK(""https://www.munzee.com/m/""&amp;$H37&amp;""/""&amp;$I37&amp;""/map/?lat=""&amp;$D37&amp;""&amp;lon=""&amp;$E37&amp;""&amp;type=""&amp;$F37&amp;""&amp;name=""&amp;SUBSTITUTE($A37,""#"",""%23"""&amp;"),$H37&amp;""/""&amp;$I37),IF($H37&lt;&gt;"""",IF(REGEXMATCH($H37,""50( ?['fF]([oO]{2})?[tT]?)?( ?[eE][rR]{2}[oO][rR])""),HYPERLINK(""https://www.munzee.com/map/?sandbox=1&amp;lat=""&amp;$D37&amp;""&amp;lon=""&amp;$E37&amp;""&amp;name=""&amp;SUBSTITUTE($A37,""#"",""%23""),""SANDBOX""),HYPERLINK(""htt"&amp;"ps://www.munzee.com/m/""&amp;$H37&amp;""/deploys/0/type/""&amp;IFNA(VLOOKUP($G37,IMPORTRANGE(""https://docs.google.com/spreadsheets/d/1DliIGyDywdzxhd4svtjaewR0p9Y5UBTMNMQ2PcXsqss"",""type data!E2:F""),2,FALSE),$F37)&amp;""/"",$H37)),""""))"),"Neta/4938")</f>
        <v>Neta/4938</v>
      </c>
      <c r="K37" s="9" t="b">
        <v>1</v>
      </c>
      <c r="L37" s="9"/>
      <c r="M37" s="10">
        <f t="shared" si="1"/>
        <v>1</v>
      </c>
    </row>
    <row r="38">
      <c r="A38" s="4" t="s">
        <v>82</v>
      </c>
      <c r="B38" s="5">
        <v>4.0</v>
      </c>
      <c r="C38" s="5">
        <v>3.0</v>
      </c>
      <c r="D38" s="6">
        <v>45.5443021697331</v>
      </c>
      <c r="E38" s="6">
        <v>-75.2702128255935</v>
      </c>
      <c r="F38" s="5" t="s">
        <v>33</v>
      </c>
      <c r="G38" s="5" t="s">
        <v>34</v>
      </c>
      <c r="H38" s="7" t="s">
        <v>83</v>
      </c>
      <c r="I38" s="13">
        <v>17538.0</v>
      </c>
      <c r="J38" s="8" t="str">
        <f>IFERROR(__xludf.DUMMYFUNCTION("IF(AND(REGEXMATCH($H38,""50( ?['fF]([oO]{2})?[tT]?)?( ?[eE][rR]{2}[oO][rR])"")=FALSE,$H38&lt;&gt;"""",$I38&lt;&gt;""""),HYPERLINK(""https://www.munzee.com/m/""&amp;$H38&amp;""/""&amp;$I38&amp;""/map/?lat=""&amp;$D38&amp;""&amp;lon=""&amp;$E38&amp;""&amp;type=""&amp;$F38&amp;""&amp;name=""&amp;SUBSTITUTE($A38,""#"",""%23"""&amp;"),$H38&amp;""/""&amp;$I38),IF($H38&lt;&gt;"""",IF(REGEXMATCH($H38,""50( ?['fF]([oO]{2})?[tT]?)?( ?[eE][rR]{2}[oO][rR])""),HYPERLINK(""https://www.munzee.com/map/?sandbox=1&amp;lat=""&amp;$D38&amp;""&amp;lon=""&amp;$E38&amp;""&amp;name=""&amp;SUBSTITUTE($A38,""#"",""%23""),""SANDBOX""),HYPERLINK(""htt"&amp;"ps://www.munzee.com/m/""&amp;$H38&amp;""/deploys/0/type/""&amp;IFNA(VLOOKUP($G38,IMPORTRANGE(""https://docs.google.com/spreadsheets/d/1DliIGyDywdzxhd4svtjaewR0p9Y5UBTMNMQ2PcXsqss"",""type data!E2:F""),2,FALSE),$F38)&amp;""/"",$H38)),""""))"),"MeanderingMonkeys/17538")</f>
        <v>MeanderingMonkeys/17538</v>
      </c>
      <c r="K38" s="9" t="b">
        <v>1</v>
      </c>
      <c r="L38" s="10"/>
      <c r="M38" s="10">
        <f t="shared" si="1"/>
        <v>1</v>
      </c>
    </row>
    <row r="39">
      <c r="A39" s="4" t="s">
        <v>84</v>
      </c>
      <c r="B39" s="5">
        <v>4.0</v>
      </c>
      <c r="C39" s="5">
        <v>4.0</v>
      </c>
      <c r="D39" s="6">
        <v>45.5443021695493</v>
      </c>
      <c r="E39" s="6">
        <v>-75.2700076012132</v>
      </c>
      <c r="F39" s="5" t="s">
        <v>59</v>
      </c>
      <c r="G39" s="5" t="s">
        <v>60</v>
      </c>
      <c r="H39" s="7" t="s">
        <v>85</v>
      </c>
      <c r="I39" s="12">
        <v>3884.0</v>
      </c>
      <c r="J39" s="8" t="str">
        <f>IFERROR(__xludf.DUMMYFUNCTION("IF(AND(REGEXMATCH($H39,""50( ?['fF]([oO]{2})?[tT]?)?( ?[eE][rR]{2}[oO][rR])"")=FALSE,$H39&lt;&gt;"""",$I39&lt;&gt;""""),HYPERLINK(""https://www.munzee.com/m/""&amp;$H39&amp;""/""&amp;$I39&amp;""/map/?lat=""&amp;$D39&amp;""&amp;lon=""&amp;$E39&amp;""&amp;type=""&amp;$F39&amp;""&amp;name=""&amp;SUBSTITUTE($A39,""#"",""%23"""&amp;"),$H39&amp;""/""&amp;$I39),IF($H39&lt;&gt;"""",IF(REGEXMATCH($H39,""50( ?['fF]([oO]{2})?[tT]?)?( ?[eE][rR]{2}[oO][rR])""),HYPERLINK(""https://www.munzee.com/map/?sandbox=1&amp;lat=""&amp;$D39&amp;""&amp;lon=""&amp;$E39&amp;""&amp;name=""&amp;SUBSTITUTE($A39,""#"",""%23""),""SANDBOX""),HYPERLINK(""htt"&amp;"ps://www.munzee.com/m/""&amp;$H39&amp;""/deploys/0/type/""&amp;IFNA(VLOOKUP($G39,IMPORTRANGE(""https://docs.google.com/spreadsheets/d/1DliIGyDywdzxhd4svtjaewR0p9Y5UBTMNMQ2PcXsqss"",""type data!E2:F""),2,FALSE),$F39)&amp;""/"",$H39)),""""))"),"Promethium/3884")</f>
        <v>Promethium/3884</v>
      </c>
      <c r="K39" s="9" t="b">
        <v>1</v>
      </c>
      <c r="L39" s="10"/>
      <c r="M39" s="10">
        <f t="shared" si="1"/>
        <v>2</v>
      </c>
    </row>
    <row r="40">
      <c r="A40" s="4" t="s">
        <v>86</v>
      </c>
      <c r="B40" s="5">
        <v>4.0</v>
      </c>
      <c r="C40" s="5">
        <v>5.0</v>
      </c>
      <c r="D40" s="6">
        <v>45.5443021693656</v>
      </c>
      <c r="E40" s="6">
        <v>-75.2698023768329</v>
      </c>
      <c r="F40" s="5" t="s">
        <v>33</v>
      </c>
      <c r="G40" s="5" t="s">
        <v>34</v>
      </c>
      <c r="H40" s="7" t="s">
        <v>87</v>
      </c>
      <c r="I40" s="7">
        <v>21535.0</v>
      </c>
      <c r="J40" s="8" t="str">
        <f>IFERROR(__xludf.DUMMYFUNCTION("IF(AND(REGEXMATCH($H40,""50( ?['fF]([oO]{2})?[tT]?)?( ?[eE][rR]{2}[oO][rR])"")=FALSE,$H40&lt;&gt;"""",$I40&lt;&gt;""""),HYPERLINK(""https://www.munzee.com/m/""&amp;$H40&amp;""/""&amp;$I40&amp;""/map/?lat=""&amp;$D40&amp;""&amp;lon=""&amp;$E40&amp;""&amp;type=""&amp;$F40&amp;""&amp;name=""&amp;SUBSTITUTE($A40,""#"",""%23"""&amp;"),$H40&amp;""/""&amp;$I40),IF($H40&lt;&gt;"""",IF(REGEXMATCH($H40,""50( ?['fF]([oO]{2})?[tT]?)?( ?[eE][rR]{2}[oO][rR])""),HYPERLINK(""https://www.munzee.com/map/?sandbox=1&amp;lat=""&amp;$D40&amp;""&amp;lon=""&amp;$E40&amp;""&amp;name=""&amp;SUBSTITUTE($A40,""#"",""%23""),""SANDBOX""),HYPERLINK(""htt"&amp;"ps://www.munzee.com/m/""&amp;$H40&amp;""/deploys/0/type/""&amp;IFNA(VLOOKUP($G40,IMPORTRANGE(""https://docs.google.com/spreadsheets/d/1DliIGyDywdzxhd4svtjaewR0p9Y5UBTMNMQ2PcXsqss"",""type data!E2:F""),2,FALSE),$F40)&amp;""/"",$H40)),""""))"),"EagleDadandXenia/21535")</f>
        <v>EagleDadandXenia/21535</v>
      </c>
      <c r="K40" s="9" t="b">
        <v>1</v>
      </c>
      <c r="L40" s="10"/>
      <c r="M40" s="10">
        <f t="shared" si="1"/>
        <v>5</v>
      </c>
    </row>
    <row r="41">
      <c r="A41" s="4" t="s">
        <v>88</v>
      </c>
      <c r="B41" s="5">
        <v>4.0</v>
      </c>
      <c r="C41" s="5">
        <v>6.0</v>
      </c>
      <c r="D41" s="6">
        <v>45.5443021691818</v>
      </c>
      <c r="E41" s="6">
        <v>-75.2695971524526</v>
      </c>
      <c r="F41" s="5" t="s">
        <v>33</v>
      </c>
      <c r="G41" s="5" t="s">
        <v>34</v>
      </c>
      <c r="H41" s="7" t="s">
        <v>50</v>
      </c>
      <c r="I41" s="7">
        <v>6026.0</v>
      </c>
      <c r="J41" s="8" t="str">
        <f>IFERROR(__xludf.DUMMYFUNCTION("IF(AND(REGEXMATCH($H41,""50( ?['fF]([oO]{2})?[tT]?)?( ?[eE][rR]{2}[oO][rR])"")=FALSE,$H41&lt;&gt;"""",$I41&lt;&gt;""""),HYPERLINK(""https://www.munzee.com/m/""&amp;$H41&amp;""/""&amp;$I41&amp;""/map/?lat=""&amp;$D41&amp;""&amp;lon=""&amp;$E41&amp;""&amp;type=""&amp;$F41&amp;""&amp;name=""&amp;SUBSTITUTE($A41,""#"",""%23"""&amp;"),$H41&amp;""/""&amp;$I41),IF($H41&lt;&gt;"""",IF(REGEXMATCH($H41,""50( ?['fF]([oO]{2})?[tT]?)?( ?[eE][rR]{2}[oO][rR])""),HYPERLINK(""https://www.munzee.com/map/?sandbox=1&amp;lat=""&amp;$D41&amp;""&amp;lon=""&amp;$E41&amp;""&amp;name=""&amp;SUBSTITUTE($A41,""#"",""%23""),""SANDBOX""),HYPERLINK(""htt"&amp;"ps://www.munzee.com/m/""&amp;$H41&amp;""/deploys/0/type/""&amp;IFNA(VLOOKUP($G41,IMPORTRANGE(""https://docs.google.com/spreadsheets/d/1DliIGyDywdzxhd4svtjaewR0p9Y5UBTMNMQ2PcXsqss"",""type data!E2:F""),2,FALSE),$F41)&amp;""/"",$H41)),""""))"),"dlovegrove/6026")</f>
        <v>dlovegrove/6026</v>
      </c>
      <c r="K41" s="9" t="b">
        <v>1</v>
      </c>
      <c r="L41" s="17"/>
      <c r="M41" s="10">
        <f t="shared" si="1"/>
        <v>2</v>
      </c>
    </row>
    <row r="42">
      <c r="A42" s="4" t="s">
        <v>89</v>
      </c>
      <c r="B42" s="5">
        <v>4.0</v>
      </c>
      <c r="C42" s="5">
        <v>7.0</v>
      </c>
      <c r="D42" s="6">
        <v>45.5443021689981</v>
      </c>
      <c r="E42" s="6">
        <v>-75.2693919280723</v>
      </c>
      <c r="F42" s="5" t="s">
        <v>59</v>
      </c>
      <c r="G42" s="5" t="s">
        <v>60</v>
      </c>
      <c r="H42" s="7" t="s">
        <v>85</v>
      </c>
      <c r="I42" s="7">
        <v>3883.0</v>
      </c>
      <c r="J42" s="8" t="str">
        <f>IFERROR(__xludf.DUMMYFUNCTION("IF(AND(REGEXMATCH($H42,""50( ?['fF]([oO]{2})?[tT]?)?( ?[eE][rR]{2}[oO][rR])"")=FALSE,$H42&lt;&gt;"""",$I42&lt;&gt;""""),HYPERLINK(""https://www.munzee.com/m/""&amp;$H42&amp;""/""&amp;$I42&amp;""/map/?lat=""&amp;$D42&amp;""&amp;lon=""&amp;$E42&amp;""&amp;type=""&amp;$F42&amp;""&amp;name=""&amp;SUBSTITUTE($A42,""#"",""%23"""&amp;"),$H42&amp;""/""&amp;$I42),IF($H42&lt;&gt;"""",IF(REGEXMATCH($H42,""50( ?['fF]([oO]{2})?[tT]?)?( ?[eE][rR]{2}[oO][rR])""),HYPERLINK(""https://www.munzee.com/map/?sandbox=1&amp;lat=""&amp;$D42&amp;""&amp;lon=""&amp;$E42&amp;""&amp;name=""&amp;SUBSTITUTE($A42,""#"",""%23""),""SANDBOX""),HYPERLINK(""htt"&amp;"ps://www.munzee.com/m/""&amp;$H42&amp;""/deploys/0/type/""&amp;IFNA(VLOOKUP($G42,IMPORTRANGE(""https://docs.google.com/spreadsheets/d/1DliIGyDywdzxhd4svtjaewR0p9Y5UBTMNMQ2PcXsqss"",""type data!E2:F""),2,FALSE),$F42)&amp;""/"",$H42)),""""))"),"Promethium/3883")</f>
        <v>Promethium/3883</v>
      </c>
      <c r="K42" s="9" t="b">
        <v>1</v>
      </c>
      <c r="L42" s="9"/>
      <c r="M42" s="10">
        <f t="shared" si="1"/>
        <v>2</v>
      </c>
    </row>
    <row r="43">
      <c r="A43" s="4" t="s">
        <v>90</v>
      </c>
      <c r="B43" s="5">
        <v>4.0</v>
      </c>
      <c r="C43" s="5">
        <v>8.0</v>
      </c>
      <c r="D43" s="6">
        <v>45.5443021688143</v>
      </c>
      <c r="E43" s="6">
        <v>-75.269186703692</v>
      </c>
      <c r="F43" s="5" t="s">
        <v>33</v>
      </c>
      <c r="G43" s="5" t="s">
        <v>34</v>
      </c>
      <c r="H43" s="7" t="s">
        <v>87</v>
      </c>
      <c r="I43" s="7">
        <v>21043.0</v>
      </c>
      <c r="J43" s="8" t="str">
        <f>IFERROR(__xludf.DUMMYFUNCTION("IF(AND(REGEXMATCH($H43,""50( ?['fF]([oO]{2})?[tT]?)?( ?[eE][rR]{2}[oO][rR])"")=FALSE,$H43&lt;&gt;"""",$I43&lt;&gt;""""),HYPERLINK(""https://www.munzee.com/m/""&amp;$H43&amp;""/""&amp;$I43&amp;""/map/?lat=""&amp;$D43&amp;""&amp;lon=""&amp;$E43&amp;""&amp;type=""&amp;$F43&amp;""&amp;name=""&amp;SUBSTITUTE($A43,""#"",""%23"""&amp;"),$H43&amp;""/""&amp;$I43),IF($H43&lt;&gt;"""",IF(REGEXMATCH($H43,""50( ?['fF]([oO]{2})?[tT]?)?( ?[eE][rR]{2}[oO][rR])""),HYPERLINK(""https://www.munzee.com/map/?sandbox=1&amp;lat=""&amp;$D43&amp;""&amp;lon=""&amp;$E43&amp;""&amp;name=""&amp;SUBSTITUTE($A43,""#"",""%23""),""SANDBOX""),HYPERLINK(""htt"&amp;"ps://www.munzee.com/m/""&amp;$H43&amp;""/deploys/0/type/""&amp;IFNA(VLOOKUP($G43,IMPORTRANGE(""https://docs.google.com/spreadsheets/d/1DliIGyDywdzxhd4svtjaewR0p9Y5UBTMNMQ2PcXsqss"",""type data!E2:F""),2,FALSE),$F43)&amp;""/"",$H43)),""""))"),"EagleDadandXenia/21043")</f>
        <v>EagleDadandXenia/21043</v>
      </c>
      <c r="K43" s="9" t="b">
        <v>1</v>
      </c>
      <c r="L43" s="10"/>
      <c r="M43" s="10">
        <f t="shared" si="1"/>
        <v>5</v>
      </c>
    </row>
    <row r="44">
      <c r="A44" s="4" t="s">
        <v>91</v>
      </c>
      <c r="B44" s="5">
        <v>4.0</v>
      </c>
      <c r="C44" s="5">
        <v>9.0</v>
      </c>
      <c r="D44" s="6">
        <v>45.5443021686306</v>
      </c>
      <c r="E44" s="6">
        <v>-75.2689814793117</v>
      </c>
      <c r="F44" s="5" t="s">
        <v>33</v>
      </c>
      <c r="G44" s="5" t="s">
        <v>34</v>
      </c>
      <c r="H44" s="7" t="s">
        <v>92</v>
      </c>
      <c r="I44" s="7">
        <v>2991.0</v>
      </c>
      <c r="J44" s="8" t="str">
        <f>IFERROR(__xludf.DUMMYFUNCTION("IF(AND(REGEXMATCH($H44,""50( ?['fF]([oO]{2})?[tT]?)?( ?[eE][rR]{2}[oO][rR])"")=FALSE,$H44&lt;&gt;"""",$I44&lt;&gt;""""),HYPERLINK(""https://www.munzee.com/m/""&amp;$H44&amp;""/""&amp;$I44&amp;""/map/?lat=""&amp;$D44&amp;""&amp;lon=""&amp;$E44&amp;""&amp;type=""&amp;$F44&amp;""&amp;name=""&amp;SUBSTITUTE($A44,""#"",""%23"""&amp;"),$H44&amp;""/""&amp;$I44),IF($H44&lt;&gt;"""",IF(REGEXMATCH($H44,""50( ?['fF]([oO]{2})?[tT]?)?( ?[eE][rR]{2}[oO][rR])""),HYPERLINK(""https://www.munzee.com/map/?sandbox=1&amp;lat=""&amp;$D44&amp;""&amp;lon=""&amp;$E44&amp;""&amp;name=""&amp;SUBSTITUTE($A44,""#"",""%23""),""SANDBOX""),HYPERLINK(""htt"&amp;"ps://www.munzee.com/m/""&amp;$H44&amp;""/deploys/0/type/""&amp;IFNA(VLOOKUP($G44,IMPORTRANGE(""https://docs.google.com/spreadsheets/d/1DliIGyDywdzxhd4svtjaewR0p9Y5UBTMNMQ2PcXsqss"",""type data!E2:F""),2,FALSE),$F44)&amp;""/"",$H44)),""""))"),"jldh/2991")</f>
        <v>jldh/2991</v>
      </c>
      <c r="K44" s="9" t="b">
        <v>1</v>
      </c>
      <c r="L44" s="10"/>
      <c r="M44" s="10">
        <f t="shared" si="1"/>
        <v>5</v>
      </c>
    </row>
    <row r="45">
      <c r="A45" s="4" t="s">
        <v>93</v>
      </c>
      <c r="B45" s="5">
        <v>4.0</v>
      </c>
      <c r="C45" s="5">
        <v>10.0</v>
      </c>
      <c r="D45" s="6">
        <v>45.5443021684469</v>
      </c>
      <c r="E45" s="6">
        <v>-75.2687762549314</v>
      </c>
      <c r="F45" s="5" t="s">
        <v>33</v>
      </c>
      <c r="G45" s="5" t="s">
        <v>34</v>
      </c>
      <c r="H45" s="7" t="s">
        <v>94</v>
      </c>
      <c r="I45" s="7">
        <v>9532.0</v>
      </c>
      <c r="J45" s="8" t="str">
        <f>IFERROR(__xludf.DUMMYFUNCTION("IF(AND(REGEXMATCH($H45,""50( ?['fF]([oO]{2})?[tT]?)?( ?[eE][rR]{2}[oO][rR])"")=FALSE,$H45&lt;&gt;"""",$I45&lt;&gt;""""),HYPERLINK(""https://www.munzee.com/m/""&amp;$H45&amp;""/""&amp;$I45&amp;""/map/?lat=""&amp;$D45&amp;""&amp;lon=""&amp;$E45&amp;""&amp;type=""&amp;$F45&amp;""&amp;name=""&amp;SUBSTITUTE($A45,""#"",""%23"""&amp;"),$H45&amp;""/""&amp;$I45),IF($H45&lt;&gt;"""",IF(REGEXMATCH($H45,""50( ?['fF]([oO]{2})?[tT]?)?( ?[eE][rR]{2}[oO][rR])""),HYPERLINK(""https://www.munzee.com/map/?sandbox=1&amp;lat=""&amp;$D45&amp;""&amp;lon=""&amp;$E45&amp;""&amp;name=""&amp;SUBSTITUTE($A45,""#"",""%23""),""SANDBOX""),HYPERLINK(""htt"&amp;"ps://www.munzee.com/m/""&amp;$H45&amp;""/deploys/0/type/""&amp;IFNA(VLOOKUP($G45,IMPORTRANGE(""https://docs.google.com/spreadsheets/d/1DliIGyDywdzxhd4svtjaewR0p9Y5UBTMNMQ2PcXsqss"",""type data!E2:F""),2,FALSE),$F45)&amp;""/"",$H45)),""""))"),"mobility/9532")</f>
        <v>mobility/9532</v>
      </c>
      <c r="K45" s="9" t="b">
        <v>1</v>
      </c>
      <c r="L45" s="18"/>
      <c r="M45" s="10">
        <f t="shared" si="1"/>
        <v>1</v>
      </c>
    </row>
    <row r="46">
      <c r="A46" s="4" t="s">
        <v>95</v>
      </c>
      <c r="B46" s="5">
        <v>4.0</v>
      </c>
      <c r="C46" s="5">
        <v>11.0</v>
      </c>
      <c r="D46" s="6">
        <v>45.5443021682631</v>
      </c>
      <c r="E46" s="6">
        <v>-75.2685710305511</v>
      </c>
      <c r="F46" s="5" t="s">
        <v>59</v>
      </c>
      <c r="G46" s="5" t="s">
        <v>60</v>
      </c>
      <c r="H46" s="7" t="s">
        <v>87</v>
      </c>
      <c r="I46" s="7">
        <v>21040.0</v>
      </c>
      <c r="J46" s="8" t="str">
        <f>IFERROR(__xludf.DUMMYFUNCTION("IF(AND(REGEXMATCH($H46,""50( ?['fF]([oO]{2})?[tT]?)?( ?[eE][rR]{2}[oO][rR])"")=FALSE,$H46&lt;&gt;"""",$I46&lt;&gt;""""),HYPERLINK(""https://www.munzee.com/m/""&amp;$H46&amp;""/""&amp;$I46&amp;""/map/?lat=""&amp;$D46&amp;""&amp;lon=""&amp;$E46&amp;""&amp;type=""&amp;$F46&amp;""&amp;name=""&amp;SUBSTITUTE($A46,""#"",""%23"""&amp;"),$H46&amp;""/""&amp;$I46),IF($H46&lt;&gt;"""",IF(REGEXMATCH($H46,""50( ?['fF]([oO]{2})?[tT]?)?( ?[eE][rR]{2}[oO][rR])""),HYPERLINK(""https://www.munzee.com/map/?sandbox=1&amp;lat=""&amp;$D46&amp;""&amp;lon=""&amp;$E46&amp;""&amp;name=""&amp;SUBSTITUTE($A46,""#"",""%23""),""SANDBOX""),HYPERLINK(""htt"&amp;"ps://www.munzee.com/m/""&amp;$H46&amp;""/deploys/0/type/""&amp;IFNA(VLOOKUP($G46,IMPORTRANGE(""https://docs.google.com/spreadsheets/d/1DliIGyDywdzxhd4svtjaewR0p9Y5UBTMNMQ2PcXsqss"",""type data!E2:F""),2,FALSE),$F46)&amp;""/"",$H46)),""""))"),"EagleDadandXenia/21040")</f>
        <v>EagleDadandXenia/21040</v>
      </c>
      <c r="K46" s="9" t="b">
        <v>1</v>
      </c>
      <c r="L46" s="10"/>
      <c r="M46" s="10">
        <f t="shared" si="1"/>
        <v>5</v>
      </c>
    </row>
    <row r="47">
      <c r="A47" s="4" t="s">
        <v>96</v>
      </c>
      <c r="B47" s="5">
        <v>4.0</v>
      </c>
      <c r="C47" s="5">
        <v>12.0</v>
      </c>
      <c r="D47" s="6">
        <v>45.5443021680794</v>
      </c>
      <c r="E47" s="6">
        <v>-75.2683658061708</v>
      </c>
      <c r="F47" s="5" t="s">
        <v>33</v>
      </c>
      <c r="G47" s="5" t="s">
        <v>34</v>
      </c>
      <c r="H47" s="7" t="s">
        <v>97</v>
      </c>
      <c r="I47" s="7">
        <v>5016.0</v>
      </c>
      <c r="J47" s="8" t="str">
        <f>IFERROR(__xludf.DUMMYFUNCTION("IF(AND(REGEXMATCH($H47,""50( ?['fF]([oO]{2})?[tT]?)?( ?[eE][rR]{2}[oO][rR])"")=FALSE,$H47&lt;&gt;"""",$I47&lt;&gt;""""),HYPERLINK(""https://www.munzee.com/m/""&amp;$H47&amp;""/""&amp;$I47&amp;""/map/?lat=""&amp;$D47&amp;""&amp;lon=""&amp;$E47&amp;""&amp;type=""&amp;$F47&amp;""&amp;name=""&amp;SUBSTITUTE($A47,""#"",""%23"""&amp;"),$H47&amp;""/""&amp;$I47),IF($H47&lt;&gt;"""",IF(REGEXMATCH($H47,""50( ?['fF]([oO]{2})?[tT]?)?( ?[eE][rR]{2}[oO][rR])""),HYPERLINK(""https://www.munzee.com/map/?sandbox=1&amp;lat=""&amp;$D47&amp;""&amp;lon=""&amp;$E47&amp;""&amp;name=""&amp;SUBSTITUTE($A47,""#"",""%23""),""SANDBOX""),HYPERLINK(""htt"&amp;"ps://www.munzee.com/m/""&amp;$H47&amp;""/deploys/0/type/""&amp;IFNA(VLOOKUP($G47,IMPORTRANGE(""https://docs.google.com/spreadsheets/d/1DliIGyDywdzxhd4svtjaewR0p9Y5UBTMNMQ2PcXsqss"",""type data!E2:F""),2,FALSE),$F47)&amp;""/"",$H47)),""""))"),"ohiolady/5016")</f>
        <v>ohiolady/5016</v>
      </c>
      <c r="K47" s="9" t="b">
        <v>1</v>
      </c>
      <c r="L47" s="18"/>
      <c r="M47" s="10">
        <f t="shared" si="1"/>
        <v>1</v>
      </c>
    </row>
    <row r="48">
      <c r="A48" s="4" t="s">
        <v>98</v>
      </c>
      <c r="B48" s="5">
        <v>4.0</v>
      </c>
      <c r="C48" s="5">
        <v>13.0</v>
      </c>
      <c r="D48" s="6">
        <v>45.5443021678956</v>
      </c>
      <c r="E48" s="6">
        <v>-75.2681605817906</v>
      </c>
      <c r="F48" s="5" t="s">
        <v>33</v>
      </c>
      <c r="G48" s="5" t="s">
        <v>34</v>
      </c>
      <c r="H48" s="7" t="s">
        <v>99</v>
      </c>
      <c r="I48" s="7">
        <v>6123.0</v>
      </c>
      <c r="J48" s="8" t="str">
        <f>IFERROR(__xludf.DUMMYFUNCTION("IF(AND(REGEXMATCH($H48,""50( ?['fF]([oO]{2})?[tT]?)?( ?[eE][rR]{2}[oO][rR])"")=FALSE,$H48&lt;&gt;"""",$I48&lt;&gt;""""),HYPERLINK(""https://www.munzee.com/m/""&amp;$H48&amp;""/""&amp;$I48&amp;""/map/?lat=""&amp;$D48&amp;""&amp;lon=""&amp;$E48&amp;""&amp;type=""&amp;$F48&amp;""&amp;name=""&amp;SUBSTITUTE($A48,""#"",""%23"""&amp;"),$H48&amp;""/""&amp;$I48),IF($H48&lt;&gt;"""",IF(REGEXMATCH($H48,""50( ?['fF]([oO]{2})?[tT]?)?( ?[eE][rR]{2}[oO][rR])""),HYPERLINK(""https://www.munzee.com/map/?sandbox=1&amp;lat=""&amp;$D48&amp;""&amp;lon=""&amp;$E48&amp;""&amp;name=""&amp;SUBSTITUTE($A48,""#"",""%23""),""SANDBOX""),HYPERLINK(""htt"&amp;"ps://www.munzee.com/m/""&amp;$H48&amp;""/deploys/0/type/""&amp;IFNA(VLOOKUP($G48,IMPORTRANGE(""https://docs.google.com/spreadsheets/d/1DliIGyDywdzxhd4svtjaewR0p9Y5UBTMNMQ2PcXsqss"",""type data!E2:F""),2,FALSE),$F48)&amp;""/"",$H48)),""""))"),"92Supercoupe/6123")</f>
        <v>92Supercoupe/6123</v>
      </c>
      <c r="K48" s="9" t="b">
        <v>1</v>
      </c>
      <c r="L48" s="9"/>
      <c r="M48" s="10">
        <f t="shared" si="1"/>
        <v>1</v>
      </c>
    </row>
    <row r="49">
      <c r="A49" s="4" t="s">
        <v>100</v>
      </c>
      <c r="B49" s="5">
        <v>4.0</v>
      </c>
      <c r="C49" s="5">
        <v>14.0</v>
      </c>
      <c r="D49" s="6">
        <v>45.5443021677119</v>
      </c>
      <c r="E49" s="6">
        <v>-75.2679553574103</v>
      </c>
      <c r="F49" s="5" t="s">
        <v>59</v>
      </c>
      <c r="G49" s="5" t="s">
        <v>60</v>
      </c>
      <c r="H49" s="7" t="s">
        <v>87</v>
      </c>
      <c r="I49" s="7">
        <v>21027.0</v>
      </c>
      <c r="J49" s="8" t="str">
        <f>IFERROR(__xludf.DUMMYFUNCTION("IF(AND(REGEXMATCH($H49,""50( ?['fF]([oO]{2})?[tT]?)?( ?[eE][rR]{2}[oO][rR])"")=FALSE,$H49&lt;&gt;"""",$I49&lt;&gt;""""),HYPERLINK(""https://www.munzee.com/m/""&amp;$H49&amp;""/""&amp;$I49&amp;""/map/?lat=""&amp;$D49&amp;""&amp;lon=""&amp;$E49&amp;""&amp;type=""&amp;$F49&amp;""&amp;name=""&amp;SUBSTITUTE($A49,""#"",""%23"""&amp;"),$H49&amp;""/""&amp;$I49),IF($H49&lt;&gt;"""",IF(REGEXMATCH($H49,""50( ?['fF]([oO]{2})?[tT]?)?( ?[eE][rR]{2}[oO][rR])""),HYPERLINK(""https://www.munzee.com/map/?sandbox=1&amp;lat=""&amp;$D49&amp;""&amp;lon=""&amp;$E49&amp;""&amp;name=""&amp;SUBSTITUTE($A49,""#"",""%23""),""SANDBOX""),HYPERLINK(""htt"&amp;"ps://www.munzee.com/m/""&amp;$H49&amp;""/deploys/0/type/""&amp;IFNA(VLOOKUP($G49,IMPORTRANGE(""https://docs.google.com/spreadsheets/d/1DliIGyDywdzxhd4svtjaewR0p9Y5UBTMNMQ2PcXsqss"",""type data!E2:F""),2,FALSE),$F49)&amp;""/"",$H49)),""""))"),"EagleDadandXenia/21027")</f>
        <v>EagleDadandXenia/21027</v>
      </c>
      <c r="K49" s="9" t="b">
        <v>1</v>
      </c>
      <c r="L49" s="10"/>
      <c r="M49" s="10">
        <f t="shared" si="1"/>
        <v>5</v>
      </c>
    </row>
    <row r="50">
      <c r="A50" s="4" t="s">
        <v>101</v>
      </c>
      <c r="B50" s="5">
        <v>4.0</v>
      </c>
      <c r="C50" s="5">
        <v>15.0</v>
      </c>
      <c r="D50" s="6">
        <v>45.5443021675281</v>
      </c>
      <c r="E50" s="6">
        <v>-75.26775013303</v>
      </c>
      <c r="F50" s="5" t="s">
        <v>33</v>
      </c>
      <c r="G50" s="5" t="s">
        <v>34</v>
      </c>
      <c r="H50" s="7" t="s">
        <v>102</v>
      </c>
      <c r="I50" s="7">
        <v>907.0</v>
      </c>
      <c r="J50" s="8" t="str">
        <f>IFERROR(__xludf.DUMMYFUNCTION("IF(AND(REGEXMATCH($H50,""50( ?['fF]([oO]{2})?[tT]?)?( ?[eE][rR]{2}[oO][rR])"")=FALSE,$H50&lt;&gt;"""",$I50&lt;&gt;""""),HYPERLINK(""https://www.munzee.com/m/""&amp;$H50&amp;""/""&amp;$I50&amp;""/map/?lat=""&amp;$D50&amp;""&amp;lon=""&amp;$E50&amp;""&amp;type=""&amp;$F50&amp;""&amp;name=""&amp;SUBSTITUTE($A50,""#"",""%23"""&amp;"),$H50&amp;""/""&amp;$I50),IF($H50&lt;&gt;"""",IF(REGEXMATCH($H50,""50( ?['fF]([oO]{2})?[tT]?)?( ?[eE][rR]{2}[oO][rR])""),HYPERLINK(""https://www.munzee.com/map/?sandbox=1&amp;lat=""&amp;$D50&amp;""&amp;lon=""&amp;$E50&amp;""&amp;name=""&amp;SUBSTITUTE($A50,""#"",""%23""),""SANDBOX""),HYPERLINK(""htt"&amp;"ps://www.munzee.com/m/""&amp;$H50&amp;""/deploys/0/type/""&amp;IFNA(VLOOKUP($G50,IMPORTRANGE(""https://docs.google.com/spreadsheets/d/1DliIGyDywdzxhd4svtjaewR0p9Y5UBTMNMQ2PcXsqss"",""type data!E2:F""),2,FALSE),$F50)&amp;""/"",$H50)),""""))"),"jeffeth/907")</f>
        <v>jeffeth/907</v>
      </c>
      <c r="K50" s="9" t="b">
        <v>1</v>
      </c>
      <c r="L50" s="9"/>
      <c r="M50" s="10">
        <f t="shared" si="1"/>
        <v>5</v>
      </c>
    </row>
    <row r="51">
      <c r="A51" s="4" t="s">
        <v>103</v>
      </c>
      <c r="B51" s="5">
        <v>4.0</v>
      </c>
      <c r="C51" s="5">
        <v>16.0</v>
      </c>
      <c r="D51" s="6">
        <v>45.5443021673444</v>
      </c>
      <c r="E51" s="6">
        <v>-75.2675449086497</v>
      </c>
      <c r="F51" s="5" t="s">
        <v>14</v>
      </c>
      <c r="G51" s="5" t="s">
        <v>15</v>
      </c>
      <c r="H51" s="7" t="s">
        <v>27</v>
      </c>
      <c r="I51" s="7">
        <v>2051.0</v>
      </c>
      <c r="J51" s="8" t="str">
        <f>IFERROR(__xludf.DUMMYFUNCTION("IF(AND(REGEXMATCH($H51,""50( ?['fF]([oO]{2})?[tT]?)?( ?[eE][rR]{2}[oO][rR])"")=FALSE,$H51&lt;&gt;"""",$I51&lt;&gt;""""),HYPERLINK(""https://www.munzee.com/m/""&amp;$H51&amp;""/""&amp;$I51&amp;""/map/?lat=""&amp;$D51&amp;""&amp;lon=""&amp;$E51&amp;""&amp;type=""&amp;$F51&amp;""&amp;name=""&amp;SUBSTITUTE($A51,""#"",""%23"""&amp;"),$H51&amp;""/""&amp;$I51),IF($H51&lt;&gt;"""",IF(REGEXMATCH($H51,""50( ?['fF]([oO]{2})?[tT]?)?( ?[eE][rR]{2}[oO][rR])""),HYPERLINK(""https://www.munzee.com/map/?sandbox=1&amp;lat=""&amp;$D51&amp;""&amp;lon=""&amp;$E51&amp;""&amp;name=""&amp;SUBSTITUTE($A51,""#"",""%23""),""SANDBOX""),HYPERLINK(""htt"&amp;"ps://www.munzee.com/m/""&amp;$H51&amp;""/deploys/0/type/""&amp;IFNA(VLOOKUP($G51,IMPORTRANGE(""https://docs.google.com/spreadsheets/d/1DliIGyDywdzxhd4svtjaewR0p9Y5UBTMNMQ2PcXsqss"",""type data!E2:F""),2,FALSE),$F51)&amp;""/"",$H51)),""""))"),"Buckeyecacher111/2051")</f>
        <v>Buckeyecacher111/2051</v>
      </c>
      <c r="K51" s="9" t="b">
        <v>1</v>
      </c>
      <c r="L51" s="9"/>
      <c r="M51" s="10">
        <f t="shared" si="1"/>
        <v>2</v>
      </c>
    </row>
    <row r="52">
      <c r="A52" s="4" t="s">
        <v>104</v>
      </c>
      <c r="B52" s="5">
        <v>5.0</v>
      </c>
      <c r="C52" s="5">
        <v>1.0</v>
      </c>
      <c r="D52" s="6">
        <v>45.544158439655</v>
      </c>
      <c r="E52" s="6">
        <v>-75.2706232853728</v>
      </c>
      <c r="F52" s="5" t="s">
        <v>14</v>
      </c>
      <c r="G52" s="5" t="s">
        <v>15</v>
      </c>
      <c r="H52" s="7" t="s">
        <v>87</v>
      </c>
      <c r="I52" s="7">
        <v>20488.0</v>
      </c>
      <c r="J52" s="8" t="str">
        <f>IFERROR(__xludf.DUMMYFUNCTION("IF(AND(REGEXMATCH($H52,""50( ?['fF]([oO]{2})?[tT]?)?( ?[eE][rR]{2}[oO][rR])"")=FALSE,$H52&lt;&gt;"""",$I52&lt;&gt;""""),HYPERLINK(""https://www.munzee.com/m/""&amp;$H52&amp;""/""&amp;$I52&amp;""/map/?lat=""&amp;$D52&amp;""&amp;lon=""&amp;$E52&amp;""&amp;type=""&amp;$F52&amp;""&amp;name=""&amp;SUBSTITUTE($A52,""#"",""%23"""&amp;"),$H52&amp;""/""&amp;$I52),IF($H52&lt;&gt;"""",IF(REGEXMATCH($H52,""50( ?['fF]([oO]{2})?[tT]?)?( ?[eE][rR]{2}[oO][rR])""),HYPERLINK(""https://www.munzee.com/map/?sandbox=1&amp;lat=""&amp;$D52&amp;""&amp;lon=""&amp;$E52&amp;""&amp;name=""&amp;SUBSTITUTE($A52,""#"",""%23""),""SANDBOX""),HYPERLINK(""htt"&amp;"ps://www.munzee.com/m/""&amp;$H52&amp;""/deploys/0/type/""&amp;IFNA(VLOOKUP($G52,IMPORTRANGE(""https://docs.google.com/spreadsheets/d/1DliIGyDywdzxhd4svtjaewR0p9Y5UBTMNMQ2PcXsqss"",""type data!E2:F""),2,FALSE),$F52)&amp;""/"",$H52)),""""))"),"EagleDadandXenia/20488")</f>
        <v>EagleDadandXenia/20488</v>
      </c>
      <c r="K52" s="9" t="b">
        <v>1</v>
      </c>
      <c r="L52" s="10"/>
      <c r="M52" s="10">
        <f t="shared" si="1"/>
        <v>5</v>
      </c>
    </row>
    <row r="53">
      <c r="A53" s="4" t="s">
        <v>105</v>
      </c>
      <c r="B53" s="5">
        <v>5.0</v>
      </c>
      <c r="C53" s="5">
        <v>2.0</v>
      </c>
      <c r="D53" s="6">
        <v>45.5441584394713</v>
      </c>
      <c r="E53" s="6">
        <v>-75.2704180615172</v>
      </c>
      <c r="F53" s="5" t="s">
        <v>33</v>
      </c>
      <c r="G53" s="5" t="s">
        <v>34</v>
      </c>
      <c r="H53" s="7" t="s">
        <v>106</v>
      </c>
      <c r="I53" s="7">
        <v>5754.0</v>
      </c>
      <c r="J53" s="8" t="str">
        <f>IFERROR(__xludf.DUMMYFUNCTION("IF(AND(REGEXMATCH($H53,""50( ?['fF]([oO]{2})?[tT]?)?( ?[eE][rR]{2}[oO][rR])"")=FALSE,$H53&lt;&gt;"""",$I53&lt;&gt;""""),HYPERLINK(""https://www.munzee.com/m/""&amp;$H53&amp;""/""&amp;$I53&amp;""/map/?lat=""&amp;$D53&amp;""&amp;lon=""&amp;$E53&amp;""&amp;type=""&amp;$F53&amp;""&amp;name=""&amp;SUBSTITUTE($A53,""#"",""%23"""&amp;"),$H53&amp;""/""&amp;$I53),IF($H53&lt;&gt;"""",IF(REGEXMATCH($H53,""50( ?['fF]([oO]{2})?[tT]?)?( ?[eE][rR]{2}[oO][rR])""),HYPERLINK(""https://www.munzee.com/map/?sandbox=1&amp;lat=""&amp;$D53&amp;""&amp;lon=""&amp;$E53&amp;""&amp;name=""&amp;SUBSTITUTE($A53,""#"",""%23""),""SANDBOX""),HYPERLINK(""htt"&amp;"ps://www.munzee.com/m/""&amp;$H53&amp;""/deploys/0/type/""&amp;IFNA(VLOOKUP($G53,IMPORTRANGE(""https://docs.google.com/spreadsheets/d/1DliIGyDywdzxhd4svtjaewR0p9Y5UBTMNMQ2PcXsqss"",""type data!E2:F""),2,FALSE),$F53)&amp;""/"",$H53)),""""))"),"highmaintenance/5754")</f>
        <v>highmaintenance/5754</v>
      </c>
      <c r="K53" s="9" t="b">
        <v>1</v>
      </c>
      <c r="L53" s="9"/>
      <c r="M53" s="10">
        <f t="shared" si="1"/>
        <v>1</v>
      </c>
    </row>
    <row r="54">
      <c r="A54" s="4" t="s">
        <v>107</v>
      </c>
      <c r="B54" s="5">
        <v>5.0</v>
      </c>
      <c r="C54" s="5">
        <v>3.0</v>
      </c>
      <c r="D54" s="6">
        <v>45.5441584392875</v>
      </c>
      <c r="E54" s="6">
        <v>-75.2702128376616</v>
      </c>
      <c r="F54" s="5" t="s">
        <v>59</v>
      </c>
      <c r="G54" s="5" t="s">
        <v>60</v>
      </c>
      <c r="H54" s="14" t="s">
        <v>108</v>
      </c>
      <c r="I54" s="19">
        <v>15442.0</v>
      </c>
      <c r="J54" s="8" t="str">
        <f>IFERROR(__xludf.DUMMYFUNCTION("IF(AND(REGEXMATCH($H54,""50( ?['fF]([oO]{2})?[tT]?)?( ?[eE][rR]{2}[oO][rR])"")=FALSE,$H54&lt;&gt;"""",$I54&lt;&gt;""""),HYPERLINK(""https://www.munzee.com/m/""&amp;$H54&amp;""/""&amp;$I54&amp;""/map/?lat=""&amp;$D54&amp;""&amp;lon=""&amp;$E54&amp;""&amp;type=""&amp;$F54&amp;""&amp;name=""&amp;SUBSTITUTE($A54,""#"",""%23"""&amp;"),$H54&amp;""/""&amp;$I54),IF($H54&lt;&gt;"""",IF(REGEXMATCH($H54,""50( ?['fF]([oO]{2})?[tT]?)?( ?[eE][rR]{2}[oO][rR])""),HYPERLINK(""https://www.munzee.com/map/?sandbox=1&amp;lat=""&amp;$D54&amp;""&amp;lon=""&amp;$E54&amp;""&amp;name=""&amp;SUBSTITUTE($A54,""#"",""%23""),""SANDBOX""),HYPERLINK(""htt"&amp;"ps://www.munzee.com/m/""&amp;$H54&amp;""/deploys/0/type/""&amp;IFNA(VLOOKUP($G54,IMPORTRANGE(""https://docs.google.com/spreadsheets/d/1DliIGyDywdzxhd4svtjaewR0p9Y5UBTMNMQ2PcXsqss"",""type data!E2:F""),2,FALSE),$F54)&amp;""/"",$H54)),""""))"),"Justforfun33/15442")</f>
        <v>Justforfun33/15442</v>
      </c>
      <c r="K54" s="9" t="b">
        <v>1</v>
      </c>
      <c r="L54" s="18"/>
      <c r="M54" s="10">
        <f t="shared" si="1"/>
        <v>1</v>
      </c>
    </row>
    <row r="55">
      <c r="A55" s="4" t="s">
        <v>109</v>
      </c>
      <c r="B55" s="5">
        <v>5.0</v>
      </c>
      <c r="C55" s="5">
        <v>4.0</v>
      </c>
      <c r="D55" s="6">
        <v>45.5441584391038</v>
      </c>
      <c r="E55" s="6">
        <v>-75.270007613806</v>
      </c>
      <c r="F55" s="5" t="s">
        <v>33</v>
      </c>
      <c r="G55" s="5" t="s">
        <v>34</v>
      </c>
      <c r="H55" s="7" t="s">
        <v>110</v>
      </c>
      <c r="I55" s="7">
        <v>6140.0</v>
      </c>
      <c r="J55" s="8" t="str">
        <f>IFERROR(__xludf.DUMMYFUNCTION("IF(AND(REGEXMATCH($H55,""50( ?['fF]([oO]{2})?[tT]?)?( ?[eE][rR]{2}[oO][rR])"")=FALSE,$H55&lt;&gt;"""",$I55&lt;&gt;""""),HYPERLINK(""https://www.munzee.com/m/""&amp;$H55&amp;""/""&amp;$I55&amp;""/map/?lat=""&amp;$D55&amp;""&amp;lon=""&amp;$E55&amp;""&amp;type=""&amp;$F55&amp;""&amp;name=""&amp;SUBSTITUTE($A55,""#"",""%23"""&amp;"),$H55&amp;""/""&amp;$I55),IF($H55&lt;&gt;"""",IF(REGEXMATCH($H55,""50( ?['fF]([oO]{2})?[tT]?)?( ?[eE][rR]{2}[oO][rR])""),HYPERLINK(""https://www.munzee.com/map/?sandbox=1&amp;lat=""&amp;$D55&amp;""&amp;lon=""&amp;$E55&amp;""&amp;name=""&amp;SUBSTITUTE($A55,""#"",""%23""),""SANDBOX""),HYPERLINK(""htt"&amp;"ps://www.munzee.com/m/""&amp;$H55&amp;""/deploys/0/type/""&amp;IFNA(VLOOKUP($G55,IMPORTRANGE(""https://docs.google.com/spreadsheets/d/1DliIGyDywdzxhd4svtjaewR0p9Y5UBTMNMQ2PcXsqss"",""type data!E2:F""),2,FALSE),$F55)&amp;""/"",$H55)),""""))"),"DolphinJo/6140")</f>
        <v>DolphinJo/6140</v>
      </c>
      <c r="K55" s="9" t="b">
        <v>1</v>
      </c>
      <c r="L55" s="16"/>
      <c r="M55" s="10">
        <f t="shared" si="1"/>
        <v>1</v>
      </c>
    </row>
    <row r="56">
      <c r="A56" s="4" t="s">
        <v>111</v>
      </c>
      <c r="B56" s="5">
        <v>5.0</v>
      </c>
      <c r="C56" s="5">
        <v>5.0</v>
      </c>
      <c r="D56" s="6">
        <v>45.54415843892</v>
      </c>
      <c r="E56" s="6">
        <v>-75.2698023899504</v>
      </c>
      <c r="F56" s="5" t="s">
        <v>112</v>
      </c>
      <c r="G56" s="5" t="s">
        <v>113</v>
      </c>
      <c r="H56" s="7" t="s">
        <v>92</v>
      </c>
      <c r="I56" s="7">
        <v>3041.0</v>
      </c>
      <c r="J56" s="8" t="str">
        <f>IFERROR(__xludf.DUMMYFUNCTION("IF(AND(REGEXMATCH($H56,""50( ?['fF]([oO]{2})?[tT]?)?( ?[eE][rR]{2}[oO][rR])"")=FALSE,$H56&lt;&gt;"""",$I56&lt;&gt;""""),HYPERLINK(""https://www.munzee.com/m/""&amp;$H56&amp;""/""&amp;$I56&amp;""/map/?lat=""&amp;$D56&amp;""&amp;lon=""&amp;$E56&amp;""&amp;type=""&amp;$F56&amp;""&amp;name=""&amp;SUBSTITUTE($A56,""#"",""%23"""&amp;"),$H56&amp;""/""&amp;$I56),IF($H56&lt;&gt;"""",IF(REGEXMATCH($H56,""50( ?['fF]([oO]{2})?[tT]?)?( ?[eE][rR]{2}[oO][rR])""),HYPERLINK(""https://www.munzee.com/map/?sandbox=1&amp;lat=""&amp;$D56&amp;""&amp;lon=""&amp;$E56&amp;""&amp;name=""&amp;SUBSTITUTE($A56,""#"",""%23""),""SANDBOX""),HYPERLINK(""htt"&amp;"ps://www.munzee.com/m/""&amp;$H56&amp;""/deploys/0/type/""&amp;IFNA(VLOOKUP($G56,IMPORTRANGE(""https://docs.google.com/spreadsheets/d/1DliIGyDywdzxhd4svtjaewR0p9Y5UBTMNMQ2PcXsqss"",""type data!E2:F""),2,FALSE),$F56)&amp;""/"",$H56)),""""))"),"jldh/3041")</f>
        <v>jldh/3041</v>
      </c>
      <c r="K56" s="9" t="b">
        <v>1</v>
      </c>
      <c r="L56" s="10"/>
      <c r="M56" s="10">
        <f t="shared" si="1"/>
        <v>5</v>
      </c>
    </row>
    <row r="57">
      <c r="A57" s="4" t="s">
        <v>114</v>
      </c>
      <c r="B57" s="5">
        <v>5.0</v>
      </c>
      <c r="C57" s="5">
        <v>6.0</v>
      </c>
      <c r="D57" s="6">
        <v>45.5441584387363</v>
      </c>
      <c r="E57" s="6">
        <v>-75.2695971660948</v>
      </c>
      <c r="F57" s="5" t="s">
        <v>112</v>
      </c>
      <c r="G57" s="5" t="s">
        <v>113</v>
      </c>
      <c r="H57" s="7" t="s">
        <v>16</v>
      </c>
      <c r="I57" s="7">
        <v>655.0</v>
      </c>
      <c r="J57" s="8" t="str">
        <f>IFERROR(__xludf.DUMMYFUNCTION("IF(AND(REGEXMATCH($H57,""50( ?['fF]([oO]{2})?[tT]?)?( ?[eE][rR]{2}[oO][rR])"")=FALSE,$H57&lt;&gt;"""",$I57&lt;&gt;""""),HYPERLINK(""https://www.munzee.com/m/""&amp;$H57&amp;""/""&amp;$I57&amp;""/map/?lat=""&amp;$D57&amp;""&amp;lon=""&amp;$E57&amp;""&amp;type=""&amp;$F57&amp;""&amp;name=""&amp;SUBSTITUTE($A57,""#"",""%23"""&amp;"),$H57&amp;""/""&amp;$I57),IF($H57&lt;&gt;"""",IF(REGEXMATCH($H57,""50( ?['fF]([oO]{2})?[tT]?)?( ?[eE][rR]{2}[oO][rR])""),HYPERLINK(""https://www.munzee.com/map/?sandbox=1&amp;lat=""&amp;$D57&amp;""&amp;lon=""&amp;$E57&amp;""&amp;name=""&amp;SUBSTITUTE($A57,""#"",""%23""),""SANDBOX""),HYPERLINK(""htt"&amp;"ps://www.munzee.com/m/""&amp;$H57&amp;""/deploys/0/type/""&amp;IFNA(VLOOKUP($G57,IMPORTRANGE(""https://docs.google.com/spreadsheets/d/1DliIGyDywdzxhd4svtjaewR0p9Y5UBTMNMQ2PcXsqss"",""type data!E2:F""),2,FALSE),$F57)&amp;""/"",$H57)),""""))"),"Heluna/655")</f>
        <v>Heluna/655</v>
      </c>
      <c r="K57" s="9" t="b">
        <v>1</v>
      </c>
      <c r="L57" s="9"/>
      <c r="M57" s="10">
        <f t="shared" si="1"/>
        <v>5</v>
      </c>
    </row>
    <row r="58">
      <c r="A58" s="4" t="s">
        <v>115</v>
      </c>
      <c r="B58" s="5">
        <v>5.0</v>
      </c>
      <c r="C58" s="5">
        <v>7.0</v>
      </c>
      <c r="D58" s="6">
        <v>45.5441584385526</v>
      </c>
      <c r="E58" s="6">
        <v>-75.2693919422392</v>
      </c>
      <c r="F58" s="5" t="s">
        <v>33</v>
      </c>
      <c r="G58" s="5" t="s">
        <v>34</v>
      </c>
      <c r="H58" s="7" t="s">
        <v>116</v>
      </c>
      <c r="I58" s="7">
        <v>2485.0</v>
      </c>
      <c r="J58" s="8" t="str">
        <f>IFERROR(__xludf.DUMMYFUNCTION("IF(AND(REGEXMATCH($H58,""50( ?['fF]([oO]{2})?[tT]?)?( ?[eE][rR]{2}[oO][rR])"")=FALSE,$H58&lt;&gt;"""",$I58&lt;&gt;""""),HYPERLINK(""https://www.munzee.com/m/""&amp;$H58&amp;""/""&amp;$I58&amp;""/map/?lat=""&amp;$D58&amp;""&amp;lon=""&amp;$E58&amp;""&amp;type=""&amp;$F58&amp;""&amp;name=""&amp;SUBSTITUTE($A58,""#"",""%23"""&amp;"),$H58&amp;""/""&amp;$I58),IF($H58&lt;&gt;"""",IF(REGEXMATCH($H58,""50( ?['fF]([oO]{2})?[tT]?)?( ?[eE][rR]{2}[oO][rR])""),HYPERLINK(""https://www.munzee.com/map/?sandbox=1&amp;lat=""&amp;$D58&amp;""&amp;lon=""&amp;$E58&amp;""&amp;name=""&amp;SUBSTITUTE($A58,""#"",""%23""),""SANDBOX""),HYPERLINK(""htt"&amp;"ps://www.munzee.com/m/""&amp;$H58&amp;""/deploys/0/type/""&amp;IFNA(VLOOKUP($G58,IMPORTRANGE(""https://docs.google.com/spreadsheets/d/1DliIGyDywdzxhd4svtjaewR0p9Y5UBTMNMQ2PcXsqss"",""type data!E2:F""),2,FALSE),$F58)&amp;""/"",$H58)),""""))"),"Lihi80/2485")</f>
        <v>Lihi80/2485</v>
      </c>
      <c r="K58" s="9" t="b">
        <v>1</v>
      </c>
      <c r="L58" s="9"/>
      <c r="M58" s="10">
        <f t="shared" si="1"/>
        <v>1</v>
      </c>
    </row>
    <row r="59">
      <c r="A59" s="4" t="s">
        <v>117</v>
      </c>
      <c r="B59" s="5">
        <v>5.0</v>
      </c>
      <c r="C59" s="5">
        <v>8.0</v>
      </c>
      <c r="D59" s="6">
        <v>45.5441584383688</v>
      </c>
      <c r="E59" s="6">
        <v>-75.2691867183837</v>
      </c>
      <c r="F59" s="5" t="s">
        <v>59</v>
      </c>
      <c r="G59" s="5" t="s">
        <v>60</v>
      </c>
      <c r="H59" s="7" t="s">
        <v>118</v>
      </c>
      <c r="I59" s="7">
        <v>1427.0</v>
      </c>
      <c r="J59" s="8" t="str">
        <f>IFERROR(__xludf.DUMMYFUNCTION("IF(AND(REGEXMATCH($H59,""50( ?['fF]([oO]{2})?[tT]?)?( ?[eE][rR]{2}[oO][rR])"")=FALSE,$H59&lt;&gt;"""",$I59&lt;&gt;""""),HYPERLINK(""https://www.munzee.com/m/""&amp;$H59&amp;""/""&amp;$I59&amp;""/map/?lat=""&amp;$D59&amp;""&amp;lon=""&amp;$E59&amp;""&amp;type=""&amp;$F59&amp;""&amp;name=""&amp;SUBSTITUTE($A59,""#"",""%23"""&amp;"),$H59&amp;""/""&amp;$I59),IF($H59&lt;&gt;"""",IF(REGEXMATCH($H59,""50( ?['fF]([oO]{2})?[tT]?)?( ?[eE][rR]{2}[oO][rR])""),HYPERLINK(""https://www.munzee.com/map/?sandbox=1&amp;lat=""&amp;$D59&amp;""&amp;lon=""&amp;$E59&amp;""&amp;name=""&amp;SUBSTITUTE($A59,""#"",""%23""),""SANDBOX""),HYPERLINK(""htt"&amp;"ps://www.munzee.com/m/""&amp;$H59&amp;""/deploys/0/type/""&amp;IFNA(VLOOKUP($G59,IMPORTRANGE(""https://docs.google.com/spreadsheets/d/1DliIGyDywdzxhd4svtjaewR0p9Y5UBTMNMQ2PcXsqss"",""type data!E2:F""),2,FALSE),$F59)&amp;""/"",$H59)),""""))"),"SJClyde/1427")</f>
        <v>SJClyde/1427</v>
      </c>
      <c r="K59" s="9" t="b">
        <v>1</v>
      </c>
      <c r="L59" s="9"/>
      <c r="M59" s="10">
        <f t="shared" si="1"/>
        <v>1</v>
      </c>
    </row>
    <row r="60">
      <c r="A60" s="4" t="s">
        <v>119</v>
      </c>
      <c r="B60" s="5">
        <v>5.0</v>
      </c>
      <c r="C60" s="5">
        <v>9.0</v>
      </c>
      <c r="D60" s="6">
        <v>45.5441584381851</v>
      </c>
      <c r="E60" s="6">
        <v>-75.2689814945281</v>
      </c>
      <c r="F60" s="5" t="s">
        <v>120</v>
      </c>
      <c r="G60" s="5" t="s">
        <v>121</v>
      </c>
      <c r="H60" s="7" t="s">
        <v>41</v>
      </c>
      <c r="I60" s="7">
        <v>2424.0</v>
      </c>
      <c r="J60" s="8" t="str">
        <f>IFERROR(__xludf.DUMMYFUNCTION("IF(AND(REGEXMATCH($H60,""50( ?['fF]([oO]{2})?[tT]?)?( ?[eE][rR]{2}[oO][rR])"")=FALSE,$H60&lt;&gt;"""",$I60&lt;&gt;""""),HYPERLINK(""https://www.munzee.com/m/""&amp;$H60&amp;""/""&amp;$I60&amp;""/map/?lat=""&amp;$D60&amp;""&amp;lon=""&amp;$E60&amp;""&amp;type=""&amp;$F60&amp;""&amp;name=""&amp;SUBSTITUTE($A60,""#"",""%23"""&amp;"),$H60&amp;""/""&amp;$I60),IF($H60&lt;&gt;"""",IF(REGEXMATCH($H60,""50( ?['fF]([oO]{2})?[tT]?)?( ?[eE][rR]{2}[oO][rR])""),HYPERLINK(""https://www.munzee.com/map/?sandbox=1&amp;lat=""&amp;$D60&amp;""&amp;lon=""&amp;$E60&amp;""&amp;name=""&amp;SUBSTITUTE($A60,""#"",""%23""),""SANDBOX""),HYPERLINK(""htt"&amp;"ps://www.munzee.com/m/""&amp;$H60&amp;""/deploys/0/type/""&amp;IFNA(VLOOKUP($G60,IMPORTRANGE(""https://docs.google.com/spreadsheets/d/1DliIGyDywdzxhd4svtjaewR0p9Y5UBTMNMQ2PcXsqss"",""type data!E2:F""),2,FALSE),$F60)&amp;""/"",$H60)),""""))"),"technical13/2424")</f>
        <v>technical13/2424</v>
      </c>
      <c r="K60" s="9" t="b">
        <v>1</v>
      </c>
      <c r="L60" s="15" t="str">
        <f>(COUNTIF($K$2:$K164,TRUE)&amp;"/50 ("&amp;((COUNTIF($K$2:$K164,TRUE)/50)*100)&amp;"%) checked - (SUBMITTED)")</f>
        <v>163/50 (326%) checked - (SUBMITTED)</v>
      </c>
      <c r="M60" s="10">
        <f t="shared" si="1"/>
        <v>10</v>
      </c>
    </row>
    <row r="61">
      <c r="A61" s="4" t="s">
        <v>122</v>
      </c>
      <c r="B61" s="5">
        <v>5.0</v>
      </c>
      <c r="C61" s="5">
        <v>10.0</v>
      </c>
      <c r="D61" s="6">
        <v>45.5441584380013</v>
      </c>
      <c r="E61" s="6">
        <v>-75.2687762706725</v>
      </c>
      <c r="F61" s="5" t="s">
        <v>59</v>
      </c>
      <c r="G61" s="5" t="s">
        <v>60</v>
      </c>
      <c r="H61" s="7" t="s">
        <v>123</v>
      </c>
      <c r="I61" s="7">
        <v>412.0</v>
      </c>
      <c r="J61" s="8" t="str">
        <f>IFERROR(__xludf.DUMMYFUNCTION("IF(AND(REGEXMATCH($H61,""50( ?['fF]([oO]{2})?[tT]?)?( ?[eE][rR]{2}[oO][rR])"")=FALSE,$H61&lt;&gt;"""",$I61&lt;&gt;""""),HYPERLINK(""https://www.munzee.com/m/""&amp;$H61&amp;""/""&amp;$I61&amp;""/map/?lat=""&amp;$D61&amp;""&amp;lon=""&amp;$E61&amp;""&amp;type=""&amp;$F61&amp;""&amp;name=""&amp;SUBSTITUTE($A61,""#"",""%23"""&amp;"),$H61&amp;""/""&amp;$I61),IF($H61&lt;&gt;"""",IF(REGEXMATCH($H61,""50( ?['fF]([oO]{2})?[tT]?)?( ?[eE][rR]{2}[oO][rR])""),HYPERLINK(""https://www.munzee.com/map/?sandbox=1&amp;lat=""&amp;$D61&amp;""&amp;lon=""&amp;$E61&amp;""&amp;name=""&amp;SUBSTITUTE($A61,""#"",""%23""),""SANDBOX""),HYPERLINK(""htt"&amp;"ps://www.munzee.com/m/""&amp;$H61&amp;""/deploys/0/type/""&amp;IFNA(VLOOKUP($G61,IMPORTRANGE(""https://docs.google.com/spreadsheets/d/1DliIGyDywdzxhd4svtjaewR0p9Y5UBTMNMQ2PcXsqss"",""type data!E2:F""),2,FALSE),$F61)&amp;""/"",$H61)),""""))"),"ChudleighTraveller/412")</f>
        <v>ChudleighTraveller/412</v>
      </c>
      <c r="K61" s="9" t="b">
        <v>1</v>
      </c>
      <c r="L61" s="9"/>
      <c r="M61" s="10">
        <f t="shared" si="1"/>
        <v>1</v>
      </c>
    </row>
    <row r="62">
      <c r="A62" s="4" t="s">
        <v>124</v>
      </c>
      <c r="B62" s="5">
        <v>5.0</v>
      </c>
      <c r="C62" s="5">
        <v>11.0</v>
      </c>
      <c r="D62" s="6">
        <v>45.5441584378176</v>
      </c>
      <c r="E62" s="6">
        <v>-75.2685710468169</v>
      </c>
      <c r="F62" s="5" t="s">
        <v>33</v>
      </c>
      <c r="G62" s="5" t="s">
        <v>34</v>
      </c>
      <c r="H62" s="7" t="s">
        <v>102</v>
      </c>
      <c r="I62" s="7">
        <v>908.0</v>
      </c>
      <c r="J62" s="8" t="str">
        <f>IFERROR(__xludf.DUMMYFUNCTION("IF(AND(REGEXMATCH($H62,""50( ?['fF]([oO]{2})?[tT]?)?( ?[eE][rR]{2}[oO][rR])"")=FALSE,$H62&lt;&gt;"""",$I62&lt;&gt;""""),HYPERLINK(""https://www.munzee.com/m/""&amp;$H62&amp;""/""&amp;$I62&amp;""/map/?lat=""&amp;$D62&amp;""&amp;lon=""&amp;$E62&amp;""&amp;type=""&amp;$F62&amp;""&amp;name=""&amp;SUBSTITUTE($A62,""#"",""%23"""&amp;"),$H62&amp;""/""&amp;$I62),IF($H62&lt;&gt;"""",IF(REGEXMATCH($H62,""50( ?['fF]([oO]{2})?[tT]?)?( ?[eE][rR]{2}[oO][rR])""),HYPERLINK(""https://www.munzee.com/map/?sandbox=1&amp;lat=""&amp;$D62&amp;""&amp;lon=""&amp;$E62&amp;""&amp;name=""&amp;SUBSTITUTE($A62,""#"",""%23""),""SANDBOX""),HYPERLINK(""htt"&amp;"ps://www.munzee.com/m/""&amp;$H62&amp;""/deploys/0/type/""&amp;IFNA(VLOOKUP($G62,IMPORTRANGE(""https://docs.google.com/spreadsheets/d/1DliIGyDywdzxhd4svtjaewR0p9Y5UBTMNMQ2PcXsqss"",""type data!E2:F""),2,FALSE),$F62)&amp;""/"",$H62)),""""))"),"jeffeth/908")</f>
        <v>jeffeth/908</v>
      </c>
      <c r="K62" s="9" t="b">
        <v>1</v>
      </c>
      <c r="L62" s="10"/>
      <c r="M62" s="10">
        <f t="shared" si="1"/>
        <v>5</v>
      </c>
    </row>
    <row r="63">
      <c r="A63" s="4" t="s">
        <v>125</v>
      </c>
      <c r="B63" s="5">
        <v>5.0</v>
      </c>
      <c r="C63" s="5">
        <v>12.0</v>
      </c>
      <c r="D63" s="6">
        <v>45.5441584376339</v>
      </c>
      <c r="E63" s="6">
        <v>-75.2683658229614</v>
      </c>
      <c r="F63" s="5" t="s">
        <v>112</v>
      </c>
      <c r="G63" s="5" t="s">
        <v>113</v>
      </c>
      <c r="H63" s="7" t="s">
        <v>52</v>
      </c>
      <c r="I63" s="7">
        <v>1254.0</v>
      </c>
      <c r="J63" s="8" t="str">
        <f>IFERROR(__xludf.DUMMYFUNCTION("IF(AND(REGEXMATCH($H63,""50( ?['fF]([oO]{2})?[tT]?)?( ?[eE][rR]{2}[oO][rR])"")=FALSE,$H63&lt;&gt;"""",$I63&lt;&gt;""""),HYPERLINK(""https://www.munzee.com/m/""&amp;$H63&amp;""/""&amp;$I63&amp;""/map/?lat=""&amp;$D63&amp;""&amp;lon=""&amp;$E63&amp;""&amp;type=""&amp;$F63&amp;""&amp;name=""&amp;SUBSTITUTE($A63,""#"",""%23"""&amp;"),$H63&amp;""/""&amp;$I63),IF($H63&lt;&gt;"""",IF(REGEXMATCH($H63,""50( ?['fF]([oO]{2})?[tT]?)?( ?[eE][rR]{2}[oO][rR])""),HYPERLINK(""https://www.munzee.com/map/?sandbox=1&amp;lat=""&amp;$D63&amp;""&amp;lon=""&amp;$E63&amp;""&amp;name=""&amp;SUBSTITUTE($A63,""#"",""%23""),""SANDBOX""),HYPERLINK(""htt"&amp;"ps://www.munzee.com/m/""&amp;$H63&amp;""/deploys/0/type/""&amp;IFNA(VLOOKUP($G63,IMPORTRANGE(""https://docs.google.com/spreadsheets/d/1DliIGyDywdzxhd4svtjaewR0p9Y5UBTMNMQ2PcXsqss"",""type data!E2:F""),2,FALSE),$F63)&amp;""/"",$H63)),""""))"),"RoninsGal/1254")</f>
        <v>RoninsGal/1254</v>
      </c>
      <c r="K63" s="9" t="b">
        <v>1</v>
      </c>
      <c r="L63" s="9"/>
      <c r="M63" s="10">
        <f t="shared" si="1"/>
        <v>3</v>
      </c>
    </row>
    <row r="64">
      <c r="A64" s="4" t="s">
        <v>126</v>
      </c>
      <c r="B64" s="5">
        <v>5.0</v>
      </c>
      <c r="C64" s="5">
        <v>13.0</v>
      </c>
      <c r="D64" s="6">
        <v>45.5441584374501</v>
      </c>
      <c r="E64" s="6">
        <v>-75.2681605991058</v>
      </c>
      <c r="F64" s="5" t="s">
        <v>112</v>
      </c>
      <c r="G64" s="5" t="s">
        <v>113</v>
      </c>
      <c r="H64" s="7" t="s">
        <v>127</v>
      </c>
      <c r="I64" s="7">
        <v>369.0</v>
      </c>
      <c r="J64" s="8" t="str">
        <f>IFERROR(__xludf.DUMMYFUNCTION("IF(AND(REGEXMATCH($H64,""50( ?['fF]([oO]{2})?[tT]?)?( ?[eE][rR]{2}[oO][rR])"")=FALSE,$H64&lt;&gt;"""",$I64&lt;&gt;""""),HYPERLINK(""https://www.munzee.com/m/""&amp;$H64&amp;""/""&amp;$I64&amp;""/map/?lat=""&amp;$D64&amp;""&amp;lon=""&amp;$E64&amp;""&amp;type=""&amp;$F64&amp;""&amp;name=""&amp;SUBSTITUTE($A64,""#"",""%23"""&amp;"),$H64&amp;""/""&amp;$I64),IF($H64&lt;&gt;"""",IF(REGEXMATCH($H64,""50( ?['fF]([oO]{2})?[tT]?)?( ?[eE][rR]{2}[oO][rR])""),HYPERLINK(""https://www.munzee.com/map/?sandbox=1&amp;lat=""&amp;$D64&amp;""&amp;lon=""&amp;$E64&amp;""&amp;name=""&amp;SUBSTITUTE($A64,""#"",""%23""),""SANDBOX""),HYPERLINK(""htt"&amp;"ps://www.munzee.com/m/""&amp;$H64&amp;""/deploys/0/type/""&amp;IFNA(VLOOKUP($G64,IMPORTRANGE(""https://docs.google.com/spreadsheets/d/1DliIGyDywdzxhd4svtjaewR0p9Y5UBTMNMQ2PcXsqss"",""type data!E2:F""),2,FALSE),$F64)&amp;""/"",$H64)),""""))"),"Reart/369")</f>
        <v>Reart/369</v>
      </c>
      <c r="K64" s="9" t="b">
        <v>1</v>
      </c>
      <c r="L64" s="10"/>
      <c r="M64" s="10">
        <f t="shared" si="1"/>
        <v>1</v>
      </c>
    </row>
    <row r="65">
      <c r="A65" s="4" t="s">
        <v>128</v>
      </c>
      <c r="B65" s="5">
        <v>5.0</v>
      </c>
      <c r="C65" s="5">
        <v>14.0</v>
      </c>
      <c r="D65" s="6">
        <v>45.5441584372664</v>
      </c>
      <c r="E65" s="6">
        <v>-75.2679553752502</v>
      </c>
      <c r="F65" s="5" t="s">
        <v>33</v>
      </c>
      <c r="G65" s="5" t="s">
        <v>34</v>
      </c>
      <c r="H65" s="7" t="s">
        <v>129</v>
      </c>
      <c r="I65" s="7">
        <v>3386.0</v>
      </c>
      <c r="J65" s="8" t="str">
        <f>IFERROR(__xludf.DUMMYFUNCTION("IF(AND(REGEXMATCH($H65,""50( ?['fF]([oO]{2})?[tT]?)?( ?[eE][rR]{2}[oO][rR])"")=FALSE,$H65&lt;&gt;"""",$I65&lt;&gt;""""),HYPERLINK(""https://www.munzee.com/m/""&amp;$H65&amp;""/""&amp;$I65&amp;""/map/?lat=""&amp;$D65&amp;""&amp;lon=""&amp;$E65&amp;""&amp;type=""&amp;$F65&amp;""&amp;name=""&amp;SUBSTITUTE($A65,""#"",""%23"""&amp;"),$H65&amp;""/""&amp;$I65),IF($H65&lt;&gt;"""",IF(REGEXMATCH($H65,""50( ?['fF]([oO]{2})?[tT]?)?( ?[eE][rR]{2}[oO][rR])""),HYPERLINK(""https://www.munzee.com/map/?sandbox=1&amp;lat=""&amp;$D65&amp;""&amp;lon=""&amp;$E65&amp;""&amp;name=""&amp;SUBSTITUTE($A65,""#"",""%23""),""SANDBOX""),HYPERLINK(""htt"&amp;"ps://www.munzee.com/m/""&amp;$H65&amp;""/deploys/0/type/""&amp;IFNA(VLOOKUP($G65,IMPORTRANGE(""https://docs.google.com/spreadsheets/d/1DliIGyDywdzxhd4svtjaewR0p9Y5UBTMNMQ2PcXsqss"",""type data!E2:F""),2,FALSE),$F65)&amp;""/"",$H65)),""""))"),"Kyrandia/3386")</f>
        <v>Kyrandia/3386</v>
      </c>
      <c r="K65" s="9" t="b">
        <v>1</v>
      </c>
      <c r="L65" s="10"/>
      <c r="M65" s="10">
        <f t="shared" si="1"/>
        <v>1</v>
      </c>
    </row>
    <row r="66">
      <c r="A66" s="4" t="s">
        <v>130</v>
      </c>
      <c r="B66" s="5">
        <v>5.0</v>
      </c>
      <c r="C66" s="5">
        <v>15.0</v>
      </c>
      <c r="D66" s="6">
        <v>45.5441584370826</v>
      </c>
      <c r="E66" s="6">
        <v>-75.2677501513947</v>
      </c>
      <c r="F66" s="5" t="s">
        <v>59</v>
      </c>
      <c r="G66" s="5" t="s">
        <v>60</v>
      </c>
      <c r="H66" s="7" t="s">
        <v>92</v>
      </c>
      <c r="I66" s="7">
        <v>3042.0</v>
      </c>
      <c r="J66" s="8" t="str">
        <f>IFERROR(__xludf.DUMMYFUNCTION("IF(AND(REGEXMATCH($H66,""50( ?['fF]([oO]{2})?[tT]?)?( ?[eE][rR]{2}[oO][rR])"")=FALSE,$H66&lt;&gt;"""",$I66&lt;&gt;""""),HYPERLINK(""https://www.munzee.com/m/""&amp;$H66&amp;""/""&amp;$I66&amp;""/map/?lat=""&amp;$D66&amp;""&amp;lon=""&amp;$E66&amp;""&amp;type=""&amp;$F66&amp;""&amp;name=""&amp;SUBSTITUTE($A66,""#"",""%23"""&amp;"),$H66&amp;""/""&amp;$I66),IF($H66&lt;&gt;"""",IF(REGEXMATCH($H66,""50( ?['fF]([oO]{2})?[tT]?)?( ?[eE][rR]{2}[oO][rR])""),HYPERLINK(""https://www.munzee.com/map/?sandbox=1&amp;lat=""&amp;$D66&amp;""&amp;lon=""&amp;$E66&amp;""&amp;name=""&amp;SUBSTITUTE($A66,""#"",""%23""),""SANDBOX""),HYPERLINK(""htt"&amp;"ps://www.munzee.com/m/""&amp;$H66&amp;""/deploys/0/type/""&amp;IFNA(VLOOKUP($G66,IMPORTRANGE(""https://docs.google.com/spreadsheets/d/1DliIGyDywdzxhd4svtjaewR0p9Y5UBTMNMQ2PcXsqss"",""type data!E2:F""),2,FALSE),$F66)&amp;""/"",$H66)),""""))"),"jldh/3042")</f>
        <v>jldh/3042</v>
      </c>
      <c r="K66" s="9" t="b">
        <v>1</v>
      </c>
      <c r="L66" s="10"/>
      <c r="M66" s="10">
        <f t="shared" si="1"/>
        <v>5</v>
      </c>
    </row>
    <row r="67">
      <c r="A67" s="4" t="s">
        <v>131</v>
      </c>
      <c r="B67" s="5">
        <v>5.0</v>
      </c>
      <c r="C67" s="5">
        <v>16.0</v>
      </c>
      <c r="D67" s="6">
        <v>45.5441584368989</v>
      </c>
      <c r="E67" s="6">
        <v>-75.2675449275391</v>
      </c>
      <c r="F67" s="5" t="s">
        <v>33</v>
      </c>
      <c r="G67" s="5" t="s">
        <v>34</v>
      </c>
      <c r="H67" s="7" t="s">
        <v>132</v>
      </c>
      <c r="I67" s="7">
        <v>2621.0</v>
      </c>
      <c r="J67" s="8" t="str">
        <f>IFERROR(__xludf.DUMMYFUNCTION("IF(AND(REGEXMATCH($H67,""50( ?['fF]([oO]{2})?[tT]?)?( ?[eE][rR]{2}[oO][rR])"")=FALSE,$H67&lt;&gt;"""",$I67&lt;&gt;""""),HYPERLINK(""https://www.munzee.com/m/""&amp;$H67&amp;""/""&amp;$I67&amp;""/map/?lat=""&amp;$D67&amp;""&amp;lon=""&amp;$E67&amp;""&amp;type=""&amp;$F67&amp;""&amp;name=""&amp;SUBSTITUTE($A67,""#"",""%23"""&amp;"),$H67&amp;""/""&amp;$I67),IF($H67&lt;&gt;"""",IF(REGEXMATCH($H67,""50( ?['fF]([oO]{2})?[tT]?)?( ?[eE][rR]{2}[oO][rR])""),HYPERLINK(""https://www.munzee.com/map/?sandbox=1&amp;lat=""&amp;$D67&amp;""&amp;lon=""&amp;$E67&amp;""&amp;name=""&amp;SUBSTITUTE($A67,""#"",""%23""),""SANDBOX""),HYPERLINK(""htt"&amp;"ps://www.munzee.com/m/""&amp;$H67&amp;""/deploys/0/type/""&amp;IFNA(VLOOKUP($G67,IMPORTRANGE(""https://docs.google.com/spreadsheets/d/1DliIGyDywdzxhd4svtjaewR0p9Y5UBTMNMQ2PcXsqss"",""type data!E2:F""),2,FALSE),$F67)&amp;""/"",$H67)),""""))"),"Cidinho/2621")</f>
        <v>Cidinho/2621</v>
      </c>
      <c r="K67" s="9" t="b">
        <v>1</v>
      </c>
      <c r="L67" s="10"/>
      <c r="M67" s="10">
        <f t="shared" si="1"/>
        <v>1</v>
      </c>
    </row>
    <row r="68">
      <c r="A68" s="4" t="s">
        <v>133</v>
      </c>
      <c r="B68" s="5">
        <v>5.0</v>
      </c>
      <c r="C68" s="5">
        <v>17.0</v>
      </c>
      <c r="D68" s="6">
        <v>45.5441584367151</v>
      </c>
      <c r="E68" s="6">
        <v>-75.2673397036835</v>
      </c>
      <c r="F68" s="5" t="s">
        <v>14</v>
      </c>
      <c r="G68" s="5" t="s">
        <v>15</v>
      </c>
      <c r="H68" s="7" t="s">
        <v>134</v>
      </c>
      <c r="I68" s="7">
        <v>5368.0</v>
      </c>
      <c r="J68" s="8" t="str">
        <f>IFERROR(__xludf.DUMMYFUNCTION("IF(AND(REGEXMATCH($H68,""50( ?['fF]([oO]{2})?[tT]?)?( ?[eE][rR]{2}[oO][rR])"")=FALSE,$H68&lt;&gt;"""",$I68&lt;&gt;""""),HYPERLINK(""https://www.munzee.com/m/""&amp;$H68&amp;""/""&amp;$I68&amp;""/map/?lat=""&amp;$D68&amp;""&amp;lon=""&amp;$E68&amp;""&amp;type=""&amp;$F68&amp;""&amp;name=""&amp;SUBSTITUTE($A68,""#"",""%23"""&amp;"),$H68&amp;""/""&amp;$I68),IF($H68&lt;&gt;"""",IF(REGEXMATCH($H68,""50( ?['fF]([oO]{2})?[tT]?)?( ?[eE][rR]{2}[oO][rR])""),HYPERLINK(""https://www.munzee.com/map/?sandbox=1&amp;lat=""&amp;$D68&amp;""&amp;lon=""&amp;$E68&amp;""&amp;name=""&amp;SUBSTITUTE($A68,""#"",""%23""),""SANDBOX""),HYPERLINK(""htt"&amp;"ps://www.munzee.com/m/""&amp;$H68&amp;""/deploys/0/type/""&amp;IFNA(VLOOKUP($G68,IMPORTRANGE(""https://docs.google.com/spreadsheets/d/1DliIGyDywdzxhd4svtjaewR0p9Y5UBTMNMQ2PcXsqss"",""type data!E2:F""),2,FALSE),$F68)&amp;""/"",$H68)),""""))"),"BonnieB1/5368")</f>
        <v>BonnieB1/5368</v>
      </c>
      <c r="K68" s="9" t="b">
        <v>1</v>
      </c>
      <c r="L68" s="9"/>
      <c r="M68" s="10">
        <f t="shared" si="1"/>
        <v>1</v>
      </c>
    </row>
    <row r="69">
      <c r="A69" s="4" t="s">
        <v>135</v>
      </c>
      <c r="B69" s="5">
        <v>6.0</v>
      </c>
      <c r="C69" s="5">
        <v>1.0</v>
      </c>
      <c r="D69" s="6">
        <v>45.5440147092098</v>
      </c>
      <c r="E69" s="6">
        <v>-75.2706232963912</v>
      </c>
      <c r="F69" s="5" t="s">
        <v>14</v>
      </c>
      <c r="G69" s="5" t="s">
        <v>15</v>
      </c>
      <c r="H69" s="7" t="s">
        <v>136</v>
      </c>
      <c r="I69" s="7">
        <v>12695.0</v>
      </c>
      <c r="J69" s="8" t="str">
        <f>IFERROR(__xludf.DUMMYFUNCTION("IF(AND(REGEXMATCH($H69,""50( ?['fF]([oO]{2})?[tT]?)?( ?[eE][rR]{2}[oO][rR])"")=FALSE,$H69&lt;&gt;"""",$I69&lt;&gt;""""),HYPERLINK(""https://www.munzee.com/m/""&amp;$H69&amp;""/""&amp;$I69&amp;""/map/?lat=""&amp;$D69&amp;""&amp;lon=""&amp;$E69&amp;""&amp;type=""&amp;$F69&amp;""&amp;name=""&amp;SUBSTITUTE($A69,""#"",""%23"""&amp;"),$H69&amp;""/""&amp;$I69),IF($H69&lt;&gt;"""",IF(REGEXMATCH($H69,""50( ?['fF]([oO]{2})?[tT]?)?( ?[eE][rR]{2}[oO][rR])""),HYPERLINK(""https://www.munzee.com/map/?sandbox=1&amp;lat=""&amp;$D69&amp;""&amp;lon=""&amp;$E69&amp;""&amp;name=""&amp;SUBSTITUTE($A69,""#"",""%23""),""SANDBOX""),HYPERLINK(""htt"&amp;"ps://www.munzee.com/m/""&amp;$H69&amp;""/deploys/0/type/""&amp;IFNA(VLOOKUP($G69,IMPORTRANGE(""https://docs.google.com/spreadsheets/d/1DliIGyDywdzxhd4svtjaewR0p9Y5UBTMNMQ2PcXsqss"",""type data!E2:F""),2,FALSE),$F69)&amp;""/"",$H69)),""""))"),"Derlame /12695")</f>
        <v>Derlame /12695</v>
      </c>
      <c r="K69" s="9" t="b">
        <v>1</v>
      </c>
      <c r="L69" s="4"/>
      <c r="M69" s="10">
        <f t="shared" si="1"/>
        <v>1</v>
      </c>
    </row>
    <row r="70">
      <c r="A70" s="4" t="s">
        <v>137</v>
      </c>
      <c r="B70" s="5">
        <v>6.0</v>
      </c>
      <c r="C70" s="5">
        <v>2.0</v>
      </c>
      <c r="D70" s="6">
        <v>45.5440147090261</v>
      </c>
      <c r="E70" s="6">
        <v>-75.2704180730603</v>
      </c>
      <c r="F70" s="5" t="s">
        <v>33</v>
      </c>
      <c r="G70" s="5" t="s">
        <v>34</v>
      </c>
      <c r="H70" s="7" t="s">
        <v>71</v>
      </c>
      <c r="I70" s="7">
        <v>7672.0</v>
      </c>
      <c r="J70" s="8" t="str">
        <f>IFERROR(__xludf.DUMMYFUNCTION("IF(AND(REGEXMATCH($H70,""50( ?['fF]([oO]{2})?[tT]?)?( ?[eE][rR]{2}[oO][rR])"")=FALSE,$H70&lt;&gt;"""",$I70&lt;&gt;""""),HYPERLINK(""https://www.munzee.com/m/""&amp;$H70&amp;""/""&amp;$I70&amp;""/map/?lat=""&amp;$D70&amp;""&amp;lon=""&amp;$E70&amp;""&amp;type=""&amp;$F70&amp;""&amp;name=""&amp;SUBSTITUTE($A70,""#"",""%23"""&amp;"),$H70&amp;""/""&amp;$I70),IF($H70&lt;&gt;"""",IF(REGEXMATCH($H70,""50( ?['fF]([oO]{2})?[tT]?)?( ?[eE][rR]{2}[oO][rR])""),HYPERLINK(""https://www.munzee.com/map/?sandbox=1&amp;lat=""&amp;$D70&amp;""&amp;lon=""&amp;$E70&amp;""&amp;name=""&amp;SUBSTITUTE($A70,""#"",""%23""),""SANDBOX""),HYPERLINK(""htt"&amp;"ps://www.munzee.com/m/""&amp;$H70&amp;""/deploys/0/type/""&amp;IFNA(VLOOKUP($G70,IMPORTRANGE(""https://docs.google.com/spreadsheets/d/1DliIGyDywdzxhd4svtjaewR0p9Y5UBTMNMQ2PcXsqss"",""type data!E2:F""),2,FALSE),$F70)&amp;""/"",$H70)),""""))"),"nyisutter/7672")</f>
        <v>nyisutter/7672</v>
      </c>
      <c r="K70" s="9" t="b">
        <v>1</v>
      </c>
      <c r="L70" s="4"/>
      <c r="M70" s="10">
        <f t="shared" si="1"/>
        <v>7</v>
      </c>
    </row>
    <row r="71">
      <c r="A71" s="4" t="s">
        <v>138</v>
      </c>
      <c r="B71" s="5">
        <v>6.0</v>
      </c>
      <c r="C71" s="5">
        <v>3.0</v>
      </c>
      <c r="D71" s="6">
        <v>45.5440147088423</v>
      </c>
      <c r="E71" s="6">
        <v>-75.2702128497294</v>
      </c>
      <c r="F71" s="5" t="s">
        <v>59</v>
      </c>
      <c r="G71" s="5" t="s">
        <v>60</v>
      </c>
      <c r="H71" s="7" t="s">
        <v>41</v>
      </c>
      <c r="I71" s="7">
        <v>2243.0</v>
      </c>
      <c r="J71" s="8" t="str">
        <f>IFERROR(__xludf.DUMMYFUNCTION("IF(AND(REGEXMATCH($H71,""50( ?['fF]([oO]{2})?[tT]?)?( ?[eE][rR]{2}[oO][rR])"")=FALSE,$H71&lt;&gt;"""",$I71&lt;&gt;""""),HYPERLINK(""https://www.munzee.com/m/""&amp;$H71&amp;""/""&amp;$I71&amp;""/map/?lat=""&amp;$D71&amp;""&amp;lon=""&amp;$E71&amp;""&amp;type=""&amp;$F71&amp;""&amp;name=""&amp;SUBSTITUTE($A71,""#"",""%23"""&amp;"),$H71&amp;""/""&amp;$I71),IF($H71&lt;&gt;"""",IF(REGEXMATCH($H71,""50( ?['fF]([oO]{2})?[tT]?)?( ?[eE][rR]{2}[oO][rR])""),HYPERLINK(""https://www.munzee.com/map/?sandbox=1&amp;lat=""&amp;$D71&amp;""&amp;lon=""&amp;$E71&amp;""&amp;name=""&amp;SUBSTITUTE($A71,""#"",""%23""),""SANDBOX""),HYPERLINK(""htt"&amp;"ps://www.munzee.com/m/""&amp;$H71&amp;""/deploys/0/type/""&amp;IFNA(VLOOKUP($G71,IMPORTRANGE(""https://docs.google.com/spreadsheets/d/1DliIGyDywdzxhd4svtjaewR0p9Y5UBTMNMQ2PcXsqss"",""type data!E2:F""),2,FALSE),$F71)&amp;""/"",$H71)),""""))"),"technical13/2243")</f>
        <v>technical13/2243</v>
      </c>
      <c r="K71" s="9" t="b">
        <v>1</v>
      </c>
      <c r="L71" s="9"/>
      <c r="M71" s="10">
        <f t="shared" si="1"/>
        <v>10</v>
      </c>
    </row>
    <row r="72">
      <c r="A72" s="4" t="s">
        <v>139</v>
      </c>
      <c r="B72" s="5">
        <v>6.0</v>
      </c>
      <c r="C72" s="5">
        <v>4.0</v>
      </c>
      <c r="D72" s="6">
        <v>45.5440147086586</v>
      </c>
      <c r="E72" s="6">
        <v>-75.2700076263985</v>
      </c>
      <c r="F72" s="5" t="s">
        <v>33</v>
      </c>
      <c r="G72" s="5" t="s">
        <v>34</v>
      </c>
      <c r="H72" s="7" t="s">
        <v>140</v>
      </c>
      <c r="I72" s="7">
        <v>3780.0</v>
      </c>
      <c r="J72" s="8" t="str">
        <f>IFERROR(__xludf.DUMMYFUNCTION("IF(AND(REGEXMATCH($H72,""50( ?['fF]([oO]{2})?[tT]?)?( ?[eE][rR]{2}[oO][rR])"")=FALSE,$H72&lt;&gt;"""",$I72&lt;&gt;""""),HYPERLINK(""https://www.munzee.com/m/""&amp;$H72&amp;""/""&amp;$I72&amp;""/map/?lat=""&amp;$D72&amp;""&amp;lon=""&amp;$E72&amp;""&amp;type=""&amp;$F72&amp;""&amp;name=""&amp;SUBSTITUTE($A72,""#"",""%23"""&amp;"),$H72&amp;""/""&amp;$I72),IF($H72&lt;&gt;"""",IF(REGEXMATCH($H72,""50( ?['fF]([oO]{2})?[tT]?)?( ?[eE][rR]{2}[oO][rR])""),HYPERLINK(""https://www.munzee.com/map/?sandbox=1&amp;lat=""&amp;$D72&amp;""&amp;lon=""&amp;$E72&amp;""&amp;name=""&amp;SUBSTITUTE($A72,""#"",""%23""),""SANDBOX""),HYPERLINK(""htt"&amp;"ps://www.munzee.com/m/""&amp;$H72&amp;""/deploys/0/type/""&amp;IFNA(VLOOKUP($G72,IMPORTRANGE(""https://docs.google.com/spreadsheets/d/1DliIGyDywdzxhd4svtjaewR0p9Y5UBTMNMQ2PcXsqss"",""type data!E2:F""),2,FALSE),$F72)&amp;""/"",$H72)),""""))"),"TFAL/3780")</f>
        <v>TFAL/3780</v>
      </c>
      <c r="K72" s="9" t="b">
        <v>1</v>
      </c>
      <c r="L72" s="10"/>
      <c r="M72" s="10">
        <f t="shared" si="1"/>
        <v>2</v>
      </c>
    </row>
    <row r="73">
      <c r="A73" s="4" t="s">
        <v>141</v>
      </c>
      <c r="B73" s="5">
        <v>6.0</v>
      </c>
      <c r="C73" s="5">
        <v>5.0</v>
      </c>
      <c r="D73" s="6">
        <v>45.5440147084749</v>
      </c>
      <c r="E73" s="6">
        <v>-75.2698024030676</v>
      </c>
      <c r="F73" s="5" t="s">
        <v>112</v>
      </c>
      <c r="G73" s="5" t="s">
        <v>113</v>
      </c>
      <c r="H73" s="7" t="s">
        <v>71</v>
      </c>
      <c r="I73" s="7">
        <v>7637.0</v>
      </c>
      <c r="J73" s="8" t="str">
        <f>IFERROR(__xludf.DUMMYFUNCTION("IF(AND(REGEXMATCH($H73,""50( ?['fF]([oO]{2})?[tT]?)?( ?[eE][rR]{2}[oO][rR])"")=FALSE,$H73&lt;&gt;"""",$I73&lt;&gt;""""),HYPERLINK(""https://www.munzee.com/m/""&amp;$H73&amp;""/""&amp;$I73&amp;""/map/?lat=""&amp;$D73&amp;""&amp;lon=""&amp;$E73&amp;""&amp;type=""&amp;$F73&amp;""&amp;name=""&amp;SUBSTITUTE($A73,""#"",""%23"""&amp;"),$H73&amp;""/""&amp;$I73),IF($H73&lt;&gt;"""",IF(REGEXMATCH($H73,""50( ?['fF]([oO]{2})?[tT]?)?( ?[eE][rR]{2}[oO][rR])""),HYPERLINK(""https://www.munzee.com/map/?sandbox=1&amp;lat=""&amp;$D73&amp;""&amp;lon=""&amp;$E73&amp;""&amp;name=""&amp;SUBSTITUTE($A73,""#"",""%23""),""SANDBOX""),HYPERLINK(""htt"&amp;"ps://www.munzee.com/m/""&amp;$H73&amp;""/deploys/0/type/""&amp;IFNA(VLOOKUP($G73,IMPORTRANGE(""https://docs.google.com/spreadsheets/d/1DliIGyDywdzxhd4svtjaewR0p9Y5UBTMNMQ2PcXsqss"",""type data!E2:F""),2,FALSE),$F73)&amp;""/"",$H73)),""""))"),"nyisutter/7637")</f>
        <v>nyisutter/7637</v>
      </c>
      <c r="K73" s="9" t="b">
        <v>1</v>
      </c>
      <c r="L73" s="9"/>
      <c r="M73" s="10">
        <f t="shared" si="1"/>
        <v>7</v>
      </c>
    </row>
    <row r="74">
      <c r="A74" s="4" t="s">
        <v>142</v>
      </c>
      <c r="B74" s="5">
        <v>6.0</v>
      </c>
      <c r="C74" s="5">
        <v>6.0</v>
      </c>
      <c r="D74" s="6">
        <v>45.5440147082911</v>
      </c>
      <c r="E74" s="6">
        <v>-75.2695971797367</v>
      </c>
      <c r="F74" s="5" t="s">
        <v>143</v>
      </c>
      <c r="G74" s="5" t="s">
        <v>144</v>
      </c>
      <c r="H74" s="7" t="s">
        <v>41</v>
      </c>
      <c r="I74" s="7">
        <v>2280.0</v>
      </c>
      <c r="J74" s="8" t="str">
        <f>IFERROR(__xludf.DUMMYFUNCTION("IF(AND(REGEXMATCH($H74,""50( ?['fF]([oO]{2})?[tT]?)?( ?[eE][rR]{2}[oO][rR])"")=FALSE,$H74&lt;&gt;"""",$I74&lt;&gt;""""),HYPERLINK(""https://www.munzee.com/m/""&amp;$H74&amp;""/""&amp;$I74&amp;""/map/?lat=""&amp;$D74&amp;""&amp;lon=""&amp;$E74&amp;""&amp;type=""&amp;$F74&amp;""&amp;name=""&amp;SUBSTITUTE($A74,""#"",""%23"""&amp;"),$H74&amp;""/""&amp;$I74),IF($H74&lt;&gt;"""",IF(REGEXMATCH($H74,""50( ?['fF]([oO]{2})?[tT]?)?( ?[eE][rR]{2}[oO][rR])""),HYPERLINK(""https://www.munzee.com/map/?sandbox=1&amp;lat=""&amp;$D74&amp;""&amp;lon=""&amp;$E74&amp;""&amp;name=""&amp;SUBSTITUTE($A74,""#"",""%23""),""SANDBOX""),HYPERLINK(""htt"&amp;"ps://www.munzee.com/m/""&amp;$H74&amp;""/deploys/0/type/""&amp;IFNA(VLOOKUP($G74,IMPORTRANGE(""https://docs.google.com/spreadsheets/d/1DliIGyDywdzxhd4svtjaewR0p9Y5UBTMNMQ2PcXsqss"",""type data!E2:F""),2,FALSE),$F74)&amp;""/"",$H74)),""""))"),"technical13/2280")</f>
        <v>technical13/2280</v>
      </c>
      <c r="K74" s="9" t="b">
        <v>1</v>
      </c>
      <c r="L74" s="9"/>
      <c r="M74" s="10">
        <f t="shared" si="1"/>
        <v>10</v>
      </c>
    </row>
    <row r="75">
      <c r="A75" s="4" t="s">
        <v>145</v>
      </c>
      <c r="B75" s="5">
        <v>6.0</v>
      </c>
      <c r="C75" s="5">
        <v>7.0</v>
      </c>
      <c r="D75" s="6">
        <v>45.5440147081074</v>
      </c>
      <c r="E75" s="6">
        <v>-75.2693919564058</v>
      </c>
      <c r="F75" s="5" t="s">
        <v>112</v>
      </c>
      <c r="G75" s="5" t="s">
        <v>113</v>
      </c>
      <c r="H75" s="7" t="s">
        <v>102</v>
      </c>
      <c r="I75" s="7">
        <v>904.0</v>
      </c>
      <c r="J75" s="8" t="str">
        <f>IFERROR(__xludf.DUMMYFUNCTION("IF(AND(REGEXMATCH($H75,""50( ?['fF]([oO]{2})?[tT]?)?( ?[eE][rR]{2}[oO][rR])"")=FALSE,$H75&lt;&gt;"""",$I75&lt;&gt;""""),HYPERLINK(""https://www.munzee.com/m/""&amp;$H75&amp;""/""&amp;$I75&amp;""/map/?lat=""&amp;$D75&amp;""&amp;lon=""&amp;$E75&amp;""&amp;type=""&amp;$F75&amp;""&amp;name=""&amp;SUBSTITUTE($A75,""#"",""%23"""&amp;"),$H75&amp;""/""&amp;$I75),IF($H75&lt;&gt;"""",IF(REGEXMATCH($H75,""50( ?['fF]([oO]{2})?[tT]?)?( ?[eE][rR]{2}[oO][rR])""),HYPERLINK(""https://www.munzee.com/map/?sandbox=1&amp;lat=""&amp;$D75&amp;""&amp;lon=""&amp;$E75&amp;""&amp;name=""&amp;SUBSTITUTE($A75,""#"",""%23""),""SANDBOX""),HYPERLINK(""htt"&amp;"ps://www.munzee.com/m/""&amp;$H75&amp;""/deploys/0/type/""&amp;IFNA(VLOOKUP($G75,IMPORTRANGE(""https://docs.google.com/spreadsheets/d/1DliIGyDywdzxhd4svtjaewR0p9Y5UBTMNMQ2PcXsqss"",""type data!E2:F""),2,FALSE),$F75)&amp;""/"",$H75)),""""))"),"jeffeth/904")</f>
        <v>jeffeth/904</v>
      </c>
      <c r="K75" s="9" t="b">
        <v>1</v>
      </c>
      <c r="L75" s="9"/>
      <c r="M75" s="10">
        <f t="shared" si="1"/>
        <v>5</v>
      </c>
    </row>
    <row r="76">
      <c r="A76" s="4" t="s">
        <v>146</v>
      </c>
      <c r="B76" s="5">
        <v>6.0</v>
      </c>
      <c r="C76" s="5">
        <v>8.0</v>
      </c>
      <c r="D76" s="6">
        <v>45.5440147079237</v>
      </c>
      <c r="E76" s="6">
        <v>-75.2691867330748</v>
      </c>
      <c r="F76" s="5" t="s">
        <v>33</v>
      </c>
      <c r="G76" s="5" t="s">
        <v>34</v>
      </c>
      <c r="H76" s="7" t="s">
        <v>71</v>
      </c>
      <c r="I76" s="7">
        <v>7635.0</v>
      </c>
      <c r="J76" s="8" t="str">
        <f>IFERROR(__xludf.DUMMYFUNCTION("IF(AND(REGEXMATCH($H76,""50( ?['fF]([oO]{2})?[tT]?)?( ?[eE][rR]{2}[oO][rR])"")=FALSE,$H76&lt;&gt;"""",$I76&lt;&gt;""""),HYPERLINK(""https://www.munzee.com/m/""&amp;$H76&amp;""/""&amp;$I76&amp;""/map/?lat=""&amp;$D76&amp;""&amp;lon=""&amp;$E76&amp;""&amp;type=""&amp;$F76&amp;""&amp;name=""&amp;SUBSTITUTE($A76,""#"",""%23"""&amp;"),$H76&amp;""/""&amp;$I76),IF($H76&lt;&gt;"""",IF(REGEXMATCH($H76,""50( ?['fF]([oO]{2})?[tT]?)?( ?[eE][rR]{2}[oO][rR])""),HYPERLINK(""https://www.munzee.com/map/?sandbox=1&amp;lat=""&amp;$D76&amp;""&amp;lon=""&amp;$E76&amp;""&amp;name=""&amp;SUBSTITUTE($A76,""#"",""%23""),""SANDBOX""),HYPERLINK(""htt"&amp;"ps://www.munzee.com/m/""&amp;$H76&amp;""/deploys/0/type/""&amp;IFNA(VLOOKUP($G76,IMPORTRANGE(""https://docs.google.com/spreadsheets/d/1DliIGyDywdzxhd4svtjaewR0p9Y5UBTMNMQ2PcXsqss"",""type data!E2:F""),2,FALSE),$F76)&amp;""/"",$H76)),""""))"),"nyisutter/7635")</f>
        <v>nyisutter/7635</v>
      </c>
      <c r="K76" s="9" t="b">
        <v>1</v>
      </c>
      <c r="L76" s="4"/>
      <c r="M76" s="10">
        <f t="shared" si="1"/>
        <v>7</v>
      </c>
    </row>
    <row r="77">
      <c r="A77" s="4" t="s">
        <v>147</v>
      </c>
      <c r="B77" s="5">
        <v>6.0</v>
      </c>
      <c r="C77" s="5">
        <v>9.0</v>
      </c>
      <c r="D77" s="6">
        <v>45.5440147077399</v>
      </c>
      <c r="E77" s="6">
        <v>-75.2689815097439</v>
      </c>
      <c r="F77" s="5" t="s">
        <v>59</v>
      </c>
      <c r="G77" s="5" t="s">
        <v>60</v>
      </c>
      <c r="H77" s="7" t="s">
        <v>16</v>
      </c>
      <c r="I77" s="7">
        <v>654.0</v>
      </c>
      <c r="J77" s="8" t="str">
        <f>IFERROR(__xludf.DUMMYFUNCTION("IF(AND(REGEXMATCH($H77,""50( ?['fF]([oO]{2})?[tT]?)?( ?[eE][rR]{2}[oO][rR])"")=FALSE,$H77&lt;&gt;"""",$I77&lt;&gt;""""),HYPERLINK(""https://www.munzee.com/m/""&amp;$H77&amp;""/""&amp;$I77&amp;""/map/?lat=""&amp;$D77&amp;""&amp;lon=""&amp;$E77&amp;""&amp;type=""&amp;$F77&amp;""&amp;name=""&amp;SUBSTITUTE($A77,""#"",""%23"""&amp;"),$H77&amp;""/""&amp;$I77),IF($H77&lt;&gt;"""",IF(REGEXMATCH($H77,""50( ?['fF]([oO]{2})?[tT]?)?( ?[eE][rR]{2}[oO][rR])""),HYPERLINK(""https://www.munzee.com/map/?sandbox=1&amp;lat=""&amp;$D77&amp;""&amp;lon=""&amp;$E77&amp;""&amp;name=""&amp;SUBSTITUTE($A77,""#"",""%23""),""SANDBOX""),HYPERLINK(""htt"&amp;"ps://www.munzee.com/m/""&amp;$H77&amp;""/deploys/0/type/""&amp;IFNA(VLOOKUP($G77,IMPORTRANGE(""https://docs.google.com/spreadsheets/d/1DliIGyDywdzxhd4svtjaewR0p9Y5UBTMNMQ2PcXsqss"",""type data!E2:F""),2,FALSE),$F77)&amp;""/"",$H77)),""""))"),"Heluna/654")</f>
        <v>Heluna/654</v>
      </c>
      <c r="K77" s="9" t="b">
        <v>1</v>
      </c>
      <c r="L77" s="9"/>
      <c r="M77" s="10">
        <f t="shared" si="1"/>
        <v>5</v>
      </c>
    </row>
    <row r="78">
      <c r="A78" s="4" t="s">
        <v>148</v>
      </c>
      <c r="B78" s="5">
        <v>6.0</v>
      </c>
      <c r="C78" s="5">
        <v>10.0</v>
      </c>
      <c r="D78" s="6">
        <v>45.5440147075562</v>
      </c>
      <c r="E78" s="6">
        <v>-75.268776286413</v>
      </c>
      <c r="F78" s="5" t="s">
        <v>33</v>
      </c>
      <c r="G78" s="5" t="s">
        <v>34</v>
      </c>
      <c r="H78" s="7" t="s">
        <v>149</v>
      </c>
      <c r="I78" s="7">
        <v>499.0</v>
      </c>
      <c r="J78" s="8" t="str">
        <f>IFERROR(__xludf.DUMMYFUNCTION("IF(AND(REGEXMATCH($H78,""50( ?['fF]([oO]{2})?[tT]?)?( ?[eE][rR]{2}[oO][rR])"")=FALSE,$H78&lt;&gt;"""",$I78&lt;&gt;""""),HYPERLINK(""https://www.munzee.com/m/""&amp;$H78&amp;""/""&amp;$I78&amp;""/map/?lat=""&amp;$D78&amp;""&amp;lon=""&amp;$E78&amp;""&amp;type=""&amp;$F78&amp;""&amp;name=""&amp;SUBSTITUTE($A78,""#"",""%23"""&amp;"),$H78&amp;""/""&amp;$I78),IF($H78&lt;&gt;"""",IF(REGEXMATCH($H78,""50( ?['fF]([oO]{2})?[tT]?)?( ?[eE][rR]{2}[oO][rR])""),HYPERLINK(""https://www.munzee.com/map/?sandbox=1&amp;lat=""&amp;$D78&amp;""&amp;lon=""&amp;$E78&amp;""&amp;name=""&amp;SUBSTITUTE($A78,""#"",""%23""),""SANDBOX""),HYPERLINK(""htt"&amp;"ps://www.munzee.com/m/""&amp;$H78&amp;""/deploys/0/type/""&amp;IFNA(VLOOKUP($G78,IMPORTRANGE(""https://docs.google.com/spreadsheets/d/1DliIGyDywdzxhd4svtjaewR0p9Y5UBTMNMQ2PcXsqss"",""type data!E2:F""),2,FALSE),$F78)&amp;""/"",$H78)),""""))"),"claireth/499")</f>
        <v>claireth/499</v>
      </c>
      <c r="K78" s="9" t="b">
        <v>1</v>
      </c>
      <c r="L78" s="10"/>
      <c r="M78" s="10">
        <f t="shared" si="1"/>
        <v>2</v>
      </c>
    </row>
    <row r="79">
      <c r="A79" s="4" t="s">
        <v>150</v>
      </c>
      <c r="B79" s="5">
        <v>6.0</v>
      </c>
      <c r="C79" s="5">
        <v>11.0</v>
      </c>
      <c r="D79" s="6">
        <v>45.5440147073725</v>
      </c>
      <c r="E79" s="6">
        <v>-75.2685710630821</v>
      </c>
      <c r="F79" s="5" t="s">
        <v>112</v>
      </c>
      <c r="G79" s="5" t="s">
        <v>113</v>
      </c>
      <c r="H79" s="7" t="s">
        <v>66</v>
      </c>
      <c r="I79" s="7">
        <v>2305.0</v>
      </c>
      <c r="J79" s="8" t="str">
        <f>IFERROR(__xludf.DUMMYFUNCTION("IF(AND(REGEXMATCH($H79,""50( ?['fF]([oO]{2})?[tT]?)?( ?[eE][rR]{2}[oO][rR])"")=FALSE,$H79&lt;&gt;"""",$I79&lt;&gt;""""),HYPERLINK(""https://www.munzee.com/m/""&amp;$H79&amp;""/""&amp;$I79&amp;""/map/?lat=""&amp;$D79&amp;""&amp;lon=""&amp;$E79&amp;""&amp;type=""&amp;$F79&amp;""&amp;name=""&amp;SUBSTITUTE($A79,""#"",""%23"""&amp;"),$H79&amp;""/""&amp;$I79),IF($H79&lt;&gt;"""",IF(REGEXMATCH($H79,""50( ?['fF]([oO]{2})?[tT]?)?( ?[eE][rR]{2}[oO][rR])""),HYPERLINK(""https://www.munzee.com/map/?sandbox=1&amp;lat=""&amp;$D79&amp;""&amp;lon=""&amp;$E79&amp;""&amp;name=""&amp;SUBSTITUTE($A79,""#"",""%23""),""SANDBOX""),HYPERLINK(""htt"&amp;"ps://www.munzee.com/m/""&amp;$H79&amp;""/deploys/0/type/""&amp;IFNA(VLOOKUP($G79,IMPORTRANGE(""https://docs.google.com/spreadsheets/d/1DliIGyDywdzxhd4svtjaewR0p9Y5UBTMNMQ2PcXsqss"",""type data!E2:F""),2,FALSE),$F79)&amp;""/"",$H79)),""""))"),"Quint71/2305")</f>
        <v>Quint71/2305</v>
      </c>
      <c r="K79" s="9" t="b">
        <v>1</v>
      </c>
      <c r="L79" s="10"/>
      <c r="M79" s="10">
        <f t="shared" si="1"/>
        <v>2</v>
      </c>
    </row>
    <row r="80">
      <c r="A80" s="4" t="s">
        <v>151</v>
      </c>
      <c r="B80" s="5">
        <v>6.0</v>
      </c>
      <c r="C80" s="5">
        <v>12.0</v>
      </c>
      <c r="D80" s="6">
        <v>45.5440147071887</v>
      </c>
      <c r="E80" s="6">
        <v>-75.2683658397512</v>
      </c>
      <c r="F80" s="5" t="s">
        <v>143</v>
      </c>
      <c r="G80" s="5" t="s">
        <v>144</v>
      </c>
      <c r="H80" s="7" t="s">
        <v>41</v>
      </c>
      <c r="I80" s="7">
        <v>2289.0</v>
      </c>
      <c r="J80" s="8" t="str">
        <f>IFERROR(__xludf.DUMMYFUNCTION("IF(AND(REGEXMATCH($H80,""50( ?['fF]([oO]{2})?[tT]?)?( ?[eE][rR]{2}[oO][rR])"")=FALSE,$H80&lt;&gt;"""",$I80&lt;&gt;""""),HYPERLINK(""https://www.munzee.com/m/""&amp;$H80&amp;""/""&amp;$I80&amp;""/map/?lat=""&amp;$D80&amp;""&amp;lon=""&amp;$E80&amp;""&amp;type=""&amp;$F80&amp;""&amp;name=""&amp;SUBSTITUTE($A80,""#"",""%23"""&amp;"),$H80&amp;""/""&amp;$I80),IF($H80&lt;&gt;"""",IF(REGEXMATCH($H80,""50( ?['fF]([oO]{2})?[tT]?)?( ?[eE][rR]{2}[oO][rR])""),HYPERLINK(""https://www.munzee.com/map/?sandbox=1&amp;lat=""&amp;$D80&amp;""&amp;lon=""&amp;$E80&amp;""&amp;name=""&amp;SUBSTITUTE($A80,""#"",""%23""),""SANDBOX""),HYPERLINK(""htt"&amp;"ps://www.munzee.com/m/""&amp;$H80&amp;""/deploys/0/type/""&amp;IFNA(VLOOKUP($G80,IMPORTRANGE(""https://docs.google.com/spreadsheets/d/1DliIGyDywdzxhd4svtjaewR0p9Y5UBTMNMQ2PcXsqss"",""type data!E2:F""),2,FALSE),$F80)&amp;""/"",$H80)),""""))"),"technical13/2289")</f>
        <v>technical13/2289</v>
      </c>
      <c r="K80" s="9" t="b">
        <v>1</v>
      </c>
      <c r="L80" s="9"/>
      <c r="M80" s="10">
        <f t="shared" si="1"/>
        <v>10</v>
      </c>
    </row>
    <row r="81">
      <c r="A81" s="4" t="s">
        <v>152</v>
      </c>
      <c r="B81" s="5">
        <v>6.0</v>
      </c>
      <c r="C81" s="5">
        <v>13.0</v>
      </c>
      <c r="D81" s="6">
        <v>45.544014707005</v>
      </c>
      <c r="E81" s="6">
        <v>-75.2681606164203</v>
      </c>
      <c r="F81" s="5" t="s">
        <v>112</v>
      </c>
      <c r="G81" s="5" t="s">
        <v>113</v>
      </c>
      <c r="H81" s="7" t="s">
        <v>35</v>
      </c>
      <c r="I81" s="7">
        <v>9802.0</v>
      </c>
      <c r="J81" s="8" t="str">
        <f>IFERROR(__xludf.DUMMYFUNCTION("IF(AND(REGEXMATCH($H81,""50( ?['fF]([oO]{2})?[tT]?)?( ?[eE][rR]{2}[oO][rR])"")=FALSE,$H81&lt;&gt;"""",$I81&lt;&gt;""""),HYPERLINK(""https://www.munzee.com/m/""&amp;$H81&amp;""/""&amp;$I81&amp;""/map/?lat=""&amp;$D81&amp;""&amp;lon=""&amp;$E81&amp;""&amp;type=""&amp;$F81&amp;""&amp;name=""&amp;SUBSTITUTE($A81,""#"",""%23"""&amp;"),$H81&amp;""/""&amp;$I81),IF($H81&lt;&gt;"""",IF(REGEXMATCH($H81,""50( ?['fF]([oO]{2})?[tT]?)?( ?[eE][rR]{2}[oO][rR])""),HYPERLINK(""https://www.munzee.com/map/?sandbox=1&amp;lat=""&amp;$D81&amp;""&amp;lon=""&amp;$E81&amp;""&amp;name=""&amp;SUBSTITUTE($A81,""#"",""%23""),""SANDBOX""),HYPERLINK(""htt"&amp;"ps://www.munzee.com/m/""&amp;$H81&amp;""/deploys/0/type/""&amp;IFNA(VLOOKUP($G81,IMPORTRANGE(""https://docs.google.com/spreadsheets/d/1DliIGyDywdzxhd4svtjaewR0p9Y5UBTMNMQ2PcXsqss"",""type data!E2:F""),2,FALSE),$F81)&amp;""/"",$H81)),""""))"),"Barrel/9802")</f>
        <v>Barrel/9802</v>
      </c>
      <c r="K81" s="9" t="b">
        <v>1</v>
      </c>
      <c r="L81" s="9"/>
      <c r="M81" s="10">
        <f t="shared" si="1"/>
        <v>3</v>
      </c>
    </row>
    <row r="82">
      <c r="A82" s="4" t="s">
        <v>153</v>
      </c>
      <c r="B82" s="5">
        <v>6.0</v>
      </c>
      <c r="C82" s="5">
        <v>14.0</v>
      </c>
      <c r="D82" s="6">
        <v>45.5440147068213</v>
      </c>
      <c r="E82" s="6">
        <v>-75.2679553930894</v>
      </c>
      <c r="F82" s="5" t="s">
        <v>33</v>
      </c>
      <c r="G82" s="5" t="s">
        <v>34</v>
      </c>
      <c r="H82" s="7" t="s">
        <v>140</v>
      </c>
      <c r="I82" s="7">
        <v>3809.0</v>
      </c>
      <c r="J82" s="8" t="str">
        <f>IFERROR(__xludf.DUMMYFUNCTION("IF(AND(REGEXMATCH($H82,""50( ?['fF]([oO]{2})?[tT]?)?( ?[eE][rR]{2}[oO][rR])"")=FALSE,$H82&lt;&gt;"""",$I82&lt;&gt;""""),HYPERLINK(""https://www.munzee.com/m/""&amp;$H82&amp;""/""&amp;$I82&amp;""/map/?lat=""&amp;$D82&amp;""&amp;lon=""&amp;$E82&amp;""&amp;type=""&amp;$F82&amp;""&amp;name=""&amp;SUBSTITUTE($A82,""#"",""%23"""&amp;"),$H82&amp;""/""&amp;$I82),IF($H82&lt;&gt;"""",IF(REGEXMATCH($H82,""50( ?['fF]([oO]{2})?[tT]?)?( ?[eE][rR]{2}[oO][rR])""),HYPERLINK(""https://www.munzee.com/map/?sandbox=1&amp;lat=""&amp;$D82&amp;""&amp;lon=""&amp;$E82&amp;""&amp;name=""&amp;SUBSTITUTE($A82,""#"",""%23""),""SANDBOX""),HYPERLINK(""htt"&amp;"ps://www.munzee.com/m/""&amp;$H82&amp;""/deploys/0/type/""&amp;IFNA(VLOOKUP($G82,IMPORTRANGE(""https://docs.google.com/spreadsheets/d/1DliIGyDywdzxhd4svtjaewR0p9Y5UBTMNMQ2PcXsqss"",""type data!E2:F""),2,FALSE),$F82)&amp;""/"",$H82)),""""))"),"TFAL/3809")</f>
        <v>TFAL/3809</v>
      </c>
      <c r="K82" s="9" t="b">
        <v>1</v>
      </c>
      <c r="L82" s="10"/>
      <c r="M82" s="10">
        <f t="shared" si="1"/>
        <v>2</v>
      </c>
    </row>
    <row r="83">
      <c r="A83" s="4" t="s">
        <v>154</v>
      </c>
      <c r="B83" s="5">
        <v>6.0</v>
      </c>
      <c r="C83" s="5">
        <v>15.0</v>
      </c>
      <c r="D83" s="6">
        <v>45.5440147066375</v>
      </c>
      <c r="E83" s="6">
        <v>-75.2677501697585</v>
      </c>
      <c r="F83" s="5" t="s">
        <v>59</v>
      </c>
      <c r="G83" s="5" t="s">
        <v>60</v>
      </c>
      <c r="H83" s="20" t="s">
        <v>43</v>
      </c>
      <c r="I83" s="7">
        <v>2007.0</v>
      </c>
      <c r="J83" s="8" t="str">
        <f>IFERROR(__xludf.DUMMYFUNCTION("IF(AND(REGEXMATCH($H83,""50( ?['fF]([oO]{2})?[tT]?)?( ?[eE][rR]{2}[oO][rR])"")=FALSE,$H83&lt;&gt;"""",$I83&lt;&gt;""""),HYPERLINK(""https://www.munzee.com/m/""&amp;$H83&amp;""/""&amp;$I83&amp;""/map/?lat=""&amp;$D83&amp;""&amp;lon=""&amp;$E83&amp;""&amp;type=""&amp;$F83&amp;""&amp;name=""&amp;SUBSTITUTE($A83,""#"",""%23"""&amp;"),$H83&amp;""/""&amp;$I83),IF($H83&lt;&gt;"""",IF(REGEXMATCH($H83,""50( ?['fF]([oO]{2})?[tT]?)?( ?[eE][rR]{2}[oO][rR])""),HYPERLINK(""https://www.munzee.com/map/?sandbox=1&amp;lat=""&amp;$D83&amp;""&amp;lon=""&amp;$E83&amp;""&amp;name=""&amp;SUBSTITUTE($A83,""#"",""%23""),""SANDBOX""),HYPERLINK(""htt"&amp;"ps://www.munzee.com/m/""&amp;$H83&amp;""/deploys/0/type/""&amp;IFNA(VLOOKUP($G83,IMPORTRANGE(""https://docs.google.com/spreadsheets/d/1DliIGyDywdzxhd4svtjaewR0p9Y5UBTMNMQ2PcXsqss"",""type data!E2:F""),2,FALSE),$F83)&amp;""/"",$H83)),""""))"),"IggiePiggie/2007")</f>
        <v>IggiePiggie/2007</v>
      </c>
      <c r="K83" s="9" t="b">
        <v>1</v>
      </c>
      <c r="L83" s="10"/>
      <c r="M83" s="10">
        <f t="shared" si="1"/>
        <v>3</v>
      </c>
    </row>
    <row r="84">
      <c r="A84" s="4" t="s">
        <v>155</v>
      </c>
      <c r="B84" s="5">
        <v>6.0</v>
      </c>
      <c r="C84" s="5">
        <v>16.0</v>
      </c>
      <c r="D84" s="6">
        <v>45.5440147064538</v>
      </c>
      <c r="E84" s="6">
        <v>-75.2675449464276</v>
      </c>
      <c r="F84" s="5" t="s">
        <v>33</v>
      </c>
      <c r="G84" s="5" t="s">
        <v>34</v>
      </c>
      <c r="H84" s="7" t="s">
        <v>29</v>
      </c>
      <c r="I84" s="7">
        <v>989.0</v>
      </c>
      <c r="J84" s="8" t="str">
        <f>IFERROR(__xludf.DUMMYFUNCTION("IF(AND(REGEXMATCH($H84,""50( ?['fF]([oO]{2})?[tT]?)?( ?[eE][rR]{2}[oO][rR])"")=FALSE,$H84&lt;&gt;"""",$I84&lt;&gt;""""),HYPERLINK(""https://www.munzee.com/m/""&amp;$H84&amp;""/""&amp;$I84&amp;""/map/?lat=""&amp;$D84&amp;""&amp;lon=""&amp;$E84&amp;""&amp;type=""&amp;$F84&amp;""&amp;name=""&amp;SUBSTITUTE($A84,""#"",""%23"""&amp;"),$H84&amp;""/""&amp;$I84),IF($H84&lt;&gt;"""",IF(REGEXMATCH($H84,""50( ?['fF]([oO]{2})?[tT]?)?( ?[eE][rR]{2}[oO][rR])""),HYPERLINK(""https://www.munzee.com/map/?sandbox=1&amp;lat=""&amp;$D84&amp;""&amp;lon=""&amp;$E84&amp;""&amp;name=""&amp;SUBSTITUTE($A84,""#"",""%23""),""SANDBOX""),HYPERLINK(""htt"&amp;"ps://www.munzee.com/m/""&amp;$H84&amp;""/deploys/0/type/""&amp;IFNA(VLOOKUP($G84,IMPORTRANGE(""https://docs.google.com/spreadsheets/d/1DliIGyDywdzxhd4svtjaewR0p9Y5UBTMNMQ2PcXsqss"",""type data!E2:F""),2,FALSE),$F84)&amp;""/"",$H84)),""""))"),"WinterCheetah/989")</f>
        <v>WinterCheetah/989</v>
      </c>
      <c r="K84" s="9" t="b">
        <v>1</v>
      </c>
      <c r="L84" s="10"/>
      <c r="M84" s="10">
        <f t="shared" si="1"/>
        <v>8</v>
      </c>
    </row>
    <row r="85">
      <c r="A85" s="4" t="s">
        <v>156</v>
      </c>
      <c r="B85" s="5">
        <v>6.0</v>
      </c>
      <c r="C85" s="5">
        <v>17.0</v>
      </c>
      <c r="D85" s="6">
        <v>45.5440147062701</v>
      </c>
      <c r="E85" s="6">
        <v>-75.2673397230967</v>
      </c>
      <c r="F85" s="5" t="s">
        <v>14</v>
      </c>
      <c r="G85" s="5" t="s">
        <v>15</v>
      </c>
      <c r="H85" s="7" t="s">
        <v>157</v>
      </c>
      <c r="I85" s="7">
        <v>977.0</v>
      </c>
      <c r="J85" s="8" t="str">
        <f>IFERROR(__xludf.DUMMYFUNCTION("IF(AND(REGEXMATCH($H85,""50( ?['fF]([oO]{2})?[tT]?)?( ?[eE][rR]{2}[oO][rR])"")=FALSE,$H85&lt;&gt;"""",$I85&lt;&gt;""""),HYPERLINK(""https://www.munzee.com/m/""&amp;$H85&amp;""/""&amp;$I85&amp;""/map/?lat=""&amp;$D85&amp;""&amp;lon=""&amp;$E85&amp;""&amp;type=""&amp;$F85&amp;""&amp;name=""&amp;SUBSTITUTE($A85,""#"",""%23"""&amp;"),$H85&amp;""/""&amp;$I85),IF($H85&lt;&gt;"""",IF(REGEXMATCH($H85,""50( ?['fF]([oO]{2})?[tT]?)?( ?[eE][rR]{2}[oO][rR])""),HYPERLINK(""https://www.munzee.com/map/?sandbox=1&amp;lat=""&amp;$D85&amp;""&amp;lon=""&amp;$E85&amp;""&amp;name=""&amp;SUBSTITUTE($A85,""#"",""%23""),""SANDBOX""),HYPERLINK(""htt"&amp;"ps://www.munzee.com/m/""&amp;$H85&amp;""/deploys/0/type/""&amp;IFNA(VLOOKUP($G85,IMPORTRANGE(""https://docs.google.com/spreadsheets/d/1DliIGyDywdzxhd4svtjaewR0p9Y5UBTMNMQ2PcXsqss"",""type data!E2:F""),2,FALSE),$F85)&amp;""/"",$H85)),""""))"),"nbtzyy2/977")</f>
        <v>nbtzyy2/977</v>
      </c>
      <c r="K85" s="9" t="b">
        <v>1</v>
      </c>
      <c r="L85" s="10"/>
      <c r="M85" s="10">
        <f t="shared" si="1"/>
        <v>1</v>
      </c>
    </row>
    <row r="86">
      <c r="A86" s="4" t="s">
        <v>158</v>
      </c>
      <c r="B86" s="5">
        <v>7.0</v>
      </c>
      <c r="C86" s="5">
        <v>2.0</v>
      </c>
      <c r="D86" s="6">
        <v>45.5438709785806</v>
      </c>
      <c r="E86" s="6">
        <v>-75.2704180846029</v>
      </c>
      <c r="F86" s="5" t="s">
        <v>14</v>
      </c>
      <c r="G86" s="5" t="s">
        <v>15</v>
      </c>
      <c r="H86" s="7" t="s">
        <v>159</v>
      </c>
      <c r="I86" s="7">
        <v>5822.0</v>
      </c>
      <c r="J86" s="8" t="str">
        <f>IFERROR(__xludf.DUMMYFUNCTION("IF(AND(REGEXMATCH($H86,""50( ?['fF]([oO]{2})?[tT]?)?( ?[eE][rR]{2}[oO][rR])"")=FALSE,$H86&lt;&gt;"""",$I86&lt;&gt;""""),HYPERLINK(""https://www.munzee.com/m/""&amp;$H86&amp;""/""&amp;$I86&amp;""/map/?lat=""&amp;$D86&amp;""&amp;lon=""&amp;$E86&amp;""&amp;type=""&amp;$F86&amp;""&amp;name=""&amp;SUBSTITUTE($A86,""#"",""%23"""&amp;"),$H86&amp;""/""&amp;$I86),IF($H86&lt;&gt;"""",IF(REGEXMATCH($H86,""50( ?['fF]([oO]{2})?[tT]?)?( ?[eE][rR]{2}[oO][rR])""),HYPERLINK(""https://www.munzee.com/map/?sandbox=1&amp;lat=""&amp;$D86&amp;""&amp;lon=""&amp;$E86&amp;""&amp;name=""&amp;SUBSTITUTE($A86,""#"",""%23""),""SANDBOX""),HYPERLINK(""htt"&amp;"ps://www.munzee.com/m/""&amp;$H86&amp;""/deploys/0/type/""&amp;IFNA(VLOOKUP($G86,IMPORTRANGE(""https://docs.google.com/spreadsheets/d/1DliIGyDywdzxhd4svtjaewR0p9Y5UBTMNMQ2PcXsqss"",""type data!E2:F""),2,FALSE),$F86)&amp;""/"",$H86)),""""))"),"taska1981/5822")</f>
        <v>taska1981/5822</v>
      </c>
      <c r="K86" s="9" t="b">
        <v>1</v>
      </c>
      <c r="L86" s="10"/>
      <c r="M86" s="10">
        <f t="shared" si="1"/>
        <v>2</v>
      </c>
    </row>
    <row r="87">
      <c r="A87" s="4" t="s">
        <v>160</v>
      </c>
      <c r="B87" s="5">
        <v>7.0</v>
      </c>
      <c r="C87" s="5">
        <v>3.0</v>
      </c>
      <c r="D87" s="6">
        <v>45.5438709783969</v>
      </c>
      <c r="E87" s="6">
        <v>-75.2702128617967</v>
      </c>
      <c r="F87" s="5" t="s">
        <v>33</v>
      </c>
      <c r="G87" s="5" t="s">
        <v>34</v>
      </c>
      <c r="H87" s="7" t="s">
        <v>161</v>
      </c>
      <c r="I87" s="7">
        <v>5460.0</v>
      </c>
      <c r="J87" s="8" t="str">
        <f>IFERROR(__xludf.DUMMYFUNCTION("IF(AND(REGEXMATCH($H87,""50( ?['fF]([oO]{2})?[tT]?)?( ?[eE][rR]{2}[oO][rR])"")=FALSE,$H87&lt;&gt;"""",$I87&lt;&gt;""""),HYPERLINK(""https://www.munzee.com/m/""&amp;$H87&amp;""/""&amp;$I87&amp;""/map/?lat=""&amp;$D87&amp;""&amp;lon=""&amp;$E87&amp;""&amp;type=""&amp;$F87&amp;""&amp;name=""&amp;SUBSTITUTE($A87,""#"",""%23"""&amp;"),$H87&amp;""/""&amp;$I87),IF($H87&lt;&gt;"""",IF(REGEXMATCH($H87,""50( ?['fF]([oO]{2})?[tT]?)?( ?[eE][rR]{2}[oO][rR])""),HYPERLINK(""https://www.munzee.com/map/?sandbox=1&amp;lat=""&amp;$D87&amp;""&amp;lon=""&amp;$E87&amp;""&amp;name=""&amp;SUBSTITUTE($A87,""#"",""%23""),""SANDBOX""),HYPERLINK(""htt"&amp;"ps://www.munzee.com/m/""&amp;$H87&amp;""/deploys/0/type/""&amp;IFNA(VLOOKUP($G87,IMPORTRANGE(""https://docs.google.com/spreadsheets/d/1DliIGyDywdzxhd4svtjaewR0p9Y5UBTMNMQ2PcXsqss"",""type data!E2:F""),2,FALSE),$F87)&amp;""/"",$H87)),""""))"),"lison55/5460")</f>
        <v>lison55/5460</v>
      </c>
      <c r="K87" s="9" t="b">
        <v>1</v>
      </c>
      <c r="L87" s="10"/>
      <c r="M87" s="10">
        <f t="shared" si="1"/>
        <v>1</v>
      </c>
    </row>
    <row r="88">
      <c r="A88" s="4" t="s">
        <v>162</v>
      </c>
      <c r="B88" s="5">
        <v>7.0</v>
      </c>
      <c r="C88" s="5">
        <v>4.0</v>
      </c>
      <c r="D88" s="6">
        <v>45.5438709782132</v>
      </c>
      <c r="E88" s="6">
        <v>-75.2700076389904</v>
      </c>
      <c r="F88" s="5" t="s">
        <v>59</v>
      </c>
      <c r="G88" s="5" t="s">
        <v>60</v>
      </c>
      <c r="H88" s="7" t="s">
        <v>29</v>
      </c>
      <c r="I88" s="12">
        <v>980.0</v>
      </c>
      <c r="J88" s="8" t="str">
        <f>IFERROR(__xludf.DUMMYFUNCTION("IF(AND(REGEXMATCH($H88,""50( ?['fF]([oO]{2})?[tT]?)?( ?[eE][rR]{2}[oO][rR])"")=FALSE,$H88&lt;&gt;"""",$I88&lt;&gt;""""),HYPERLINK(""https://www.munzee.com/m/""&amp;$H88&amp;""/""&amp;$I88&amp;""/map/?lat=""&amp;$D88&amp;""&amp;lon=""&amp;$E88&amp;""&amp;type=""&amp;$F88&amp;""&amp;name=""&amp;SUBSTITUTE($A88,""#"",""%23"""&amp;"),$H88&amp;""/""&amp;$I88),IF($H88&lt;&gt;"""",IF(REGEXMATCH($H88,""50( ?['fF]([oO]{2})?[tT]?)?( ?[eE][rR]{2}[oO][rR])""),HYPERLINK(""https://www.munzee.com/map/?sandbox=1&amp;lat=""&amp;$D88&amp;""&amp;lon=""&amp;$E88&amp;""&amp;name=""&amp;SUBSTITUTE($A88,""#"",""%23""),""SANDBOX""),HYPERLINK(""htt"&amp;"ps://www.munzee.com/m/""&amp;$H88&amp;""/deploys/0/type/""&amp;IFNA(VLOOKUP($G88,IMPORTRANGE(""https://docs.google.com/spreadsheets/d/1DliIGyDywdzxhd4svtjaewR0p9Y5UBTMNMQ2PcXsqss"",""type data!E2:F""),2,FALSE),$F88)&amp;""/"",$H88)),""""))"),"WinterCheetah/980")</f>
        <v>WinterCheetah/980</v>
      </c>
      <c r="K88" s="9" t="b">
        <v>1</v>
      </c>
      <c r="L88" s="10"/>
      <c r="M88" s="10">
        <f t="shared" si="1"/>
        <v>8</v>
      </c>
    </row>
    <row r="89">
      <c r="A89" s="4" t="s">
        <v>163</v>
      </c>
      <c r="B89" s="5">
        <v>7.0</v>
      </c>
      <c r="C89" s="5">
        <v>5.0</v>
      </c>
      <c r="D89" s="6">
        <v>45.5438709780294</v>
      </c>
      <c r="E89" s="6">
        <v>-75.2698024161842</v>
      </c>
      <c r="F89" s="5" t="s">
        <v>112</v>
      </c>
      <c r="G89" s="5" t="s">
        <v>113</v>
      </c>
      <c r="H89" s="7" t="s">
        <v>164</v>
      </c>
      <c r="I89" s="7">
        <v>491.0</v>
      </c>
      <c r="J89" s="8" t="str">
        <f>IFERROR(__xludf.DUMMYFUNCTION("IF(AND(REGEXMATCH($H89,""50( ?['fF]([oO]{2})?[tT]?)?( ?[eE][rR]{2}[oO][rR])"")=FALSE,$H89&lt;&gt;"""",$I89&lt;&gt;""""),HYPERLINK(""https://www.munzee.com/m/""&amp;$H89&amp;""/""&amp;$I89&amp;""/map/?lat=""&amp;$D89&amp;""&amp;lon=""&amp;$E89&amp;""&amp;type=""&amp;$F89&amp;""&amp;name=""&amp;SUBSTITUTE($A89,""#"",""%23"""&amp;"),$H89&amp;""/""&amp;$I89),IF($H89&lt;&gt;"""",IF(REGEXMATCH($H89,""50( ?['fF]([oO]{2})?[tT]?)?( ?[eE][rR]{2}[oO][rR])""),HYPERLINK(""https://www.munzee.com/map/?sandbox=1&amp;lat=""&amp;$D89&amp;""&amp;lon=""&amp;$E89&amp;""&amp;name=""&amp;SUBSTITUTE($A89,""#"",""%23""),""SANDBOX""),HYPERLINK(""htt"&amp;"ps://www.munzee.com/m/""&amp;$H89&amp;""/deploys/0/type/""&amp;IFNA(VLOOKUP($G89,IMPORTRANGE(""https://docs.google.com/spreadsheets/d/1DliIGyDywdzxhd4svtjaewR0p9Y5UBTMNMQ2PcXsqss"",""type data!E2:F""),2,FALSE),$F89)&amp;""/"",$H89)),""""))"),"claireth /491")</f>
        <v>claireth /491</v>
      </c>
      <c r="K89" s="9" t="b">
        <v>1</v>
      </c>
      <c r="L89" s="10"/>
      <c r="M89" s="10">
        <f t="shared" si="1"/>
        <v>1</v>
      </c>
    </row>
    <row r="90">
      <c r="A90" s="4" t="s">
        <v>165</v>
      </c>
      <c r="B90" s="5">
        <v>7.0</v>
      </c>
      <c r="C90" s="5">
        <v>6.0</v>
      </c>
      <c r="D90" s="6">
        <v>45.5438709778457</v>
      </c>
      <c r="E90" s="6">
        <v>-75.2695971933779</v>
      </c>
      <c r="F90" s="5" t="s">
        <v>143</v>
      </c>
      <c r="G90" s="5" t="s">
        <v>144</v>
      </c>
      <c r="H90" s="7" t="s">
        <v>159</v>
      </c>
      <c r="I90" s="7">
        <v>5393.0</v>
      </c>
      <c r="J90" s="8" t="str">
        <f>IFERROR(__xludf.DUMMYFUNCTION("IF(AND(REGEXMATCH($H90,""50( ?['fF]([oO]{2})?[tT]?)?( ?[eE][rR]{2}[oO][rR])"")=FALSE,$H90&lt;&gt;"""",$I90&lt;&gt;""""),HYPERLINK(""https://www.munzee.com/m/""&amp;$H90&amp;""/""&amp;$I90&amp;""/map/?lat=""&amp;$D90&amp;""&amp;lon=""&amp;$E90&amp;""&amp;type=""&amp;$F90&amp;""&amp;name=""&amp;SUBSTITUTE($A90,""#"",""%23"""&amp;"),$H90&amp;""/""&amp;$I90),IF($H90&lt;&gt;"""",IF(REGEXMATCH($H90,""50( ?['fF]([oO]{2})?[tT]?)?( ?[eE][rR]{2}[oO][rR])""),HYPERLINK(""https://www.munzee.com/map/?sandbox=1&amp;lat=""&amp;$D90&amp;""&amp;lon=""&amp;$E90&amp;""&amp;name=""&amp;SUBSTITUTE($A90,""#"",""%23""),""SANDBOX""),HYPERLINK(""htt"&amp;"ps://www.munzee.com/m/""&amp;$H90&amp;""/deploys/0/type/""&amp;IFNA(VLOOKUP($G90,IMPORTRANGE(""https://docs.google.com/spreadsheets/d/1DliIGyDywdzxhd4svtjaewR0p9Y5UBTMNMQ2PcXsqss"",""type data!E2:F""),2,FALSE),$F90)&amp;""/"",$H90)),""""))"),"taska1981/5393")</f>
        <v>taska1981/5393</v>
      </c>
      <c r="K90" s="9" t="b">
        <v>1</v>
      </c>
      <c r="L90" s="10"/>
      <c r="M90" s="10">
        <f t="shared" si="1"/>
        <v>2</v>
      </c>
    </row>
    <row r="91">
      <c r="A91" s="4" t="s">
        <v>166</v>
      </c>
      <c r="B91" s="5">
        <v>7.0</v>
      </c>
      <c r="C91" s="5">
        <v>7.0</v>
      </c>
      <c r="D91" s="6">
        <v>45.543870977662</v>
      </c>
      <c r="E91" s="6">
        <v>-75.2693919705717</v>
      </c>
      <c r="F91" s="5" t="s">
        <v>143</v>
      </c>
      <c r="G91" s="5" t="s">
        <v>144</v>
      </c>
      <c r="H91" s="7" t="s">
        <v>16</v>
      </c>
      <c r="I91" s="7">
        <v>555.0</v>
      </c>
      <c r="J91" s="8" t="str">
        <f>IFERROR(__xludf.DUMMYFUNCTION("IF(AND(REGEXMATCH($H91,""50( ?['fF]([oO]{2})?[tT]?)?( ?[eE][rR]{2}[oO][rR])"")=FALSE,$H91&lt;&gt;"""",$I91&lt;&gt;""""),HYPERLINK(""https://www.munzee.com/m/""&amp;$H91&amp;""/""&amp;$I91&amp;""/map/?lat=""&amp;$D91&amp;""&amp;lon=""&amp;$E91&amp;""&amp;type=""&amp;$F91&amp;""&amp;name=""&amp;SUBSTITUTE($A91,""#"",""%23"""&amp;"),$H91&amp;""/""&amp;$I91),IF($H91&lt;&gt;"""",IF(REGEXMATCH($H91,""50( ?['fF]([oO]{2})?[tT]?)?( ?[eE][rR]{2}[oO][rR])""),HYPERLINK(""https://www.munzee.com/map/?sandbox=1&amp;lat=""&amp;$D91&amp;""&amp;lon=""&amp;$E91&amp;""&amp;name=""&amp;SUBSTITUTE($A91,""#"",""%23""),""SANDBOX""),HYPERLINK(""htt"&amp;"ps://www.munzee.com/m/""&amp;$H91&amp;""/deploys/0/type/""&amp;IFNA(VLOOKUP($G91,IMPORTRANGE(""https://docs.google.com/spreadsheets/d/1DliIGyDywdzxhd4svtjaewR0p9Y5UBTMNMQ2PcXsqss"",""type data!E2:F""),2,FALSE),$F91)&amp;""/"",$H91)),""""))"),"Heluna/555")</f>
        <v>Heluna/555</v>
      </c>
      <c r="K91" s="9" t="b">
        <v>1</v>
      </c>
      <c r="L91" s="9"/>
      <c r="M91" s="10">
        <f t="shared" si="1"/>
        <v>5</v>
      </c>
    </row>
    <row r="92">
      <c r="A92" s="4" t="s">
        <v>167</v>
      </c>
      <c r="B92" s="5">
        <v>7.0</v>
      </c>
      <c r="C92" s="5">
        <v>8.0</v>
      </c>
      <c r="D92" s="6">
        <v>45.5438709774782</v>
      </c>
      <c r="E92" s="6">
        <v>-75.2691867477655</v>
      </c>
      <c r="F92" s="5" t="s">
        <v>112</v>
      </c>
      <c r="G92" s="5" t="s">
        <v>113</v>
      </c>
      <c r="H92" s="12" t="s">
        <v>168</v>
      </c>
      <c r="I92" s="7">
        <v>4902.0</v>
      </c>
      <c r="J92" s="8" t="str">
        <f>IFERROR(__xludf.DUMMYFUNCTION("IF(AND(REGEXMATCH($H92,""50( ?['fF]([oO]{2})?[tT]?)?( ?[eE][rR]{2}[oO][rR])"")=FALSE,$H92&lt;&gt;"""",$I92&lt;&gt;""""),HYPERLINK(""https://www.munzee.com/m/""&amp;$H92&amp;""/""&amp;$I92&amp;""/map/?lat=""&amp;$D92&amp;""&amp;lon=""&amp;$E92&amp;""&amp;type=""&amp;$F92&amp;""&amp;name=""&amp;SUBSTITUTE($A92,""#"",""%23"""&amp;"),$H92&amp;""/""&amp;$I92),IF($H92&lt;&gt;"""",IF(REGEXMATCH($H92,""50( ?['fF]([oO]{2})?[tT]?)?( ?[eE][rR]{2}[oO][rR])""),HYPERLINK(""https://www.munzee.com/map/?sandbox=1&amp;lat=""&amp;$D92&amp;""&amp;lon=""&amp;$E92&amp;""&amp;name=""&amp;SUBSTITUTE($A92,""#"",""%23""),""SANDBOX""),HYPERLINK(""htt"&amp;"ps://www.munzee.com/m/""&amp;$H92&amp;""/deploys/0/type/""&amp;IFNA(VLOOKUP($G92,IMPORTRANGE(""https://docs.google.com/spreadsheets/d/1DliIGyDywdzxhd4svtjaewR0p9Y5UBTMNMQ2PcXsqss"",""type data!E2:F""),2,FALSE),$F92)&amp;""/"",$H92)),""""))"),"ivwarrior/4902")</f>
        <v>ivwarrior/4902</v>
      </c>
      <c r="K92" s="9" t="b">
        <v>1</v>
      </c>
      <c r="L92" s="5"/>
      <c r="M92" s="10">
        <f t="shared" si="1"/>
        <v>3</v>
      </c>
    </row>
    <row r="93">
      <c r="A93" s="4" t="s">
        <v>169</v>
      </c>
      <c r="B93" s="5">
        <v>7.0</v>
      </c>
      <c r="C93" s="5">
        <v>9.0</v>
      </c>
      <c r="D93" s="6">
        <v>45.5438709772945</v>
      </c>
      <c r="E93" s="6">
        <v>-75.2689815249592</v>
      </c>
      <c r="F93" s="5" t="s">
        <v>33</v>
      </c>
      <c r="G93" s="5" t="s">
        <v>34</v>
      </c>
      <c r="H93" s="7" t="s">
        <v>170</v>
      </c>
      <c r="I93" s="7">
        <v>8194.0</v>
      </c>
      <c r="J93" s="8" t="str">
        <f>IFERROR(__xludf.DUMMYFUNCTION("IF(AND(REGEXMATCH($H93,""50( ?['fF]([oO]{2})?[tT]?)?( ?[eE][rR]{2}[oO][rR])"")=FALSE,$H93&lt;&gt;"""",$I93&lt;&gt;""""),HYPERLINK(""https://www.munzee.com/m/""&amp;$H93&amp;""/""&amp;$I93&amp;""/map/?lat=""&amp;$D93&amp;""&amp;lon=""&amp;$E93&amp;""&amp;type=""&amp;$F93&amp;""&amp;name=""&amp;SUBSTITUTE($A93,""#"",""%23"""&amp;"),$H93&amp;""/""&amp;$I93),IF($H93&lt;&gt;"""",IF(REGEXMATCH($H93,""50( ?['fF]([oO]{2})?[tT]?)?( ?[eE][rR]{2}[oO][rR])""),HYPERLINK(""https://www.munzee.com/map/?sandbox=1&amp;lat=""&amp;$D93&amp;""&amp;lon=""&amp;$E93&amp;""&amp;name=""&amp;SUBSTITUTE($A93,""#"",""%23""),""SANDBOX""),HYPERLINK(""htt"&amp;"ps://www.munzee.com/m/""&amp;$H93&amp;""/deploys/0/type/""&amp;IFNA(VLOOKUP($G93,IMPORTRANGE(""https://docs.google.com/spreadsheets/d/1DliIGyDywdzxhd4svtjaewR0p9Y5UBTMNMQ2PcXsqss"",""type data!E2:F""),2,FALSE),$F93)&amp;""/"",$H93)),""""))"),"WVKiwi/8194")</f>
        <v>WVKiwi/8194</v>
      </c>
      <c r="K93" s="9" t="b">
        <v>1</v>
      </c>
      <c r="L93" s="9"/>
      <c r="M93" s="10">
        <f t="shared" si="1"/>
        <v>1</v>
      </c>
    </row>
    <row r="94">
      <c r="A94" s="4" t="s">
        <v>171</v>
      </c>
      <c r="B94" s="5">
        <v>7.0</v>
      </c>
      <c r="C94" s="5">
        <v>10.0</v>
      </c>
      <c r="D94" s="6">
        <v>45.5438709771108</v>
      </c>
      <c r="E94" s="6">
        <v>-75.268776302153</v>
      </c>
      <c r="F94" s="5" t="s">
        <v>112</v>
      </c>
      <c r="G94" s="5" t="s">
        <v>113</v>
      </c>
      <c r="H94" s="7" t="s">
        <v>29</v>
      </c>
      <c r="I94" s="7">
        <v>959.0</v>
      </c>
      <c r="J94" s="8" t="str">
        <f>IFERROR(__xludf.DUMMYFUNCTION("IF(AND(REGEXMATCH($H94,""50( ?['fF]([oO]{2})?[tT]?)?( ?[eE][rR]{2}[oO][rR])"")=FALSE,$H94&lt;&gt;"""",$I94&lt;&gt;""""),HYPERLINK(""https://www.munzee.com/m/""&amp;$H94&amp;""/""&amp;$I94&amp;""/map/?lat=""&amp;$D94&amp;""&amp;lon=""&amp;$E94&amp;""&amp;type=""&amp;$F94&amp;""&amp;name=""&amp;SUBSTITUTE($A94,""#"",""%23"""&amp;"),$H94&amp;""/""&amp;$I94),IF($H94&lt;&gt;"""",IF(REGEXMATCH($H94,""50( ?['fF]([oO]{2})?[tT]?)?( ?[eE][rR]{2}[oO][rR])""),HYPERLINK(""https://www.munzee.com/map/?sandbox=1&amp;lat=""&amp;$D94&amp;""&amp;lon=""&amp;$E94&amp;""&amp;name=""&amp;SUBSTITUTE($A94,""#"",""%23""),""SANDBOX""),HYPERLINK(""htt"&amp;"ps://www.munzee.com/m/""&amp;$H94&amp;""/deploys/0/type/""&amp;IFNA(VLOOKUP($G94,IMPORTRANGE(""https://docs.google.com/spreadsheets/d/1DliIGyDywdzxhd4svtjaewR0p9Y5UBTMNMQ2PcXsqss"",""type data!E2:F""),2,FALSE),$F94)&amp;""/"",$H94)),""""))"),"WinterCheetah/959")</f>
        <v>WinterCheetah/959</v>
      </c>
      <c r="K94" s="9" t="b">
        <v>1</v>
      </c>
      <c r="L94" s="10"/>
      <c r="M94" s="10">
        <f t="shared" si="1"/>
        <v>8</v>
      </c>
    </row>
    <row r="95">
      <c r="A95" s="4" t="s">
        <v>172</v>
      </c>
      <c r="B95" s="5">
        <v>7.0</v>
      </c>
      <c r="C95" s="5">
        <v>11.0</v>
      </c>
      <c r="D95" s="6">
        <v>45.543870976927</v>
      </c>
      <c r="E95" s="6">
        <v>-75.2685710793467</v>
      </c>
      <c r="F95" s="5" t="s">
        <v>143</v>
      </c>
      <c r="G95" s="5" t="s">
        <v>144</v>
      </c>
      <c r="H95" s="7" t="s">
        <v>173</v>
      </c>
      <c r="I95" s="7">
        <v>1216.0</v>
      </c>
      <c r="J95" s="8" t="str">
        <f>IFERROR(__xludf.DUMMYFUNCTION("IF(AND(REGEXMATCH($H95,""50( ?['fF]([oO]{2})?[tT]?)?( ?[eE][rR]{2}[oO][rR])"")=FALSE,$H95&lt;&gt;"""",$I95&lt;&gt;""""),HYPERLINK(""https://www.munzee.com/m/""&amp;$H95&amp;""/""&amp;$I95&amp;""/map/?lat=""&amp;$D95&amp;""&amp;lon=""&amp;$E95&amp;""&amp;type=""&amp;$F95&amp;""&amp;name=""&amp;SUBSTITUTE($A95,""#"",""%23"""&amp;"),$H95&amp;""/""&amp;$I95),IF($H95&lt;&gt;"""",IF(REGEXMATCH($H95,""50( ?['fF]([oO]{2})?[tT]?)?( ?[eE][rR]{2}[oO][rR])""),HYPERLINK(""https://www.munzee.com/map/?sandbox=1&amp;lat=""&amp;$D95&amp;""&amp;lon=""&amp;$E95&amp;""&amp;name=""&amp;SUBSTITUTE($A95,""#"",""%23""),""SANDBOX""),HYPERLINK(""htt"&amp;"ps://www.munzee.com/m/""&amp;$H95&amp;""/deploys/0/type/""&amp;IFNA(VLOOKUP($G95,IMPORTRANGE(""https://docs.google.com/spreadsheets/d/1DliIGyDywdzxhd4svtjaewR0p9Y5UBTMNMQ2PcXsqss"",""type data!E2:F""),2,FALSE),$F95)&amp;""/"",$H95)),""""))"),"klc1960/1216")</f>
        <v>klc1960/1216</v>
      </c>
      <c r="K95" s="9" t="b">
        <v>1</v>
      </c>
      <c r="L95" s="9"/>
      <c r="M95" s="10">
        <f t="shared" si="1"/>
        <v>3</v>
      </c>
    </row>
    <row r="96">
      <c r="A96" s="4" t="s">
        <v>174</v>
      </c>
      <c r="B96" s="5">
        <v>7.0</v>
      </c>
      <c r="C96" s="5">
        <v>12.0</v>
      </c>
      <c r="D96" s="6">
        <v>45.5438709767433</v>
      </c>
      <c r="E96" s="6">
        <v>-75.2683658565405</v>
      </c>
      <c r="F96" s="5" t="s">
        <v>143</v>
      </c>
      <c r="G96" s="5" t="s">
        <v>144</v>
      </c>
      <c r="H96" s="7" t="s">
        <v>63</v>
      </c>
      <c r="I96" s="7">
        <v>58.0</v>
      </c>
      <c r="J96" s="8" t="str">
        <f>IFERROR(__xludf.DUMMYFUNCTION("IF(AND(REGEXMATCH($H96,""50( ?['fF]([oO]{2})?[tT]?)?( ?[eE][rR]{2}[oO][rR])"")=FALSE,$H96&lt;&gt;"""",$I96&lt;&gt;""""),HYPERLINK(""https://www.munzee.com/m/""&amp;$H96&amp;""/""&amp;$I96&amp;""/map/?lat=""&amp;$D96&amp;""&amp;lon=""&amp;$E96&amp;""&amp;type=""&amp;$F96&amp;""&amp;name=""&amp;SUBSTITUTE($A96,""#"",""%23"""&amp;"),$H96&amp;""/""&amp;$I96),IF($H96&lt;&gt;"""",IF(REGEXMATCH($H96,""50( ?['fF]([oO]{2})?[tT]?)?( ?[eE][rR]{2}[oO][rR])""),HYPERLINK(""https://www.munzee.com/map/?sandbox=1&amp;lat=""&amp;$D96&amp;""&amp;lon=""&amp;$E96&amp;""&amp;name=""&amp;SUBSTITUTE($A96,""#"",""%23""),""SANDBOX""),HYPERLINK(""htt"&amp;"ps://www.munzee.com/m/""&amp;$H96&amp;""/deploys/0/type/""&amp;IFNA(VLOOKUP($G96,IMPORTRANGE(""https://docs.google.com/spreadsheets/d/1DliIGyDywdzxhd4svtjaewR0p9Y5UBTMNMQ2PcXsqss"",""type data!E2:F""),2,FALSE),$F96)&amp;""/"",$H96)),""""))"),"3Prettys/58")</f>
        <v>3Prettys/58</v>
      </c>
      <c r="K96" s="9" t="b">
        <v>1</v>
      </c>
      <c r="L96" s="9"/>
      <c r="M96" s="10">
        <f t="shared" si="1"/>
        <v>2</v>
      </c>
    </row>
    <row r="97">
      <c r="A97" s="4" t="s">
        <v>175</v>
      </c>
      <c r="B97" s="5">
        <v>7.0</v>
      </c>
      <c r="C97" s="5">
        <v>13.0</v>
      </c>
      <c r="D97" s="6">
        <v>45.5438709765596</v>
      </c>
      <c r="E97" s="6">
        <v>-75.2681606337342</v>
      </c>
      <c r="F97" s="5" t="s">
        <v>112</v>
      </c>
      <c r="G97" s="5" t="s">
        <v>113</v>
      </c>
      <c r="H97" s="7" t="s">
        <v>29</v>
      </c>
      <c r="I97" s="12">
        <v>949.0</v>
      </c>
      <c r="J97" s="8" t="str">
        <f>IFERROR(__xludf.DUMMYFUNCTION("IF(AND(REGEXMATCH($H97,""50( ?['fF]([oO]{2})?[tT]?)?( ?[eE][rR]{2}[oO][rR])"")=FALSE,$H97&lt;&gt;"""",$I97&lt;&gt;""""),HYPERLINK(""https://www.munzee.com/m/""&amp;$H97&amp;""/""&amp;$I97&amp;""/map/?lat=""&amp;$D97&amp;""&amp;lon=""&amp;$E97&amp;""&amp;type=""&amp;$F97&amp;""&amp;name=""&amp;SUBSTITUTE($A97,""#"",""%23"""&amp;"),$H97&amp;""/""&amp;$I97),IF($H97&lt;&gt;"""",IF(REGEXMATCH($H97,""50( ?['fF]([oO]{2})?[tT]?)?( ?[eE][rR]{2}[oO][rR])""),HYPERLINK(""https://www.munzee.com/map/?sandbox=1&amp;lat=""&amp;$D97&amp;""&amp;lon=""&amp;$E97&amp;""&amp;name=""&amp;SUBSTITUTE($A97,""#"",""%23""),""SANDBOX""),HYPERLINK(""htt"&amp;"ps://www.munzee.com/m/""&amp;$H97&amp;""/deploys/0/type/""&amp;IFNA(VLOOKUP($G97,IMPORTRANGE(""https://docs.google.com/spreadsheets/d/1DliIGyDywdzxhd4svtjaewR0p9Y5UBTMNMQ2PcXsqss"",""type data!E2:F""),2,FALSE),$F97)&amp;""/"",$H97)),""""))"),"WinterCheetah/949")</f>
        <v>WinterCheetah/949</v>
      </c>
      <c r="K97" s="9" t="b">
        <v>1</v>
      </c>
      <c r="L97" s="10"/>
      <c r="M97" s="10">
        <f t="shared" si="1"/>
        <v>8</v>
      </c>
    </row>
    <row r="98">
      <c r="A98" s="4" t="s">
        <v>176</v>
      </c>
      <c r="B98" s="5">
        <v>7.0</v>
      </c>
      <c r="C98" s="5">
        <v>14.0</v>
      </c>
      <c r="D98" s="6">
        <v>45.5438709763758</v>
      </c>
      <c r="E98" s="6">
        <v>-75.267955410928</v>
      </c>
      <c r="F98" s="5" t="s">
        <v>59</v>
      </c>
      <c r="G98" s="5" t="s">
        <v>60</v>
      </c>
      <c r="H98" s="7" t="s">
        <v>177</v>
      </c>
      <c r="I98" s="7">
        <v>18088.0</v>
      </c>
      <c r="J98" s="8" t="str">
        <f>IFERROR(__xludf.DUMMYFUNCTION("IF(AND(REGEXMATCH($H98,""50( ?['fF]([oO]{2})?[tT]?)?( ?[eE][rR]{2}[oO][rR])"")=FALSE,$H98&lt;&gt;"""",$I98&lt;&gt;""""),HYPERLINK(""https://www.munzee.com/m/""&amp;$H98&amp;""/""&amp;$I98&amp;""/map/?lat=""&amp;$D98&amp;""&amp;lon=""&amp;$E98&amp;""&amp;type=""&amp;$F98&amp;""&amp;name=""&amp;SUBSTITUTE($A98,""#"",""%23"""&amp;"),$H98&amp;""/""&amp;$I98),IF($H98&lt;&gt;"""",IF(REGEXMATCH($H98,""50( ?['fF]([oO]{2})?[tT]?)?( ?[eE][rR]{2}[oO][rR])""),HYPERLINK(""https://www.munzee.com/map/?sandbox=1&amp;lat=""&amp;$D98&amp;""&amp;lon=""&amp;$E98&amp;""&amp;name=""&amp;SUBSTITUTE($A98,""#"",""%23""),""SANDBOX""),HYPERLINK(""htt"&amp;"ps://www.munzee.com/m/""&amp;$H98&amp;""/deploys/0/type/""&amp;IFNA(VLOOKUP($G98,IMPORTRANGE(""https://docs.google.com/spreadsheets/d/1DliIGyDywdzxhd4svtjaewR0p9Y5UBTMNMQ2PcXsqss"",""type data!E2:F""),2,FALSE),$F98)&amp;""/"",$H98)),""""))"),"c-bn/18088")</f>
        <v>c-bn/18088</v>
      </c>
      <c r="K98" s="9" t="b">
        <v>1</v>
      </c>
      <c r="L98" s="10"/>
      <c r="M98" s="10">
        <f t="shared" si="1"/>
        <v>1</v>
      </c>
    </row>
    <row r="99">
      <c r="A99" s="4" t="s">
        <v>178</v>
      </c>
      <c r="B99" s="5">
        <v>7.0</v>
      </c>
      <c r="C99" s="5">
        <v>15.0</v>
      </c>
      <c r="D99" s="6">
        <v>45.5438709761921</v>
      </c>
      <c r="E99" s="6">
        <v>-75.2677501881218</v>
      </c>
      <c r="F99" s="5" t="s">
        <v>33</v>
      </c>
      <c r="G99" s="5" t="s">
        <v>34</v>
      </c>
      <c r="H99" s="7" t="s">
        <v>179</v>
      </c>
      <c r="I99" s="7">
        <v>8694.0</v>
      </c>
      <c r="J99" s="8" t="str">
        <f>IFERROR(__xludf.DUMMYFUNCTION("IF(AND(REGEXMATCH($H99,""50( ?['fF]([oO]{2})?[tT]?)?( ?[eE][rR]{2}[oO][rR])"")=FALSE,$H99&lt;&gt;"""",$I99&lt;&gt;""""),HYPERLINK(""https://www.munzee.com/m/""&amp;$H99&amp;""/""&amp;$I99&amp;""/map/?lat=""&amp;$D99&amp;""&amp;lon=""&amp;$E99&amp;""&amp;type=""&amp;$F99&amp;""&amp;name=""&amp;SUBSTITUTE($A99,""#"",""%23"""&amp;"),$H99&amp;""/""&amp;$I99),IF($H99&lt;&gt;"""",IF(REGEXMATCH($H99,""50( ?['fF]([oO]{2})?[tT]?)?( ?[eE][rR]{2}[oO][rR])""),HYPERLINK(""https://www.munzee.com/map/?sandbox=1&amp;lat=""&amp;$D99&amp;""&amp;lon=""&amp;$E99&amp;""&amp;name=""&amp;SUBSTITUTE($A99,""#"",""%23""),""SANDBOX""),HYPERLINK(""htt"&amp;"ps://www.munzee.com/m/""&amp;$H99&amp;""/deploys/0/type/""&amp;IFNA(VLOOKUP($G99,IMPORTRANGE(""https://docs.google.com/spreadsheets/d/1DliIGyDywdzxhd4svtjaewR0p9Y5UBTMNMQ2PcXsqss"",""type data!E2:F""),2,FALSE),$F99)&amp;""/"",$H99)),""""))"),"cvdchiller/8694")</f>
        <v>cvdchiller/8694</v>
      </c>
      <c r="K99" s="9" t="b">
        <v>1</v>
      </c>
      <c r="L99" s="9"/>
      <c r="M99" s="10">
        <f t="shared" si="1"/>
        <v>1</v>
      </c>
    </row>
    <row r="100">
      <c r="A100" s="4" t="s">
        <v>180</v>
      </c>
      <c r="B100" s="5">
        <v>7.0</v>
      </c>
      <c r="C100" s="5">
        <v>16.0</v>
      </c>
      <c r="D100" s="6">
        <v>45.5438709760084</v>
      </c>
      <c r="E100" s="6">
        <v>-75.2675449653155</v>
      </c>
      <c r="F100" s="5" t="s">
        <v>14</v>
      </c>
      <c r="G100" s="5" t="s">
        <v>15</v>
      </c>
      <c r="H100" s="7" t="s">
        <v>181</v>
      </c>
      <c r="I100" s="7">
        <v>3400.0</v>
      </c>
      <c r="J100" s="8" t="str">
        <f>IFERROR(__xludf.DUMMYFUNCTION("IF(AND(REGEXMATCH($H100,""50( ?['fF]([oO]{2})?[tT]?)?( ?[eE][rR]{2}[oO][rR])"")=FALSE,$H100&lt;&gt;"""",$I100&lt;&gt;""""),HYPERLINK(""https://www.munzee.com/m/""&amp;$H100&amp;""/""&amp;$I100&amp;""/map/?lat=""&amp;$D100&amp;""&amp;lon=""&amp;$E100&amp;""&amp;type=""&amp;$F100&amp;""&amp;name=""&amp;SUBSTITUTE($A100,""#"&amp;""",""%23""),$H100&amp;""/""&amp;$I100),IF($H100&lt;&gt;"""",IF(REGEXMATCH($H100,""50( ?['fF]([oO]{2})?[tT]?)?( ?[eE][rR]{2}[oO][rR])""),HYPERLINK(""https://www.munzee.com/map/?sandbox=1&amp;lat=""&amp;$D100&amp;""&amp;lon=""&amp;$E100&amp;""&amp;name=""&amp;SUBSTITUTE($A100,""#"",""%23""),""SANDBOX"""&amp;"),HYPERLINK(""https://www.munzee.com/m/""&amp;$H100&amp;""/deploys/0/type/""&amp;IFNA(VLOOKUP($G100,IMPORTRANGE(""https://docs.google.com/spreadsheets/d/1DliIGyDywdzxhd4svtjaewR0p9Y5UBTMNMQ2PcXsqss"",""type data!E2:F""),2,FALSE),$F100)&amp;""/"",$H100)),""""))"),"NoahCache/3400")</f>
        <v>NoahCache/3400</v>
      </c>
      <c r="K100" s="9" t="b">
        <v>1</v>
      </c>
      <c r="L100" s="21"/>
      <c r="M100" s="10">
        <f t="shared" si="1"/>
        <v>1</v>
      </c>
    </row>
    <row r="101">
      <c r="A101" s="4" t="s">
        <v>182</v>
      </c>
      <c r="B101" s="5">
        <v>8.0</v>
      </c>
      <c r="C101" s="5">
        <v>2.0</v>
      </c>
      <c r="D101" s="6">
        <v>45.5437272481352</v>
      </c>
      <c r="E101" s="6">
        <v>-75.2704180961457</v>
      </c>
      <c r="F101" s="5" t="s">
        <v>14</v>
      </c>
      <c r="G101" s="5" t="s">
        <v>15</v>
      </c>
      <c r="H101" s="7" t="s">
        <v>183</v>
      </c>
      <c r="I101" s="7">
        <v>1340.0</v>
      </c>
      <c r="J101" s="8" t="str">
        <f>IFERROR(__xludf.DUMMYFUNCTION("IF(AND(REGEXMATCH($H101,""50( ?['fF]([oO]{2})?[tT]?)?( ?[eE][rR]{2}[oO][rR])"")=FALSE,$H101&lt;&gt;"""",$I101&lt;&gt;""""),HYPERLINK(""https://www.munzee.com/m/""&amp;$H101&amp;""/""&amp;$I101&amp;""/map/?lat=""&amp;$D101&amp;""&amp;lon=""&amp;$E101&amp;""&amp;type=""&amp;$F101&amp;""&amp;name=""&amp;SUBSTITUTE($A101,""#"&amp;""",""%23""),$H101&amp;""/""&amp;$I101),IF($H101&lt;&gt;"""",IF(REGEXMATCH($H101,""50( ?['fF]([oO]{2})?[tT]?)?( ?[eE][rR]{2}[oO][rR])""),HYPERLINK(""https://www.munzee.com/map/?sandbox=1&amp;lat=""&amp;$D101&amp;""&amp;lon=""&amp;$E101&amp;""&amp;name=""&amp;SUBSTITUTE($A101,""#"",""%23""),""SANDBOX"""&amp;"),HYPERLINK(""https://www.munzee.com/m/""&amp;$H101&amp;""/deploys/0/type/""&amp;IFNA(VLOOKUP($G101,IMPORTRANGE(""https://docs.google.com/spreadsheets/d/1DliIGyDywdzxhd4svtjaewR0p9Y5UBTMNMQ2PcXsqss"",""type data!E2:F""),2,FALSE),$F101)&amp;""/"",$H101)),""""))"),"PelicanRouge/1340")</f>
        <v>PelicanRouge/1340</v>
      </c>
      <c r="K101" s="9" t="b">
        <v>1</v>
      </c>
      <c r="L101" s="21"/>
      <c r="M101" s="10">
        <f t="shared" si="1"/>
        <v>1</v>
      </c>
    </row>
    <row r="102">
      <c r="A102" s="4" t="s">
        <v>184</v>
      </c>
      <c r="B102" s="5">
        <v>8.0</v>
      </c>
      <c r="C102" s="5">
        <v>3.0</v>
      </c>
      <c r="D102" s="6">
        <v>45.5437272479514</v>
      </c>
      <c r="E102" s="6">
        <v>-75.2702128738642</v>
      </c>
      <c r="F102" s="5" t="s">
        <v>33</v>
      </c>
      <c r="G102" s="5" t="s">
        <v>34</v>
      </c>
      <c r="H102" s="7" t="s">
        <v>185</v>
      </c>
      <c r="I102" s="7">
        <v>12653.0</v>
      </c>
      <c r="J102" s="8" t="str">
        <f>IFERROR(__xludf.DUMMYFUNCTION("IF(AND(REGEXMATCH($H102,""50( ?['fF]([oO]{2})?[tT]?)?( ?[eE][rR]{2}[oO][rR])"")=FALSE,$H102&lt;&gt;"""",$I102&lt;&gt;""""),HYPERLINK(""https://www.munzee.com/m/""&amp;$H102&amp;""/""&amp;$I102&amp;""/map/?lat=""&amp;$D102&amp;""&amp;lon=""&amp;$E102&amp;""&amp;type=""&amp;$F102&amp;""&amp;name=""&amp;SUBSTITUTE($A102,""#"&amp;""",""%23""),$H102&amp;""/""&amp;$I102),IF($H102&lt;&gt;"""",IF(REGEXMATCH($H102,""50( ?['fF]([oO]{2})?[tT]?)?( ?[eE][rR]{2}[oO][rR])""),HYPERLINK(""https://www.munzee.com/map/?sandbox=1&amp;lat=""&amp;$D102&amp;""&amp;lon=""&amp;$E102&amp;""&amp;name=""&amp;SUBSTITUTE($A102,""#"",""%23""),""SANDBOX"""&amp;"),HYPERLINK(""https://www.munzee.com/m/""&amp;$H102&amp;""/deploys/0/type/""&amp;IFNA(VLOOKUP($G102,IMPORTRANGE(""https://docs.google.com/spreadsheets/d/1DliIGyDywdzxhd4svtjaewR0p9Y5UBTMNMQ2PcXsqss"",""type data!E2:F""),2,FALSE),$F102)&amp;""/"",$H102)),""""))"),"mars00xj/12653")</f>
        <v>mars00xj/12653</v>
      </c>
      <c r="K102" s="9" t="b">
        <v>1</v>
      </c>
      <c r="L102" s="10"/>
      <c r="M102" s="10">
        <f t="shared" si="1"/>
        <v>5</v>
      </c>
    </row>
    <row r="103">
      <c r="A103" s="4" t="s">
        <v>186</v>
      </c>
      <c r="B103" s="5">
        <v>8.0</v>
      </c>
      <c r="C103" s="5">
        <v>4.0</v>
      </c>
      <c r="D103" s="6">
        <v>45.5437272477677</v>
      </c>
      <c r="E103" s="6">
        <v>-75.2700076515827</v>
      </c>
      <c r="F103" s="5" t="s">
        <v>59</v>
      </c>
      <c r="G103" s="5" t="s">
        <v>60</v>
      </c>
      <c r="H103" s="7" t="s">
        <v>187</v>
      </c>
      <c r="I103" s="7">
        <v>11801.0</v>
      </c>
      <c r="J103" s="8" t="str">
        <f>IFERROR(__xludf.DUMMYFUNCTION("IF(AND(REGEXMATCH($H103,""50( ?['fF]([oO]{2})?[tT]?)?( ?[eE][rR]{2}[oO][rR])"")=FALSE,$H103&lt;&gt;"""",$I103&lt;&gt;""""),HYPERLINK(""https://www.munzee.com/m/""&amp;$H103&amp;""/""&amp;$I103&amp;""/map/?lat=""&amp;$D103&amp;""&amp;lon=""&amp;$E103&amp;""&amp;type=""&amp;$F103&amp;""&amp;name=""&amp;SUBSTITUTE($A103,""#"&amp;""",""%23""),$H103&amp;""/""&amp;$I103),IF($H103&lt;&gt;"""",IF(REGEXMATCH($H103,""50( ?['fF]([oO]{2})?[tT]?)?( ?[eE][rR]{2}[oO][rR])""),HYPERLINK(""https://www.munzee.com/map/?sandbox=1&amp;lat=""&amp;$D103&amp;""&amp;lon=""&amp;$E103&amp;""&amp;name=""&amp;SUBSTITUTE($A103,""#"",""%23""),""SANDBOX"""&amp;"),HYPERLINK(""https://www.munzee.com/m/""&amp;$H103&amp;""/deploys/0/type/""&amp;IFNA(VLOOKUP($G103,IMPORTRANGE(""https://docs.google.com/spreadsheets/d/1DliIGyDywdzxhd4svtjaewR0p9Y5UBTMNMQ2PcXsqss"",""type data!E2:F""),2,FALSE),$F103)&amp;""/"",$H103)),""""))"),"halizwein/11801")</f>
        <v>halizwein/11801</v>
      </c>
      <c r="K103" s="9" t="b">
        <v>1</v>
      </c>
      <c r="L103" s="10"/>
      <c r="M103" s="10">
        <f t="shared" si="1"/>
        <v>1</v>
      </c>
    </row>
    <row r="104">
      <c r="A104" s="4" t="s">
        <v>188</v>
      </c>
      <c r="B104" s="5">
        <v>8.0</v>
      </c>
      <c r="C104" s="5">
        <v>5.0</v>
      </c>
      <c r="D104" s="6">
        <v>45.543727247584</v>
      </c>
      <c r="E104" s="6">
        <v>-75.2698024293012</v>
      </c>
      <c r="F104" s="5" t="s">
        <v>33</v>
      </c>
      <c r="G104" s="5" t="s">
        <v>34</v>
      </c>
      <c r="H104" s="7" t="s">
        <v>92</v>
      </c>
      <c r="I104" s="7">
        <v>3066.0</v>
      </c>
      <c r="J104" s="8" t="str">
        <f>IFERROR(__xludf.DUMMYFUNCTION("IF(AND(REGEXMATCH($H104,""50( ?['fF]([oO]{2})?[tT]?)?( ?[eE][rR]{2}[oO][rR])"")=FALSE,$H104&lt;&gt;"""",$I104&lt;&gt;""""),HYPERLINK(""https://www.munzee.com/m/""&amp;$H104&amp;""/""&amp;$I104&amp;""/map/?lat=""&amp;$D104&amp;""&amp;lon=""&amp;$E104&amp;""&amp;type=""&amp;$F104&amp;""&amp;name=""&amp;SUBSTITUTE($A104,""#"&amp;""",""%23""),$H104&amp;""/""&amp;$I104),IF($H104&lt;&gt;"""",IF(REGEXMATCH($H104,""50( ?['fF]([oO]{2})?[tT]?)?( ?[eE][rR]{2}[oO][rR])""),HYPERLINK(""https://www.munzee.com/map/?sandbox=1&amp;lat=""&amp;$D104&amp;""&amp;lon=""&amp;$E104&amp;""&amp;name=""&amp;SUBSTITUTE($A104,""#"",""%23""),""SANDBOX"""&amp;"),HYPERLINK(""https://www.munzee.com/m/""&amp;$H104&amp;""/deploys/0/type/""&amp;IFNA(VLOOKUP($G104,IMPORTRANGE(""https://docs.google.com/spreadsheets/d/1DliIGyDywdzxhd4svtjaewR0p9Y5UBTMNMQ2PcXsqss"",""type data!E2:F""),2,FALSE),$F104)&amp;""/"",$H104)),""""))"),"jldh/3066")</f>
        <v>jldh/3066</v>
      </c>
      <c r="K104" s="9" t="b">
        <v>1</v>
      </c>
      <c r="L104" s="10"/>
      <c r="M104" s="10">
        <f t="shared" si="1"/>
        <v>5</v>
      </c>
    </row>
    <row r="105">
      <c r="A105" s="4" t="s">
        <v>189</v>
      </c>
      <c r="B105" s="5">
        <v>8.0</v>
      </c>
      <c r="C105" s="5">
        <v>6.0</v>
      </c>
      <c r="D105" s="6">
        <v>45.5437272474003</v>
      </c>
      <c r="E105" s="6">
        <v>-75.2695972070196</v>
      </c>
      <c r="F105" s="5" t="s">
        <v>112</v>
      </c>
      <c r="G105" s="5" t="s">
        <v>113</v>
      </c>
      <c r="H105" s="7" t="s">
        <v>185</v>
      </c>
      <c r="I105" s="7">
        <v>12672.0</v>
      </c>
      <c r="J105" s="8" t="str">
        <f>IFERROR(__xludf.DUMMYFUNCTION("IF(AND(REGEXMATCH($H105,""50( ?['fF]([oO]{2})?[tT]?)?( ?[eE][rR]{2}[oO][rR])"")=FALSE,$H105&lt;&gt;"""",$I105&lt;&gt;""""),HYPERLINK(""https://www.munzee.com/m/""&amp;$H105&amp;""/""&amp;$I105&amp;""/map/?lat=""&amp;$D105&amp;""&amp;lon=""&amp;$E105&amp;""&amp;type=""&amp;$F105&amp;""&amp;name=""&amp;SUBSTITUTE($A105,""#"&amp;""",""%23""),$H105&amp;""/""&amp;$I105),IF($H105&lt;&gt;"""",IF(REGEXMATCH($H105,""50( ?['fF]([oO]{2})?[tT]?)?( ?[eE][rR]{2}[oO][rR])""),HYPERLINK(""https://www.munzee.com/map/?sandbox=1&amp;lat=""&amp;$D105&amp;""&amp;lon=""&amp;$E105&amp;""&amp;name=""&amp;SUBSTITUTE($A105,""#"",""%23""),""SANDBOX"""&amp;"),HYPERLINK(""https://www.munzee.com/m/""&amp;$H105&amp;""/deploys/0/type/""&amp;IFNA(VLOOKUP($G105,IMPORTRANGE(""https://docs.google.com/spreadsheets/d/1DliIGyDywdzxhd4svtjaewR0p9Y5UBTMNMQ2PcXsqss"",""type data!E2:F""),2,FALSE),$F105)&amp;""/"",$H105)),""""))"),"mars00xj/12672")</f>
        <v>mars00xj/12672</v>
      </c>
      <c r="K105" s="9" t="b">
        <v>1</v>
      </c>
      <c r="L105" s="10"/>
      <c r="M105" s="10">
        <f t="shared" si="1"/>
        <v>5</v>
      </c>
    </row>
    <row r="106">
      <c r="A106" s="4" t="s">
        <v>190</v>
      </c>
      <c r="B106" s="5">
        <v>8.0</v>
      </c>
      <c r="C106" s="5">
        <v>7.0</v>
      </c>
      <c r="D106" s="6">
        <v>45.5437272472165</v>
      </c>
      <c r="E106" s="6">
        <v>-75.269391984738</v>
      </c>
      <c r="F106" s="5" t="s">
        <v>143</v>
      </c>
      <c r="G106" s="5" t="s">
        <v>144</v>
      </c>
      <c r="H106" s="7" t="s">
        <v>191</v>
      </c>
      <c r="I106" s="7">
        <v>2524.0</v>
      </c>
      <c r="J106" s="8" t="str">
        <f>IFERROR(__xludf.DUMMYFUNCTION("IF(AND(REGEXMATCH($H106,""50( ?['fF]([oO]{2})?[tT]?)?( ?[eE][rR]{2}[oO][rR])"")=FALSE,$H106&lt;&gt;"""",$I106&lt;&gt;""""),HYPERLINK(""https://www.munzee.com/m/""&amp;$H106&amp;""/""&amp;$I106&amp;""/map/?lat=""&amp;$D106&amp;""&amp;lon=""&amp;$E106&amp;""&amp;type=""&amp;$F106&amp;""&amp;name=""&amp;SUBSTITUTE($A106,""#"&amp;""",""%23""),$H106&amp;""/""&amp;$I106),IF($H106&lt;&gt;"""",IF(REGEXMATCH($H106,""50( ?['fF]([oO]{2})?[tT]?)?( ?[eE][rR]{2}[oO][rR])""),HYPERLINK(""https://www.munzee.com/map/?sandbox=1&amp;lat=""&amp;$D106&amp;""&amp;lon=""&amp;$E106&amp;""&amp;name=""&amp;SUBSTITUTE($A106,""#"",""%23""),""SANDBOX"""&amp;"),HYPERLINK(""https://www.munzee.com/m/""&amp;$H106&amp;""/deploys/0/type/""&amp;IFNA(VLOOKUP($G106,IMPORTRANGE(""https://docs.google.com/spreadsheets/d/1DliIGyDywdzxhd4svtjaewR0p9Y5UBTMNMQ2PcXsqss"",""type data!E2:F""),2,FALSE),$F106)&amp;""/"",$H106)),""""))"),"leesap/2524")</f>
        <v>leesap/2524</v>
      </c>
      <c r="K106" s="9" t="b">
        <v>1</v>
      </c>
      <c r="L106" s="9"/>
      <c r="M106" s="10">
        <f t="shared" si="1"/>
        <v>2</v>
      </c>
    </row>
    <row r="107">
      <c r="A107" s="4" t="s">
        <v>192</v>
      </c>
      <c r="B107" s="5">
        <v>8.0</v>
      </c>
      <c r="C107" s="5">
        <v>8.0</v>
      </c>
      <c r="D107" s="6">
        <v>45.5437272470328</v>
      </c>
      <c r="E107" s="6">
        <v>-75.2691867624564</v>
      </c>
      <c r="F107" s="5" t="s">
        <v>143</v>
      </c>
      <c r="G107" s="5" t="s">
        <v>144</v>
      </c>
      <c r="H107" s="7" t="s">
        <v>193</v>
      </c>
      <c r="I107" s="7">
        <v>436.0</v>
      </c>
      <c r="J107" s="8" t="str">
        <f>IFERROR(__xludf.DUMMYFUNCTION("IF(AND(REGEXMATCH($H107,""50( ?['fF]([oO]{2})?[tT]?)?( ?[eE][rR]{2}[oO][rR])"")=FALSE,$H107&lt;&gt;"""",$I107&lt;&gt;""""),HYPERLINK(""https://www.munzee.com/m/""&amp;$H107&amp;""/""&amp;$I107&amp;""/map/?lat=""&amp;$D107&amp;""&amp;lon=""&amp;$E107&amp;""&amp;type=""&amp;$F107&amp;""&amp;name=""&amp;SUBSTITUTE($A107,""#"&amp;""",""%23""),$H107&amp;""/""&amp;$I107),IF($H107&lt;&gt;"""",IF(REGEXMATCH($H107,""50( ?['fF]([oO]{2})?[tT]?)?( ?[eE][rR]{2}[oO][rR])""),HYPERLINK(""https://www.munzee.com/map/?sandbox=1&amp;lat=""&amp;$D107&amp;""&amp;lon=""&amp;$E107&amp;""&amp;name=""&amp;SUBSTITUTE($A107,""#"",""%23""),""SANDBOX"""&amp;"),HYPERLINK(""https://www.munzee.com/m/""&amp;$H107&amp;""/deploys/0/type/""&amp;IFNA(VLOOKUP($G107,IMPORTRANGE(""https://docs.google.com/spreadsheets/d/1DliIGyDywdzxhd4svtjaewR0p9Y5UBTMNMQ2PcXsqss"",""type data!E2:F""),2,FALSE),$F107)&amp;""/"",$H107)),""""))"),"SzymcioT/436")</f>
        <v>SzymcioT/436</v>
      </c>
      <c r="K107" s="9" t="b">
        <v>1</v>
      </c>
      <c r="L107" s="10"/>
      <c r="M107" s="10">
        <f t="shared" si="1"/>
        <v>1</v>
      </c>
    </row>
    <row r="108">
      <c r="A108" s="4" t="s">
        <v>194</v>
      </c>
      <c r="B108" s="5">
        <v>8.0</v>
      </c>
      <c r="C108" s="5">
        <v>9.0</v>
      </c>
      <c r="D108" s="6">
        <v>45.5437272468491</v>
      </c>
      <c r="E108" s="6">
        <v>-75.2689815401749</v>
      </c>
      <c r="F108" s="5" t="s">
        <v>112</v>
      </c>
      <c r="G108" s="5" t="s">
        <v>113</v>
      </c>
      <c r="H108" s="7" t="s">
        <v>92</v>
      </c>
      <c r="I108" s="7">
        <v>3053.0</v>
      </c>
      <c r="J108" s="8" t="str">
        <f>IFERROR(__xludf.DUMMYFUNCTION("IF(AND(REGEXMATCH($H108,""50( ?['fF]([oO]{2})?[tT]?)?( ?[eE][rR]{2}[oO][rR])"")=FALSE,$H108&lt;&gt;"""",$I108&lt;&gt;""""),HYPERLINK(""https://www.munzee.com/m/""&amp;$H108&amp;""/""&amp;$I108&amp;""/map/?lat=""&amp;$D108&amp;""&amp;lon=""&amp;$E108&amp;""&amp;type=""&amp;$F108&amp;""&amp;name=""&amp;SUBSTITUTE($A108,""#"&amp;""",""%23""),$H108&amp;""/""&amp;$I108),IF($H108&lt;&gt;"""",IF(REGEXMATCH($H108,""50( ?['fF]([oO]{2})?[tT]?)?( ?[eE][rR]{2}[oO][rR])""),HYPERLINK(""https://www.munzee.com/map/?sandbox=1&amp;lat=""&amp;$D108&amp;""&amp;lon=""&amp;$E108&amp;""&amp;name=""&amp;SUBSTITUTE($A108,""#"",""%23""),""SANDBOX"""&amp;"),HYPERLINK(""https://www.munzee.com/m/""&amp;$H108&amp;""/deploys/0/type/""&amp;IFNA(VLOOKUP($G108,IMPORTRANGE(""https://docs.google.com/spreadsheets/d/1DliIGyDywdzxhd4svtjaewR0p9Y5UBTMNMQ2PcXsqss"",""type data!E2:F""),2,FALSE),$F108)&amp;""/"",$H108)),""""))"),"jldh/3053")</f>
        <v>jldh/3053</v>
      </c>
      <c r="K108" s="9" t="b">
        <v>1</v>
      </c>
      <c r="L108" s="10"/>
      <c r="M108" s="10">
        <f t="shared" si="1"/>
        <v>5</v>
      </c>
    </row>
    <row r="109">
      <c r="A109" s="4" t="s">
        <v>195</v>
      </c>
      <c r="B109" s="5">
        <v>8.0</v>
      </c>
      <c r="C109" s="5">
        <v>10.0</v>
      </c>
      <c r="D109" s="6">
        <v>45.5437272466653</v>
      </c>
      <c r="E109" s="6">
        <v>-75.2687763178934</v>
      </c>
      <c r="F109" s="5" t="s">
        <v>143</v>
      </c>
      <c r="G109" s="5" t="s">
        <v>144</v>
      </c>
      <c r="H109" s="7" t="s">
        <v>196</v>
      </c>
      <c r="I109" s="7">
        <v>647.0</v>
      </c>
      <c r="J109" s="8" t="str">
        <f>IFERROR(__xludf.DUMMYFUNCTION("IF(AND(REGEXMATCH($H109,""50( ?['fF]([oO]{2})?[tT]?)?( ?[eE][rR]{2}[oO][rR])"")=FALSE,$H109&lt;&gt;"""",$I109&lt;&gt;""""),HYPERLINK(""https://www.munzee.com/m/""&amp;$H109&amp;""/""&amp;$I109&amp;""/map/?lat=""&amp;$D109&amp;""&amp;lon=""&amp;$E109&amp;""&amp;type=""&amp;$F109&amp;""&amp;name=""&amp;SUBSTITUTE($A109,""#"&amp;""",""%23""),$H109&amp;""/""&amp;$I109),IF($H109&lt;&gt;"""",IF(REGEXMATCH($H109,""50( ?['fF]([oO]{2})?[tT]?)?( ?[eE][rR]{2}[oO][rR])""),HYPERLINK(""https://www.munzee.com/map/?sandbox=1&amp;lat=""&amp;$D109&amp;""&amp;lon=""&amp;$E109&amp;""&amp;name=""&amp;SUBSTITUTE($A109,""#"",""%23""),""SANDBOX"""&amp;"),HYPERLINK(""https://www.munzee.com/m/""&amp;$H109&amp;""/deploys/0/type/""&amp;IFNA(VLOOKUP($G109,IMPORTRANGE(""https://docs.google.com/spreadsheets/d/1DliIGyDywdzxhd4svtjaewR0p9Y5UBTMNMQ2PcXsqss"",""type data!E2:F""),2,FALSE),$F109)&amp;""/"",$H109)),""""))"),"TMac2/647")</f>
        <v>TMac2/647</v>
      </c>
      <c r="K109" s="9" t="b">
        <v>1</v>
      </c>
      <c r="L109" s="9"/>
      <c r="M109" s="10">
        <f t="shared" si="1"/>
        <v>2</v>
      </c>
    </row>
    <row r="110">
      <c r="A110" s="4" t="s">
        <v>197</v>
      </c>
      <c r="B110" s="5">
        <v>8.0</v>
      </c>
      <c r="C110" s="5">
        <v>11.0</v>
      </c>
      <c r="D110" s="6">
        <v>45.5437272464816</v>
      </c>
      <c r="E110" s="6">
        <v>-75.2685710956118</v>
      </c>
      <c r="F110" s="5" t="s">
        <v>143</v>
      </c>
      <c r="G110" s="5" t="s">
        <v>144</v>
      </c>
      <c r="H110" s="7" t="s">
        <v>198</v>
      </c>
      <c r="I110" s="7">
        <v>5212.0</v>
      </c>
      <c r="J110" s="8" t="str">
        <f>IFERROR(__xludf.DUMMYFUNCTION("IF(AND(REGEXMATCH($H110,""50( ?['fF]([oO]{2})?[tT]?)?( ?[eE][rR]{2}[oO][rR])"")=FALSE,$H110&lt;&gt;"""",$I110&lt;&gt;""""),HYPERLINK(""https://www.munzee.com/m/""&amp;$H110&amp;""/""&amp;$I110&amp;""/map/?lat=""&amp;$D110&amp;""&amp;lon=""&amp;$E110&amp;""&amp;type=""&amp;$F110&amp;""&amp;name=""&amp;SUBSTITUTE($A110,""#"&amp;""",""%23""),$H110&amp;""/""&amp;$I110),IF($H110&lt;&gt;"""",IF(REGEXMATCH($H110,""50( ?['fF]([oO]{2})?[tT]?)?( ?[eE][rR]{2}[oO][rR])""),HYPERLINK(""https://www.munzee.com/map/?sandbox=1&amp;lat=""&amp;$D110&amp;""&amp;lon=""&amp;$E110&amp;""&amp;name=""&amp;SUBSTITUTE($A110,""#"",""%23""),""SANDBOX"""&amp;"),HYPERLINK(""https://www.munzee.com/m/""&amp;$H110&amp;""/deploys/0/type/""&amp;IFNA(VLOOKUP($G110,IMPORTRANGE(""https://docs.google.com/spreadsheets/d/1DliIGyDywdzxhd4svtjaewR0p9Y5UBTMNMQ2PcXsqss"",""type data!E2:F""),2,FALSE),$F110)&amp;""/"",$H110)),""""))"),"Majsan/5212")</f>
        <v>Majsan/5212</v>
      </c>
      <c r="K110" s="9" t="b">
        <v>1</v>
      </c>
      <c r="L110" s="9"/>
      <c r="M110" s="10">
        <f t="shared" si="1"/>
        <v>1</v>
      </c>
    </row>
    <row r="111">
      <c r="A111" s="4" t="s">
        <v>199</v>
      </c>
      <c r="B111" s="5">
        <v>8.0</v>
      </c>
      <c r="C111" s="5">
        <v>12.0</v>
      </c>
      <c r="D111" s="6">
        <v>45.5437272462979</v>
      </c>
      <c r="E111" s="6">
        <v>-75.2683658733303</v>
      </c>
      <c r="F111" s="5" t="s">
        <v>112</v>
      </c>
      <c r="G111" s="5" t="s">
        <v>113</v>
      </c>
      <c r="H111" s="7" t="s">
        <v>185</v>
      </c>
      <c r="I111" s="7">
        <v>12698.0</v>
      </c>
      <c r="J111" s="8" t="str">
        <f>IFERROR(__xludf.DUMMYFUNCTION("IF(AND(REGEXMATCH($H111,""50( ?['fF]([oO]{2})?[tT]?)?( ?[eE][rR]{2}[oO][rR])"")=FALSE,$H111&lt;&gt;"""",$I111&lt;&gt;""""),HYPERLINK(""https://www.munzee.com/m/""&amp;$H111&amp;""/""&amp;$I111&amp;""/map/?lat=""&amp;$D111&amp;""&amp;lon=""&amp;$E111&amp;""&amp;type=""&amp;$F111&amp;""&amp;name=""&amp;SUBSTITUTE($A111,""#"&amp;""",""%23""),$H111&amp;""/""&amp;$I111),IF($H111&lt;&gt;"""",IF(REGEXMATCH($H111,""50( ?['fF]([oO]{2})?[tT]?)?( ?[eE][rR]{2}[oO][rR])""),HYPERLINK(""https://www.munzee.com/map/?sandbox=1&amp;lat=""&amp;$D111&amp;""&amp;lon=""&amp;$E111&amp;""&amp;name=""&amp;SUBSTITUTE($A111,""#"",""%23""),""SANDBOX"""&amp;"),HYPERLINK(""https://www.munzee.com/m/""&amp;$H111&amp;""/deploys/0/type/""&amp;IFNA(VLOOKUP($G111,IMPORTRANGE(""https://docs.google.com/spreadsheets/d/1DliIGyDywdzxhd4svtjaewR0p9Y5UBTMNMQ2PcXsqss"",""type data!E2:F""),2,FALSE),$F111)&amp;""/"",$H111)),""""))"),"mars00xj/12698")</f>
        <v>mars00xj/12698</v>
      </c>
      <c r="K111" s="9" t="b">
        <v>1</v>
      </c>
      <c r="L111" s="10"/>
      <c r="M111" s="10">
        <f t="shared" si="1"/>
        <v>5</v>
      </c>
    </row>
    <row r="112">
      <c r="A112" s="4" t="s">
        <v>200</v>
      </c>
      <c r="B112" s="5">
        <v>8.0</v>
      </c>
      <c r="C112" s="5">
        <v>13.0</v>
      </c>
      <c r="D112" s="6">
        <v>45.5437272461141</v>
      </c>
      <c r="E112" s="6">
        <v>-75.2681606510488</v>
      </c>
      <c r="F112" s="5" t="s">
        <v>33</v>
      </c>
      <c r="G112" s="5" t="s">
        <v>34</v>
      </c>
      <c r="H112" s="7" t="s">
        <v>201</v>
      </c>
      <c r="I112" s="7">
        <v>7540.0</v>
      </c>
      <c r="J112" s="8" t="str">
        <f>IFERROR(__xludf.DUMMYFUNCTION("IF(AND(REGEXMATCH($H112,""50( ?['fF]([oO]{2})?[tT]?)?( ?[eE][rR]{2}[oO][rR])"")=FALSE,$H112&lt;&gt;"""",$I112&lt;&gt;""""),HYPERLINK(""https://www.munzee.com/m/""&amp;$H112&amp;""/""&amp;$I112&amp;""/map/?lat=""&amp;$D112&amp;""&amp;lon=""&amp;$E112&amp;""&amp;type=""&amp;$F112&amp;""&amp;name=""&amp;SUBSTITUTE($A112,""#"&amp;""",""%23""),$H112&amp;""/""&amp;$I112),IF($H112&lt;&gt;"""",IF(REGEXMATCH($H112,""50( ?['fF]([oO]{2})?[tT]?)?( ?[eE][rR]{2}[oO][rR])""),HYPERLINK(""https://www.munzee.com/map/?sandbox=1&amp;lat=""&amp;$D112&amp;""&amp;lon=""&amp;$E112&amp;""&amp;name=""&amp;SUBSTITUTE($A112,""#"",""%23""),""SANDBOX"""&amp;"),HYPERLINK(""https://www.munzee.com/m/""&amp;$H112&amp;""/deploys/0/type/""&amp;IFNA(VLOOKUP($G112,IMPORTRANGE(""https://docs.google.com/spreadsheets/d/1DliIGyDywdzxhd4svtjaewR0p9Y5UBTMNMQ2PcXsqss"",""type data!E2:F""),2,FALSE),$F112)&amp;""/"",$H112)),""""))"),"kwd/7540")</f>
        <v>kwd/7540</v>
      </c>
      <c r="K112" s="9" t="b">
        <v>1</v>
      </c>
      <c r="L112" s="10"/>
      <c r="M112" s="10">
        <f t="shared" si="1"/>
        <v>2</v>
      </c>
    </row>
    <row r="113">
      <c r="A113" s="4" t="s">
        <v>202</v>
      </c>
      <c r="B113" s="5">
        <v>8.0</v>
      </c>
      <c r="C113" s="5">
        <v>14.0</v>
      </c>
      <c r="D113" s="6">
        <v>45.5437272459304</v>
      </c>
      <c r="E113" s="6">
        <v>-75.2679554287673</v>
      </c>
      <c r="F113" s="5" t="s">
        <v>59</v>
      </c>
      <c r="G113" s="5" t="s">
        <v>60</v>
      </c>
      <c r="H113" s="7" t="s">
        <v>203</v>
      </c>
      <c r="I113" s="7">
        <v>2643.0</v>
      </c>
      <c r="J113" s="8" t="str">
        <f>IFERROR(__xludf.DUMMYFUNCTION("IF(AND(REGEXMATCH($H113,""50( ?['fF]([oO]{2})?[tT]?)?( ?[eE][rR]{2}[oO][rR])"")=FALSE,$H113&lt;&gt;"""",$I113&lt;&gt;""""),HYPERLINK(""https://www.munzee.com/m/""&amp;$H113&amp;""/""&amp;$I113&amp;""/map/?lat=""&amp;$D113&amp;""&amp;lon=""&amp;$E113&amp;""&amp;type=""&amp;$F113&amp;""&amp;name=""&amp;SUBSTITUTE($A113,""#"&amp;""",""%23""),$H113&amp;""/""&amp;$I113),IF($H113&lt;&gt;"""",IF(REGEXMATCH($H113,""50( ?['fF]([oO]{2})?[tT]?)?( ?[eE][rR]{2}[oO][rR])""),HYPERLINK(""https://www.munzee.com/map/?sandbox=1&amp;lat=""&amp;$D113&amp;""&amp;lon=""&amp;$E113&amp;""&amp;name=""&amp;SUBSTITUTE($A113,""#"",""%23""),""SANDBOX"""&amp;"),HYPERLINK(""https://www.munzee.com/m/""&amp;$H113&amp;""/deploys/0/type/""&amp;IFNA(VLOOKUP($G113,IMPORTRANGE(""https://docs.google.com/spreadsheets/d/1DliIGyDywdzxhd4svtjaewR0p9Y5UBTMNMQ2PcXsqss"",""type data!E2:F""),2,FALSE),$F113)&amp;""/"",$H113)),""""))"),"destolkjes4ever/2643")</f>
        <v>destolkjes4ever/2643</v>
      </c>
      <c r="K113" s="9" t="b">
        <v>1</v>
      </c>
      <c r="L113" s="10"/>
      <c r="M113" s="10">
        <f t="shared" si="1"/>
        <v>1</v>
      </c>
    </row>
    <row r="114">
      <c r="A114" s="4" t="s">
        <v>204</v>
      </c>
      <c r="B114" s="5">
        <v>8.0</v>
      </c>
      <c r="C114" s="5">
        <v>15.0</v>
      </c>
      <c r="D114" s="6">
        <v>45.5437272457467</v>
      </c>
      <c r="E114" s="6">
        <v>-75.2677502064858</v>
      </c>
      <c r="F114" s="5" t="s">
        <v>33</v>
      </c>
      <c r="G114" s="5" t="s">
        <v>34</v>
      </c>
      <c r="H114" s="7" t="s">
        <v>205</v>
      </c>
      <c r="I114" s="7">
        <v>3183.0</v>
      </c>
      <c r="J114" s="8" t="str">
        <f>IFERROR(__xludf.DUMMYFUNCTION("IF(AND(REGEXMATCH($H114,""50( ?['fF]([oO]{2})?[tT]?)?( ?[eE][rR]{2}[oO][rR])"")=FALSE,$H114&lt;&gt;"""",$I114&lt;&gt;""""),HYPERLINK(""https://www.munzee.com/m/""&amp;$H114&amp;""/""&amp;$I114&amp;""/map/?lat=""&amp;$D114&amp;""&amp;lon=""&amp;$E114&amp;""&amp;type=""&amp;$F114&amp;""&amp;name=""&amp;SUBSTITUTE($A114,""#"&amp;""",""%23""),$H114&amp;""/""&amp;$I114),IF($H114&lt;&gt;"""",IF(REGEXMATCH($H114,""50( ?['fF]([oO]{2})?[tT]?)?( ?[eE][rR]{2}[oO][rR])""),HYPERLINK(""https://www.munzee.com/map/?sandbox=1&amp;lat=""&amp;$D114&amp;""&amp;lon=""&amp;$E114&amp;""&amp;name=""&amp;SUBSTITUTE($A114,""#"",""%23""),""SANDBOX"""&amp;"),HYPERLINK(""https://www.munzee.com/m/""&amp;$H114&amp;""/deploys/0/type/""&amp;IFNA(VLOOKUP($G114,IMPORTRANGE(""https://docs.google.com/spreadsheets/d/1DliIGyDywdzxhd4svtjaewR0p9Y5UBTMNMQ2PcXsqss"",""type data!E2:F""),2,FALSE),$F114)&amp;""/"",$H114)),""""))"),"barefootguru/3183")</f>
        <v>barefootguru/3183</v>
      </c>
      <c r="K114" s="9" t="b">
        <v>1</v>
      </c>
      <c r="L114" s="10"/>
      <c r="M114" s="10">
        <f t="shared" si="1"/>
        <v>1</v>
      </c>
    </row>
    <row r="115">
      <c r="A115" s="4" t="s">
        <v>206</v>
      </c>
      <c r="B115" s="5">
        <v>8.0</v>
      </c>
      <c r="C115" s="5">
        <v>16.0</v>
      </c>
      <c r="D115" s="6">
        <v>45.5437272455629</v>
      </c>
      <c r="E115" s="6">
        <v>-75.2675449842042</v>
      </c>
      <c r="F115" s="5" t="s">
        <v>14</v>
      </c>
      <c r="G115" s="5" t="s">
        <v>15</v>
      </c>
      <c r="H115" s="7" t="s">
        <v>207</v>
      </c>
      <c r="I115" s="7">
        <v>4179.0</v>
      </c>
      <c r="J115" s="8" t="str">
        <f>IFERROR(__xludf.DUMMYFUNCTION("IF(AND(REGEXMATCH($H115,""50( ?['fF]([oO]{2})?[tT]?)?( ?[eE][rR]{2}[oO][rR])"")=FALSE,$H115&lt;&gt;"""",$I115&lt;&gt;""""),HYPERLINK(""https://www.munzee.com/m/""&amp;$H115&amp;""/""&amp;$I115&amp;""/map/?lat=""&amp;$D115&amp;""&amp;lon=""&amp;$E115&amp;""&amp;type=""&amp;$F115&amp;""&amp;name=""&amp;SUBSTITUTE($A115,""#"&amp;""",""%23""),$H115&amp;""/""&amp;$I115),IF($H115&lt;&gt;"""",IF(REGEXMATCH($H115,""50( ?['fF]([oO]{2})?[tT]?)?( ?[eE][rR]{2}[oO][rR])""),HYPERLINK(""https://www.munzee.com/map/?sandbox=1&amp;lat=""&amp;$D115&amp;""&amp;lon=""&amp;$E115&amp;""&amp;name=""&amp;SUBSTITUTE($A115,""#"",""%23""),""SANDBOX"""&amp;"),HYPERLINK(""https://www.munzee.com/m/""&amp;$H115&amp;""/deploys/0/type/""&amp;IFNA(VLOOKUP($G115,IMPORTRANGE(""https://docs.google.com/spreadsheets/d/1DliIGyDywdzxhd4svtjaewR0p9Y5UBTMNMQ2PcXsqss"",""type data!E2:F""),2,FALSE),$F115)&amp;""/"",$H115)),""""))"),"geckofreund/4179")</f>
        <v>geckofreund/4179</v>
      </c>
      <c r="K115" s="9" t="b">
        <v>1</v>
      </c>
      <c r="L115" s="21"/>
      <c r="M115" s="10">
        <f t="shared" si="1"/>
        <v>1</v>
      </c>
    </row>
    <row r="116">
      <c r="A116" s="4" t="s">
        <v>208</v>
      </c>
      <c r="B116" s="5">
        <v>9.0</v>
      </c>
      <c r="C116" s="5">
        <v>3.0</v>
      </c>
      <c r="D116" s="6">
        <v>45.543583517506</v>
      </c>
      <c r="E116" s="6">
        <v>-75.2702128859323</v>
      </c>
      <c r="F116" s="5" t="s">
        <v>14</v>
      </c>
      <c r="G116" s="5" t="s">
        <v>15</v>
      </c>
      <c r="H116" s="7" t="s">
        <v>209</v>
      </c>
      <c r="I116" s="7">
        <v>889.0</v>
      </c>
      <c r="J116" s="8" t="str">
        <f>IFERROR(__xludf.DUMMYFUNCTION("IF(AND(REGEXMATCH($H116,""50( ?['fF]([oO]{2})?[tT]?)?( ?[eE][rR]{2}[oO][rR])"")=FALSE,$H116&lt;&gt;"""",$I116&lt;&gt;""""),HYPERLINK(""https://www.munzee.com/m/""&amp;$H116&amp;""/""&amp;$I116&amp;""/map/?lat=""&amp;$D116&amp;""&amp;lon=""&amp;$E116&amp;""&amp;type=""&amp;$F116&amp;""&amp;name=""&amp;SUBSTITUTE($A116,""#"&amp;""",""%23""),$H116&amp;""/""&amp;$I116),IF($H116&lt;&gt;"""",IF(REGEXMATCH($H116,""50( ?['fF]([oO]{2})?[tT]?)?( ?[eE][rR]{2}[oO][rR])""),HYPERLINK(""https://www.munzee.com/map/?sandbox=1&amp;lat=""&amp;$D116&amp;""&amp;lon=""&amp;$E116&amp;""&amp;name=""&amp;SUBSTITUTE($A116,""#"",""%23""),""SANDBOX"""&amp;"),HYPERLINK(""https://www.munzee.com/m/""&amp;$H116&amp;""/deploys/0/type/""&amp;IFNA(VLOOKUP($G116,IMPORTRANGE(""https://docs.google.com/spreadsheets/d/1DliIGyDywdzxhd4svtjaewR0p9Y5UBTMNMQ2PcXsqss"",""type data!E2:F""),2,FALSE),$F116)&amp;""/"",$H116)),""""))"),"mossieman/889")</f>
        <v>mossieman/889</v>
      </c>
      <c r="K116" s="9" t="b">
        <v>1</v>
      </c>
      <c r="L116" s="9"/>
      <c r="M116" s="10">
        <f t="shared" si="1"/>
        <v>1</v>
      </c>
    </row>
    <row r="117">
      <c r="A117" s="4" t="s">
        <v>210</v>
      </c>
      <c r="B117" s="5">
        <v>9.0</v>
      </c>
      <c r="C117" s="5">
        <v>4.0</v>
      </c>
      <c r="D117" s="6">
        <v>45.5435835173223</v>
      </c>
      <c r="E117" s="6">
        <v>-75.2700076641754</v>
      </c>
      <c r="F117" s="5" t="s">
        <v>33</v>
      </c>
      <c r="G117" s="5" t="s">
        <v>34</v>
      </c>
      <c r="H117" s="7" t="s">
        <v>71</v>
      </c>
      <c r="I117" s="7">
        <v>7630.0</v>
      </c>
      <c r="J117" s="8" t="str">
        <f>IFERROR(__xludf.DUMMYFUNCTION("IF(AND(REGEXMATCH($H117,""50( ?['fF]([oO]{2})?[tT]?)?( ?[eE][rR]{2}[oO][rR])"")=FALSE,$H117&lt;&gt;"""",$I117&lt;&gt;""""),HYPERLINK(""https://www.munzee.com/m/""&amp;$H117&amp;""/""&amp;$I117&amp;""/map/?lat=""&amp;$D117&amp;""&amp;lon=""&amp;$E117&amp;""&amp;type=""&amp;$F117&amp;""&amp;name=""&amp;SUBSTITUTE($A117,""#"&amp;""",""%23""),$H117&amp;""/""&amp;$I117),IF($H117&lt;&gt;"""",IF(REGEXMATCH($H117,""50( ?['fF]([oO]{2})?[tT]?)?( ?[eE][rR]{2}[oO][rR])""),HYPERLINK(""https://www.munzee.com/map/?sandbox=1&amp;lat=""&amp;$D117&amp;""&amp;lon=""&amp;$E117&amp;""&amp;name=""&amp;SUBSTITUTE($A117,""#"",""%23""),""SANDBOX"""&amp;"),HYPERLINK(""https://www.munzee.com/m/""&amp;$H117&amp;""/deploys/0/type/""&amp;IFNA(VLOOKUP($G117,IMPORTRANGE(""https://docs.google.com/spreadsheets/d/1DliIGyDywdzxhd4svtjaewR0p9Y5UBTMNMQ2PcXsqss"",""type data!E2:F""),2,FALSE),$F117)&amp;""/"",$H117)),""""))"),"nyisutter/7630")</f>
        <v>nyisutter/7630</v>
      </c>
      <c r="K117" s="9" t="b">
        <v>1</v>
      </c>
      <c r="L117" s="9"/>
      <c r="M117" s="10">
        <f t="shared" si="1"/>
        <v>7</v>
      </c>
    </row>
    <row r="118">
      <c r="A118" s="4" t="s">
        <v>211</v>
      </c>
      <c r="B118" s="5">
        <v>9.0</v>
      </c>
      <c r="C118" s="5">
        <v>5.0</v>
      </c>
      <c r="D118" s="6">
        <v>45.5435835171385</v>
      </c>
      <c r="E118" s="6">
        <v>-75.2698024424186</v>
      </c>
      <c r="F118" s="5" t="s">
        <v>59</v>
      </c>
      <c r="G118" s="5" t="s">
        <v>60</v>
      </c>
      <c r="H118" s="7" t="s">
        <v>212</v>
      </c>
      <c r="I118" s="7">
        <v>3108.0</v>
      </c>
      <c r="J118" s="8" t="str">
        <f>IFERROR(__xludf.DUMMYFUNCTION("IF(AND(REGEXMATCH($H118,""50( ?['fF]([oO]{2})?[tT]?)?( ?[eE][rR]{2}[oO][rR])"")=FALSE,$H118&lt;&gt;"""",$I118&lt;&gt;""""),HYPERLINK(""https://www.munzee.com/m/""&amp;$H118&amp;""/""&amp;$I118&amp;""/map/?lat=""&amp;$D118&amp;""&amp;lon=""&amp;$E118&amp;""&amp;type=""&amp;$F118&amp;""&amp;name=""&amp;SUBSTITUTE($A118,""#"&amp;""",""%23""),$H118&amp;""/""&amp;$I118),IF($H118&lt;&gt;"""",IF(REGEXMATCH($H118,""50( ?['fF]([oO]{2})?[tT]?)?( ?[eE][rR]{2}[oO][rR])""),HYPERLINK(""https://www.munzee.com/map/?sandbox=1&amp;lat=""&amp;$D118&amp;""&amp;lon=""&amp;$E118&amp;""&amp;name=""&amp;SUBSTITUTE($A118,""#"",""%23""),""SANDBOX"""&amp;"),HYPERLINK(""https://www.munzee.com/m/""&amp;$H118&amp;""/deploys/0/type/""&amp;IFNA(VLOOKUP($G118,IMPORTRANGE(""https://docs.google.com/spreadsheets/d/1DliIGyDywdzxhd4svtjaewR0p9Y5UBTMNMQ2PcXsqss"",""type data!E2:F""),2,FALSE),$F118)&amp;""/"",$H118)),""""))"),"flipperandco/3108")</f>
        <v>flipperandco/3108</v>
      </c>
      <c r="K118" s="9" t="b">
        <v>1</v>
      </c>
      <c r="L118" s="9"/>
      <c r="M118" s="10">
        <f t="shared" si="1"/>
        <v>1</v>
      </c>
    </row>
    <row r="119">
      <c r="A119" s="4" t="s">
        <v>213</v>
      </c>
      <c r="B119" s="5">
        <v>9.0</v>
      </c>
      <c r="C119" s="5">
        <v>6.0</v>
      </c>
      <c r="D119" s="6">
        <v>45.5435835169548</v>
      </c>
      <c r="E119" s="6">
        <v>-75.2695972206617</v>
      </c>
      <c r="F119" s="5" t="s">
        <v>33</v>
      </c>
      <c r="G119" s="5" t="s">
        <v>34</v>
      </c>
      <c r="H119" s="7" t="s">
        <v>102</v>
      </c>
      <c r="I119" s="7">
        <v>909.0</v>
      </c>
      <c r="J119" s="8" t="str">
        <f>IFERROR(__xludf.DUMMYFUNCTION("IF(AND(REGEXMATCH($H119,""50( ?['fF]([oO]{2})?[tT]?)?( ?[eE][rR]{2}[oO][rR])"")=FALSE,$H119&lt;&gt;"""",$I119&lt;&gt;""""),HYPERLINK(""https://www.munzee.com/m/""&amp;$H119&amp;""/""&amp;$I119&amp;""/map/?lat=""&amp;$D119&amp;""&amp;lon=""&amp;$E119&amp;""&amp;type=""&amp;$F119&amp;""&amp;name=""&amp;SUBSTITUTE($A119,""#"&amp;""",""%23""),$H119&amp;""/""&amp;$I119),IF($H119&lt;&gt;"""",IF(REGEXMATCH($H119,""50( ?['fF]([oO]{2})?[tT]?)?( ?[eE][rR]{2}[oO][rR])""),HYPERLINK(""https://www.munzee.com/map/?sandbox=1&amp;lat=""&amp;$D119&amp;""&amp;lon=""&amp;$E119&amp;""&amp;name=""&amp;SUBSTITUTE($A119,""#"",""%23""),""SANDBOX"""&amp;"),HYPERLINK(""https://www.munzee.com/m/""&amp;$H119&amp;""/deploys/0/type/""&amp;IFNA(VLOOKUP($G119,IMPORTRANGE(""https://docs.google.com/spreadsheets/d/1DliIGyDywdzxhd4svtjaewR0p9Y5UBTMNMQ2PcXsqss"",""type data!E2:F""),2,FALSE),$F119)&amp;""/"",$H119)),""""))"),"jeffeth/909")</f>
        <v>jeffeth/909</v>
      </c>
      <c r="K119" s="9" t="b">
        <v>1</v>
      </c>
      <c r="L119" s="9"/>
      <c r="M119" s="10">
        <f t="shared" si="1"/>
        <v>5</v>
      </c>
    </row>
    <row r="120">
      <c r="A120" s="4" t="s">
        <v>214</v>
      </c>
      <c r="B120" s="5">
        <v>9.0</v>
      </c>
      <c r="C120" s="5">
        <v>7.0</v>
      </c>
      <c r="D120" s="6">
        <v>45.5435835167711</v>
      </c>
      <c r="E120" s="6">
        <v>-75.2693919989049</v>
      </c>
      <c r="F120" s="5" t="s">
        <v>112</v>
      </c>
      <c r="G120" s="5" t="s">
        <v>113</v>
      </c>
      <c r="H120" s="7" t="s">
        <v>71</v>
      </c>
      <c r="I120" s="7">
        <v>7600.0</v>
      </c>
      <c r="J120" s="8" t="str">
        <f>IFERROR(__xludf.DUMMYFUNCTION("IF(AND(REGEXMATCH($H120,""50( ?['fF]([oO]{2})?[tT]?)?( ?[eE][rR]{2}[oO][rR])"")=FALSE,$H120&lt;&gt;"""",$I120&lt;&gt;""""),HYPERLINK(""https://www.munzee.com/m/""&amp;$H120&amp;""/""&amp;$I120&amp;""/map/?lat=""&amp;$D120&amp;""&amp;lon=""&amp;$E120&amp;""&amp;type=""&amp;$F120&amp;""&amp;name=""&amp;SUBSTITUTE($A120,""#"&amp;""",""%23""),$H120&amp;""/""&amp;$I120),IF($H120&lt;&gt;"""",IF(REGEXMATCH($H120,""50( ?['fF]([oO]{2})?[tT]?)?( ?[eE][rR]{2}[oO][rR])""),HYPERLINK(""https://www.munzee.com/map/?sandbox=1&amp;lat=""&amp;$D120&amp;""&amp;lon=""&amp;$E120&amp;""&amp;name=""&amp;SUBSTITUTE($A120,""#"",""%23""),""SANDBOX"""&amp;"),HYPERLINK(""https://www.munzee.com/m/""&amp;$H120&amp;""/deploys/0/type/""&amp;IFNA(VLOOKUP($G120,IMPORTRANGE(""https://docs.google.com/spreadsheets/d/1DliIGyDywdzxhd4svtjaewR0p9Y5UBTMNMQ2PcXsqss"",""type data!E2:F""),2,FALSE),$F120)&amp;""/"",$H120)),""""))"),"nyisutter/7600")</f>
        <v>nyisutter/7600</v>
      </c>
      <c r="K120" s="9" t="b">
        <v>1</v>
      </c>
      <c r="L120" s="9"/>
      <c r="M120" s="10">
        <f t="shared" si="1"/>
        <v>7</v>
      </c>
    </row>
    <row r="121">
      <c r="A121" s="4" t="s">
        <v>215</v>
      </c>
      <c r="B121" s="5">
        <v>9.0</v>
      </c>
      <c r="C121" s="5">
        <v>8.0</v>
      </c>
      <c r="D121" s="6">
        <v>45.5435835165873</v>
      </c>
      <c r="E121" s="6">
        <v>-75.2691867771479</v>
      </c>
      <c r="F121" s="5" t="s">
        <v>143</v>
      </c>
      <c r="G121" s="5" t="s">
        <v>144</v>
      </c>
      <c r="H121" s="7" t="s">
        <v>216</v>
      </c>
      <c r="I121" s="7">
        <v>6476.0</v>
      </c>
      <c r="J121" s="8" t="str">
        <f>IFERROR(__xludf.DUMMYFUNCTION("IF(AND(REGEXMATCH($H121,""50( ?['fF]([oO]{2})?[tT]?)?( ?[eE][rR]{2}[oO][rR])"")=FALSE,$H121&lt;&gt;"""",$I121&lt;&gt;""""),HYPERLINK(""https://www.munzee.com/m/""&amp;$H121&amp;""/""&amp;$I121&amp;""/map/?lat=""&amp;$D121&amp;""&amp;lon=""&amp;$E121&amp;""&amp;type=""&amp;$F121&amp;""&amp;name=""&amp;SUBSTITUTE($A121,""#"&amp;""",""%23""),$H121&amp;""/""&amp;$I121),IF($H121&lt;&gt;"""",IF(REGEXMATCH($H121,""50( ?['fF]([oO]{2})?[tT]?)?( ?[eE][rR]{2}[oO][rR])""),HYPERLINK(""https://www.munzee.com/map/?sandbox=1&amp;lat=""&amp;$D121&amp;""&amp;lon=""&amp;$E121&amp;""&amp;name=""&amp;SUBSTITUTE($A121,""#"",""%23""),""SANDBOX"""&amp;"),HYPERLINK(""https://www.munzee.com/m/""&amp;$H121&amp;""/deploys/0/type/""&amp;IFNA(VLOOKUP($G121,IMPORTRANGE(""https://docs.google.com/spreadsheets/d/1DliIGyDywdzxhd4svtjaewR0p9Y5UBTMNMQ2PcXsqss"",""type data!E2:F""),2,FALSE),$F121)&amp;""/"",$H121)),""""))"),"kiitokurre/6476")</f>
        <v>kiitokurre/6476</v>
      </c>
      <c r="K121" s="9" t="b">
        <v>1</v>
      </c>
      <c r="L121" s="10"/>
      <c r="M121" s="10">
        <f t="shared" si="1"/>
        <v>1</v>
      </c>
    </row>
    <row r="122">
      <c r="A122" s="4" t="s">
        <v>217</v>
      </c>
      <c r="B122" s="5">
        <v>9.0</v>
      </c>
      <c r="C122" s="5">
        <v>9.0</v>
      </c>
      <c r="D122" s="6">
        <v>45.5435835164036</v>
      </c>
      <c r="E122" s="6">
        <v>-75.2689815553911</v>
      </c>
      <c r="F122" s="5" t="s">
        <v>143</v>
      </c>
      <c r="G122" s="5" t="s">
        <v>144</v>
      </c>
      <c r="H122" s="7" t="s">
        <v>218</v>
      </c>
      <c r="I122" s="7">
        <v>4381.0</v>
      </c>
      <c r="J122" s="8" t="str">
        <f>IFERROR(__xludf.DUMMYFUNCTION("IF(AND(REGEXMATCH($H122,""50( ?['fF]([oO]{2})?[tT]?)?( ?[eE][rR]{2}[oO][rR])"")=FALSE,$H122&lt;&gt;"""",$I122&lt;&gt;""""),HYPERLINK(""https://www.munzee.com/m/""&amp;$H122&amp;""/""&amp;$I122&amp;""/map/?lat=""&amp;$D122&amp;""&amp;lon=""&amp;$E122&amp;""&amp;type=""&amp;$F122&amp;""&amp;name=""&amp;SUBSTITUTE($A122,""#"&amp;""",""%23""),$H122&amp;""/""&amp;$I122),IF($H122&lt;&gt;"""",IF(REGEXMATCH($H122,""50( ?['fF]([oO]{2})?[tT]?)?( ?[eE][rR]{2}[oO][rR])""),HYPERLINK(""https://www.munzee.com/map/?sandbox=1&amp;lat=""&amp;$D122&amp;""&amp;lon=""&amp;$E122&amp;""&amp;name=""&amp;SUBSTITUTE($A122,""#"",""%23""),""SANDBOX"""&amp;"),HYPERLINK(""https://www.munzee.com/m/""&amp;$H122&amp;""/deploys/0/type/""&amp;IFNA(VLOOKUP($G122,IMPORTRANGE(""https://docs.google.com/spreadsheets/d/1DliIGyDywdzxhd4svtjaewR0p9Y5UBTMNMQ2PcXsqss"",""type data!E2:F""),2,FALSE),$F122)&amp;""/"",$H122)),""""))"),"Centern /4381")</f>
        <v>Centern /4381</v>
      </c>
      <c r="K122" s="9" t="b">
        <v>1</v>
      </c>
      <c r="L122" s="9"/>
      <c r="M122" s="10">
        <f t="shared" si="1"/>
        <v>1</v>
      </c>
    </row>
    <row r="123">
      <c r="A123" s="4" t="s">
        <v>219</v>
      </c>
      <c r="B123" s="5">
        <v>9.0</v>
      </c>
      <c r="C123" s="5">
        <v>10.0</v>
      </c>
      <c r="D123" s="6">
        <v>45.5435835162199</v>
      </c>
      <c r="E123" s="6">
        <v>-75.2687763336342</v>
      </c>
      <c r="F123" s="5" t="s">
        <v>143</v>
      </c>
      <c r="G123" s="5" t="s">
        <v>144</v>
      </c>
      <c r="H123" s="7" t="s">
        <v>185</v>
      </c>
      <c r="I123" s="7">
        <v>12675.0</v>
      </c>
      <c r="J123" s="8" t="str">
        <f>IFERROR(__xludf.DUMMYFUNCTION("IF(AND(REGEXMATCH($H123,""50( ?['fF]([oO]{2})?[tT]?)?( ?[eE][rR]{2}[oO][rR])"")=FALSE,$H123&lt;&gt;"""",$I123&lt;&gt;""""),HYPERLINK(""https://www.munzee.com/m/""&amp;$H123&amp;""/""&amp;$I123&amp;""/map/?lat=""&amp;$D123&amp;""&amp;lon=""&amp;$E123&amp;""&amp;type=""&amp;$F123&amp;""&amp;name=""&amp;SUBSTITUTE($A123,""#"&amp;""",""%23""),$H123&amp;""/""&amp;$I123),IF($H123&lt;&gt;"""",IF(REGEXMATCH($H123,""50( ?['fF]([oO]{2})?[tT]?)?( ?[eE][rR]{2}[oO][rR])""),HYPERLINK(""https://www.munzee.com/map/?sandbox=1&amp;lat=""&amp;$D123&amp;""&amp;lon=""&amp;$E123&amp;""&amp;name=""&amp;SUBSTITUTE($A123,""#"",""%23""),""SANDBOX"""&amp;"),HYPERLINK(""https://www.munzee.com/m/""&amp;$H123&amp;""/deploys/0/type/""&amp;IFNA(VLOOKUP($G123,IMPORTRANGE(""https://docs.google.com/spreadsheets/d/1DliIGyDywdzxhd4svtjaewR0p9Y5UBTMNMQ2PcXsqss"",""type data!E2:F""),2,FALSE),$F123)&amp;""/"",$H123)),""""))"),"mars00xj/12675")</f>
        <v>mars00xj/12675</v>
      </c>
      <c r="K123" s="9" t="b">
        <v>1</v>
      </c>
      <c r="L123" s="10"/>
      <c r="M123" s="10">
        <f t="shared" si="1"/>
        <v>5</v>
      </c>
    </row>
    <row r="124">
      <c r="A124" s="4" t="s">
        <v>220</v>
      </c>
      <c r="B124" s="5">
        <v>9.0</v>
      </c>
      <c r="C124" s="5">
        <v>11.0</v>
      </c>
      <c r="D124" s="6">
        <v>45.5435835160361</v>
      </c>
      <c r="E124" s="6">
        <v>-75.2685711118774</v>
      </c>
      <c r="F124" s="5" t="s">
        <v>112</v>
      </c>
      <c r="G124" s="5" t="s">
        <v>113</v>
      </c>
      <c r="H124" s="7" t="s">
        <v>221</v>
      </c>
      <c r="I124" s="7">
        <v>1047.0</v>
      </c>
      <c r="J124" s="8" t="str">
        <f>IFERROR(__xludf.DUMMYFUNCTION("IF(AND(REGEXMATCH($H124,""50( ?['fF]([oO]{2})?[tT]?)?( ?[eE][rR]{2}[oO][rR])"")=FALSE,$H124&lt;&gt;"""",$I124&lt;&gt;""""),HYPERLINK(""https://www.munzee.com/m/""&amp;$H124&amp;""/""&amp;$I124&amp;""/map/?lat=""&amp;$D124&amp;""&amp;lon=""&amp;$E124&amp;""&amp;type=""&amp;$F124&amp;""&amp;name=""&amp;SUBSTITUTE($A124,""#"&amp;""",""%23""),$H124&amp;""/""&amp;$I124),IF($H124&lt;&gt;"""",IF(REGEXMATCH($H124,""50( ?['fF]([oO]{2})?[tT]?)?( ?[eE][rR]{2}[oO][rR])""),HYPERLINK(""https://www.munzee.com/map/?sandbox=1&amp;lat=""&amp;$D124&amp;""&amp;lon=""&amp;$E124&amp;""&amp;name=""&amp;SUBSTITUTE($A124,""#"",""%23""),""SANDBOX"""&amp;"),HYPERLINK(""https://www.munzee.com/m/""&amp;$H124&amp;""/deploys/0/type/""&amp;IFNA(VLOOKUP($G124,IMPORTRANGE(""https://docs.google.com/spreadsheets/d/1DliIGyDywdzxhd4svtjaewR0p9Y5UBTMNMQ2PcXsqss"",""type data!E2:F""),2,FALSE),$F124)&amp;""/"",$H124)),""""))"),"jsvetlik/1047")</f>
        <v>jsvetlik/1047</v>
      </c>
      <c r="K124" s="9" t="b">
        <v>1</v>
      </c>
      <c r="L124" s="10"/>
      <c r="M124" s="10">
        <f t="shared" si="1"/>
        <v>1</v>
      </c>
    </row>
    <row r="125">
      <c r="A125" s="4" t="s">
        <v>222</v>
      </c>
      <c r="B125" s="5">
        <v>9.0</v>
      </c>
      <c r="C125" s="5">
        <v>12.0</v>
      </c>
      <c r="D125" s="6">
        <v>45.5435835158524</v>
      </c>
      <c r="E125" s="6">
        <v>-75.2683658901205</v>
      </c>
      <c r="F125" s="5" t="s">
        <v>33</v>
      </c>
      <c r="G125" s="5" t="s">
        <v>34</v>
      </c>
      <c r="H125" s="7" t="s">
        <v>223</v>
      </c>
      <c r="I125" s="7">
        <v>1651.0</v>
      </c>
      <c r="J125" s="8" t="str">
        <f>IFERROR(__xludf.DUMMYFUNCTION("IF(AND(REGEXMATCH($H125,""50( ?['fF]([oO]{2})?[tT]?)?( ?[eE][rR]{2}[oO][rR])"")=FALSE,$H125&lt;&gt;"""",$I125&lt;&gt;""""),HYPERLINK(""https://www.munzee.com/m/""&amp;$H125&amp;""/""&amp;$I125&amp;""/map/?lat=""&amp;$D125&amp;""&amp;lon=""&amp;$E125&amp;""&amp;type=""&amp;$F125&amp;""&amp;name=""&amp;SUBSTITUTE($A125,""#"&amp;""",""%23""),$H125&amp;""/""&amp;$I125),IF($H125&lt;&gt;"""",IF(REGEXMATCH($H125,""50( ?['fF]([oO]{2})?[tT]?)?( ?[eE][rR]{2}[oO][rR])""),HYPERLINK(""https://www.munzee.com/map/?sandbox=1&amp;lat=""&amp;$D125&amp;""&amp;lon=""&amp;$E125&amp;""&amp;name=""&amp;SUBSTITUTE($A125,""#"",""%23""),""SANDBOX"""&amp;"),HYPERLINK(""https://www.munzee.com/m/""&amp;$H125&amp;""/deploys/0/type/""&amp;IFNA(VLOOKUP($G125,IMPORTRANGE(""https://docs.google.com/spreadsheets/d/1DliIGyDywdzxhd4svtjaewR0p9Y5UBTMNMQ2PcXsqss"",""type data!E2:F""),2,FALSE),$F125)&amp;""/"",$H125)),""""))"),"DogSoft/1651")</f>
        <v>DogSoft/1651</v>
      </c>
      <c r="K125" s="9" t="b">
        <v>1</v>
      </c>
      <c r="L125" s="10"/>
      <c r="M125" s="10">
        <f t="shared" si="1"/>
        <v>1</v>
      </c>
    </row>
    <row r="126">
      <c r="A126" s="4" t="s">
        <v>224</v>
      </c>
      <c r="B126" s="5">
        <v>9.0</v>
      </c>
      <c r="C126" s="5">
        <v>13.0</v>
      </c>
      <c r="D126" s="6">
        <v>45.5435835156687</v>
      </c>
      <c r="E126" s="6">
        <v>-75.2681606683636</v>
      </c>
      <c r="F126" s="5" t="s">
        <v>59</v>
      </c>
      <c r="G126" s="5" t="s">
        <v>60</v>
      </c>
      <c r="H126" s="7" t="s">
        <v>225</v>
      </c>
      <c r="I126" s="7">
        <v>287.0</v>
      </c>
      <c r="J126" s="8" t="str">
        <f>IFERROR(__xludf.DUMMYFUNCTION("IF(AND(REGEXMATCH($H126,""50( ?['fF]([oO]{2})?[tT]?)?( ?[eE][rR]{2}[oO][rR])"")=FALSE,$H126&lt;&gt;"""",$I126&lt;&gt;""""),HYPERLINK(""https://www.munzee.com/m/""&amp;$H126&amp;""/""&amp;$I126&amp;""/map/?lat=""&amp;$D126&amp;""&amp;lon=""&amp;$E126&amp;""&amp;type=""&amp;$F126&amp;""&amp;name=""&amp;SUBSTITUTE($A126,""#"&amp;""",""%23""),$H126&amp;""/""&amp;$I126),IF($H126&lt;&gt;"""",IF(REGEXMATCH($H126,""50( ?['fF]([oO]{2})?[tT]?)?( ?[eE][rR]{2}[oO][rR])""),HYPERLINK(""https://www.munzee.com/map/?sandbox=1&amp;lat=""&amp;$D126&amp;""&amp;lon=""&amp;$E126&amp;""&amp;name=""&amp;SUBSTITUTE($A126,""#"",""%23""),""SANDBOX"""&amp;"),HYPERLINK(""https://www.munzee.com/m/""&amp;$H126&amp;""/deploys/0/type/""&amp;IFNA(VLOOKUP($G126,IMPORTRANGE(""https://docs.google.com/spreadsheets/d/1DliIGyDywdzxhd4svtjaewR0p9Y5UBTMNMQ2PcXsqss"",""type data!E2:F""),2,FALSE),$F126)&amp;""/"",$H126)),""""))"),"SharSv824/287")</f>
        <v>SharSv824/287</v>
      </c>
      <c r="K126" s="9" t="b">
        <v>1</v>
      </c>
      <c r="L126" s="10"/>
      <c r="M126" s="10">
        <f t="shared" si="1"/>
        <v>1</v>
      </c>
    </row>
    <row r="127">
      <c r="A127" s="4" t="s">
        <v>226</v>
      </c>
      <c r="B127" s="5">
        <v>9.0</v>
      </c>
      <c r="C127" s="5">
        <v>14.0</v>
      </c>
      <c r="D127" s="6">
        <v>45.5435835154849</v>
      </c>
      <c r="E127" s="6">
        <v>-75.2679554466068</v>
      </c>
      <c r="F127" s="5" t="s">
        <v>33</v>
      </c>
      <c r="G127" s="5" t="s">
        <v>34</v>
      </c>
      <c r="H127" s="7" t="s">
        <v>227</v>
      </c>
      <c r="I127" s="7">
        <v>11478.0</v>
      </c>
      <c r="J127" s="8" t="str">
        <f>IFERROR(__xludf.DUMMYFUNCTION("IF(AND(REGEXMATCH($H127,""50( ?['fF]([oO]{2})?[tT]?)?( ?[eE][rR]{2}[oO][rR])"")=FALSE,$H127&lt;&gt;"""",$I127&lt;&gt;""""),HYPERLINK(""https://www.munzee.com/m/""&amp;$H127&amp;""/""&amp;$I127&amp;""/map/?lat=""&amp;$D127&amp;""&amp;lon=""&amp;$E127&amp;""&amp;type=""&amp;$F127&amp;""&amp;name=""&amp;SUBSTITUTE($A127,""#"&amp;""",""%23""),$H127&amp;""/""&amp;$I127),IF($H127&lt;&gt;"""",IF(REGEXMATCH($H127,""50( ?['fF]([oO]{2})?[tT]?)?( ?[eE][rR]{2}[oO][rR])""),HYPERLINK(""https://www.munzee.com/map/?sandbox=1&amp;lat=""&amp;$D127&amp;""&amp;lon=""&amp;$E127&amp;""&amp;name=""&amp;SUBSTITUTE($A127,""#"",""%23""),""SANDBOX"""&amp;"),HYPERLINK(""https://www.munzee.com/m/""&amp;$H127&amp;""/deploys/0/type/""&amp;IFNA(VLOOKUP($G127,IMPORTRANGE(""https://docs.google.com/spreadsheets/d/1DliIGyDywdzxhd4svtjaewR0p9Y5UBTMNMQ2PcXsqss"",""type data!E2:F""),2,FALSE),$F127)&amp;""/"",$H127)),""""))"),"J1Huisman/11478")</f>
        <v>J1Huisman/11478</v>
      </c>
      <c r="K127" s="9" t="b">
        <v>1</v>
      </c>
      <c r="L127" s="10"/>
      <c r="M127" s="10">
        <f t="shared" si="1"/>
        <v>1</v>
      </c>
    </row>
    <row r="128">
      <c r="A128" s="4" t="s">
        <v>228</v>
      </c>
      <c r="B128" s="5">
        <v>9.0</v>
      </c>
      <c r="C128" s="5">
        <v>15.0</v>
      </c>
      <c r="D128" s="6">
        <v>45.5435835153012</v>
      </c>
      <c r="E128" s="6">
        <v>-75.2677502248499</v>
      </c>
      <c r="F128" s="5" t="s">
        <v>14</v>
      </c>
      <c r="G128" s="5" t="s">
        <v>15</v>
      </c>
      <c r="H128" s="7" t="s">
        <v>229</v>
      </c>
      <c r="I128" s="7">
        <v>3520.0</v>
      </c>
      <c r="J128" s="8" t="str">
        <f>IFERROR(__xludf.DUMMYFUNCTION("IF(AND(REGEXMATCH($H128,""50( ?['fF]([oO]{2})?[tT]?)?( ?[eE][rR]{2}[oO][rR])"")=FALSE,$H128&lt;&gt;"""",$I128&lt;&gt;""""),HYPERLINK(""https://www.munzee.com/m/""&amp;$H128&amp;""/""&amp;$I128&amp;""/map/?lat=""&amp;$D128&amp;""&amp;lon=""&amp;$E128&amp;""&amp;type=""&amp;$F128&amp;""&amp;name=""&amp;SUBSTITUTE($A128,""#"&amp;""",""%23""),$H128&amp;""/""&amp;$I128),IF($H128&lt;&gt;"""",IF(REGEXMATCH($H128,""50( ?['fF]([oO]{2})?[tT]?)?( ?[eE][rR]{2}[oO][rR])""),HYPERLINK(""https://www.munzee.com/map/?sandbox=1&amp;lat=""&amp;$D128&amp;""&amp;lon=""&amp;$E128&amp;""&amp;name=""&amp;SUBSTITUTE($A128,""#"",""%23""),""SANDBOX"""&amp;"),HYPERLINK(""https://www.munzee.com/m/""&amp;$H128&amp;""/deploys/0/type/""&amp;IFNA(VLOOKUP($G128,IMPORTRANGE(""https://docs.google.com/spreadsheets/d/1DliIGyDywdzxhd4svtjaewR0p9Y5UBTMNMQ2PcXsqss"",""type data!E2:F""),2,FALSE),$F128)&amp;""/"",$H128)),""""))"),"Syrtene/3520")</f>
        <v>Syrtene/3520</v>
      </c>
      <c r="K128" s="9" t="b">
        <v>1</v>
      </c>
      <c r="L128" s="21"/>
      <c r="M128" s="10">
        <f t="shared" si="1"/>
        <v>1</v>
      </c>
    </row>
    <row r="129">
      <c r="A129" s="4" t="s">
        <v>230</v>
      </c>
      <c r="B129" s="5">
        <v>10.0</v>
      </c>
      <c r="C129" s="5">
        <v>4.0</v>
      </c>
      <c r="D129" s="6">
        <v>45.5434397868768</v>
      </c>
      <c r="E129" s="6">
        <v>-75.2700076767677</v>
      </c>
      <c r="F129" s="5" t="s">
        <v>14</v>
      </c>
      <c r="G129" s="5" t="s">
        <v>15</v>
      </c>
      <c r="H129" s="7" t="s">
        <v>173</v>
      </c>
      <c r="I129" s="7">
        <v>1096.0</v>
      </c>
      <c r="J129" s="8" t="str">
        <f>IFERROR(__xludf.DUMMYFUNCTION("IF(AND(REGEXMATCH($H129,""50( ?['fF]([oO]{2})?[tT]?)?( ?[eE][rR]{2}[oO][rR])"")=FALSE,$H129&lt;&gt;"""",$I129&lt;&gt;""""),HYPERLINK(""https://www.munzee.com/m/""&amp;$H129&amp;""/""&amp;$I129&amp;""/map/?lat=""&amp;$D129&amp;""&amp;lon=""&amp;$E129&amp;""&amp;type=""&amp;$F129&amp;""&amp;name=""&amp;SUBSTITUTE($A129,""#"&amp;""",""%23""),$H129&amp;""/""&amp;$I129),IF($H129&lt;&gt;"""",IF(REGEXMATCH($H129,""50( ?['fF]([oO]{2})?[tT]?)?( ?[eE][rR]{2}[oO][rR])""),HYPERLINK(""https://www.munzee.com/map/?sandbox=1&amp;lat=""&amp;$D129&amp;""&amp;lon=""&amp;$E129&amp;""&amp;name=""&amp;SUBSTITUTE($A129,""#"",""%23""),""SANDBOX"""&amp;"),HYPERLINK(""https://www.munzee.com/m/""&amp;$H129&amp;""/deploys/0/type/""&amp;IFNA(VLOOKUP($G129,IMPORTRANGE(""https://docs.google.com/spreadsheets/d/1DliIGyDywdzxhd4svtjaewR0p9Y5UBTMNMQ2PcXsqss"",""type data!E2:F""),2,FALSE),$F129)&amp;""/"",$H129)),""""))"),"klc1960/1096")</f>
        <v>klc1960/1096</v>
      </c>
      <c r="K129" s="9" t="b">
        <v>1</v>
      </c>
      <c r="L129" s="9"/>
      <c r="M129" s="10">
        <f t="shared" si="1"/>
        <v>3</v>
      </c>
    </row>
    <row r="130">
      <c r="A130" s="4" t="s">
        <v>231</v>
      </c>
      <c r="B130" s="5">
        <v>10.0</v>
      </c>
      <c r="C130" s="5">
        <v>5.0</v>
      </c>
      <c r="D130" s="6">
        <v>45.5434397866931</v>
      </c>
      <c r="E130" s="6">
        <v>-75.2698024555355</v>
      </c>
      <c r="F130" s="5" t="s">
        <v>33</v>
      </c>
      <c r="G130" s="5" t="s">
        <v>34</v>
      </c>
      <c r="H130" s="7" t="s">
        <v>232</v>
      </c>
      <c r="I130" s="7">
        <v>1314.0</v>
      </c>
      <c r="J130" s="8" t="str">
        <f>IFERROR(__xludf.DUMMYFUNCTION("IF(AND(REGEXMATCH($H130,""50( ?['fF]([oO]{2})?[tT]?)?( ?[eE][rR]{2}[oO][rR])"")=FALSE,$H130&lt;&gt;"""",$I130&lt;&gt;""""),HYPERLINK(""https://www.munzee.com/m/""&amp;$H130&amp;""/""&amp;$I130&amp;""/map/?lat=""&amp;$D130&amp;""&amp;lon=""&amp;$E130&amp;""&amp;type=""&amp;$F130&amp;""&amp;name=""&amp;SUBSTITUTE($A130,""#"&amp;""",""%23""),$H130&amp;""/""&amp;$I130),IF($H130&lt;&gt;"""",IF(REGEXMATCH($H130,""50( ?['fF]([oO]{2})?[tT]?)?( ?[eE][rR]{2}[oO][rR])""),HYPERLINK(""https://www.munzee.com/map/?sandbox=1&amp;lat=""&amp;$D130&amp;""&amp;lon=""&amp;$E130&amp;""&amp;name=""&amp;SUBSTITUTE($A130,""#"",""%23""),""SANDBOX"""&amp;"),HYPERLINK(""https://www.munzee.com/m/""&amp;$H130&amp;""/deploys/0/type/""&amp;IFNA(VLOOKUP($G130,IMPORTRANGE(""https://docs.google.com/spreadsheets/d/1DliIGyDywdzxhd4svtjaewR0p9Y5UBTMNMQ2PcXsqss"",""type data!E2:F""),2,FALSE),$F130)&amp;""/"",$H130)),""""))"),"Pinkeltje/1314")</f>
        <v>Pinkeltje/1314</v>
      </c>
      <c r="K130" s="9" t="b">
        <v>1</v>
      </c>
      <c r="L130" s="10"/>
      <c r="M130" s="10">
        <f t="shared" si="1"/>
        <v>1</v>
      </c>
    </row>
    <row r="131">
      <c r="A131" s="4" t="s">
        <v>233</v>
      </c>
      <c r="B131" s="5">
        <v>10.0</v>
      </c>
      <c r="C131" s="5">
        <v>6.0</v>
      </c>
      <c r="D131" s="6">
        <v>45.5434397865093</v>
      </c>
      <c r="E131" s="6">
        <v>-75.2695972343033</v>
      </c>
      <c r="F131" s="5" t="s">
        <v>59</v>
      </c>
      <c r="G131" s="5" t="s">
        <v>60</v>
      </c>
      <c r="H131" s="7" t="s">
        <v>46</v>
      </c>
      <c r="I131" s="12">
        <v>869.0</v>
      </c>
      <c r="J131" s="8" t="str">
        <f>IFERROR(__xludf.DUMMYFUNCTION("IF(AND(REGEXMATCH($H131,""50( ?['fF]([oO]{2})?[tT]?)?( ?[eE][rR]{2}[oO][rR])"")=FALSE,$H131&lt;&gt;"""",$I131&lt;&gt;""""),HYPERLINK(""https://www.munzee.com/m/""&amp;$H131&amp;""/""&amp;$I131&amp;""/map/?lat=""&amp;$D131&amp;""&amp;lon=""&amp;$E131&amp;""&amp;type=""&amp;$F131&amp;""&amp;name=""&amp;SUBSTITUTE($A131,""#"&amp;""",""%23""),$H131&amp;""/""&amp;$I131),IF($H131&lt;&gt;"""",IF(REGEXMATCH($H131,""50( ?['fF]([oO]{2})?[tT]?)?( ?[eE][rR]{2}[oO][rR])""),HYPERLINK(""https://www.munzee.com/map/?sandbox=1&amp;lat=""&amp;$D131&amp;""&amp;lon=""&amp;$E131&amp;""&amp;name=""&amp;SUBSTITUTE($A131,""#"",""%23""),""SANDBOX"""&amp;"),HYPERLINK(""https://www.munzee.com/m/""&amp;$H131&amp;""/deploys/0/type/""&amp;IFNA(VLOOKUP($G131,IMPORTRANGE(""https://docs.google.com/spreadsheets/d/1DliIGyDywdzxhd4svtjaewR0p9Y5UBTMNMQ2PcXsqss"",""type data!E2:F""),2,FALSE),$F131)&amp;""/"",$H131)),""""))"),"MaryJaneKitty/869")</f>
        <v>MaryJaneKitty/869</v>
      </c>
      <c r="K131" s="9" t="b">
        <v>1</v>
      </c>
      <c r="L131" s="10"/>
      <c r="M131" s="10">
        <f t="shared" si="1"/>
        <v>3</v>
      </c>
    </row>
    <row r="132">
      <c r="A132" s="4" t="s">
        <v>234</v>
      </c>
      <c r="B132" s="5">
        <v>10.0</v>
      </c>
      <c r="C132" s="5">
        <v>7.0</v>
      </c>
      <c r="D132" s="6">
        <v>45.5434397863256</v>
      </c>
      <c r="E132" s="6">
        <v>-75.2693920130711</v>
      </c>
      <c r="F132" s="5" t="s">
        <v>33</v>
      </c>
      <c r="G132" s="5" t="s">
        <v>34</v>
      </c>
      <c r="H132" s="7" t="s">
        <v>201</v>
      </c>
      <c r="I132" s="7">
        <v>7539.0</v>
      </c>
      <c r="J132" s="8" t="str">
        <f>IFERROR(__xludf.DUMMYFUNCTION("IF(AND(REGEXMATCH($H132,""50( ?['fF]([oO]{2})?[tT]?)?( ?[eE][rR]{2}[oO][rR])"")=FALSE,$H132&lt;&gt;"""",$I132&lt;&gt;""""),HYPERLINK(""https://www.munzee.com/m/""&amp;$H132&amp;""/""&amp;$I132&amp;""/map/?lat=""&amp;$D132&amp;""&amp;lon=""&amp;$E132&amp;""&amp;type=""&amp;$F132&amp;""&amp;name=""&amp;SUBSTITUTE($A132,""#"&amp;""",""%23""),$H132&amp;""/""&amp;$I132),IF($H132&lt;&gt;"""",IF(REGEXMATCH($H132,""50( ?['fF]([oO]{2})?[tT]?)?( ?[eE][rR]{2}[oO][rR])""),HYPERLINK(""https://www.munzee.com/map/?sandbox=1&amp;lat=""&amp;$D132&amp;""&amp;lon=""&amp;$E132&amp;""&amp;name=""&amp;SUBSTITUTE($A132,""#"",""%23""),""SANDBOX"""&amp;"),HYPERLINK(""https://www.munzee.com/m/""&amp;$H132&amp;""/deploys/0/type/""&amp;IFNA(VLOOKUP($G132,IMPORTRANGE(""https://docs.google.com/spreadsheets/d/1DliIGyDywdzxhd4svtjaewR0p9Y5UBTMNMQ2PcXsqss"",""type data!E2:F""),2,FALSE),$F132)&amp;""/"",$H132)),""""))"),"kwd/7539")</f>
        <v>kwd/7539</v>
      </c>
      <c r="K132" s="9" t="b">
        <v>1</v>
      </c>
      <c r="L132" s="10"/>
      <c r="M132" s="10">
        <f t="shared" si="1"/>
        <v>2</v>
      </c>
    </row>
    <row r="133">
      <c r="A133" s="4" t="s">
        <v>235</v>
      </c>
      <c r="B133" s="5">
        <v>10.0</v>
      </c>
      <c r="C133" s="5">
        <v>8.0</v>
      </c>
      <c r="D133" s="6">
        <v>45.5434397861419</v>
      </c>
      <c r="E133" s="6">
        <v>-75.2691867918389</v>
      </c>
      <c r="F133" s="5" t="s">
        <v>112</v>
      </c>
      <c r="G133" s="5" t="s">
        <v>113</v>
      </c>
      <c r="H133" s="7" t="s">
        <v>149</v>
      </c>
      <c r="I133" s="7">
        <v>500.0</v>
      </c>
      <c r="J133" s="8" t="str">
        <f>IFERROR(__xludf.DUMMYFUNCTION("IF(AND(REGEXMATCH($H133,""50( ?['fF]([oO]{2})?[tT]?)?( ?[eE][rR]{2}[oO][rR])"")=FALSE,$H133&lt;&gt;"""",$I133&lt;&gt;""""),HYPERLINK(""https://www.munzee.com/m/""&amp;$H133&amp;""/""&amp;$I133&amp;""/map/?lat=""&amp;$D133&amp;""&amp;lon=""&amp;$E133&amp;""&amp;type=""&amp;$F133&amp;""&amp;name=""&amp;SUBSTITUTE($A133,""#"&amp;""",""%23""),$H133&amp;""/""&amp;$I133),IF($H133&lt;&gt;"""",IF(REGEXMATCH($H133,""50( ?['fF]([oO]{2})?[tT]?)?( ?[eE][rR]{2}[oO][rR])""),HYPERLINK(""https://www.munzee.com/map/?sandbox=1&amp;lat=""&amp;$D133&amp;""&amp;lon=""&amp;$E133&amp;""&amp;name=""&amp;SUBSTITUTE($A133,""#"",""%23""),""SANDBOX"""&amp;"),HYPERLINK(""https://www.munzee.com/m/""&amp;$H133&amp;""/deploys/0/type/""&amp;IFNA(VLOOKUP($G133,IMPORTRANGE(""https://docs.google.com/spreadsheets/d/1DliIGyDywdzxhd4svtjaewR0p9Y5UBTMNMQ2PcXsqss"",""type data!E2:F""),2,FALSE),$F133)&amp;""/"",$H133)),""""))"),"claireth/500")</f>
        <v>claireth/500</v>
      </c>
      <c r="K133" s="9" t="b">
        <v>1</v>
      </c>
      <c r="L133" s="10"/>
      <c r="M133" s="10">
        <f t="shared" si="1"/>
        <v>2</v>
      </c>
    </row>
    <row r="134">
      <c r="A134" s="4" t="s">
        <v>236</v>
      </c>
      <c r="B134" s="5">
        <v>10.0</v>
      </c>
      <c r="C134" s="5">
        <v>9.0</v>
      </c>
      <c r="D134" s="6">
        <v>45.5434397859582</v>
      </c>
      <c r="E134" s="6">
        <v>-75.2689815706067</v>
      </c>
      <c r="F134" s="5" t="s">
        <v>143</v>
      </c>
      <c r="G134" s="5" t="s">
        <v>144</v>
      </c>
      <c r="H134" s="7" t="s">
        <v>41</v>
      </c>
      <c r="I134" s="7">
        <v>2306.0</v>
      </c>
      <c r="J134" s="8" t="str">
        <f>IFERROR(__xludf.DUMMYFUNCTION("IF(AND(REGEXMATCH($H134,""50( ?['fF]([oO]{2})?[tT]?)?( ?[eE][rR]{2}[oO][rR])"")=FALSE,$H134&lt;&gt;"""",$I134&lt;&gt;""""),HYPERLINK(""https://www.munzee.com/m/""&amp;$H134&amp;""/""&amp;$I134&amp;""/map/?lat=""&amp;$D134&amp;""&amp;lon=""&amp;$E134&amp;""&amp;type=""&amp;$F134&amp;""&amp;name=""&amp;SUBSTITUTE($A134,""#"&amp;""",""%23""),$H134&amp;""/""&amp;$I134),IF($H134&lt;&gt;"""",IF(REGEXMATCH($H134,""50( ?['fF]([oO]{2})?[tT]?)?( ?[eE][rR]{2}[oO][rR])""),HYPERLINK(""https://www.munzee.com/map/?sandbox=1&amp;lat=""&amp;$D134&amp;""&amp;lon=""&amp;$E134&amp;""&amp;name=""&amp;SUBSTITUTE($A134,""#"",""%23""),""SANDBOX"""&amp;"),HYPERLINK(""https://www.munzee.com/m/""&amp;$H134&amp;""/deploys/0/type/""&amp;IFNA(VLOOKUP($G134,IMPORTRANGE(""https://docs.google.com/spreadsheets/d/1DliIGyDywdzxhd4svtjaewR0p9Y5UBTMNMQ2PcXsqss"",""type data!E2:F""),2,FALSE),$F134)&amp;""/"",$H134)),""""))"),"technical13/2306")</f>
        <v>technical13/2306</v>
      </c>
      <c r="K134" s="9" t="b">
        <v>1</v>
      </c>
      <c r="L134" s="9"/>
      <c r="M134" s="10">
        <f t="shared" si="1"/>
        <v>10</v>
      </c>
    </row>
    <row r="135">
      <c r="A135" s="4" t="s">
        <v>237</v>
      </c>
      <c r="B135" s="5">
        <v>10.0</v>
      </c>
      <c r="C135" s="5">
        <v>10.0</v>
      </c>
      <c r="D135" s="6">
        <v>45.5434397857744</v>
      </c>
      <c r="E135" s="6">
        <v>-75.2687763493745</v>
      </c>
      <c r="F135" s="5" t="s">
        <v>112</v>
      </c>
      <c r="G135" s="5" t="s">
        <v>113</v>
      </c>
      <c r="H135" s="7" t="s">
        <v>238</v>
      </c>
      <c r="I135" s="7">
        <v>10748.0</v>
      </c>
      <c r="J135" s="8" t="str">
        <f>IFERROR(__xludf.DUMMYFUNCTION("IF(AND(REGEXMATCH($H135,""50( ?['fF]([oO]{2})?[tT]?)?( ?[eE][rR]{2}[oO][rR])"")=FALSE,$H135&lt;&gt;"""",$I135&lt;&gt;""""),HYPERLINK(""https://www.munzee.com/m/""&amp;$H135&amp;""/""&amp;$I135&amp;""/map/?lat=""&amp;$D135&amp;""&amp;lon=""&amp;$E135&amp;""&amp;type=""&amp;$F135&amp;""&amp;name=""&amp;SUBSTITUTE($A135,""#"&amp;""",""%23""),$H135&amp;""/""&amp;$I135),IF($H135&lt;&gt;"""",IF(REGEXMATCH($H135,""50( ?['fF]([oO]{2})?[tT]?)?( ?[eE][rR]{2}[oO][rR])""),HYPERLINK(""https://www.munzee.com/map/?sandbox=1&amp;lat=""&amp;$D135&amp;""&amp;lon=""&amp;$E135&amp;""&amp;name=""&amp;SUBSTITUTE($A135,""#"",""%23""),""SANDBOX"""&amp;"),HYPERLINK(""https://www.munzee.com/m/""&amp;$H135&amp;""/deploys/0/type/""&amp;IFNA(VLOOKUP($G135,IMPORTRANGE(""https://docs.google.com/spreadsheets/d/1DliIGyDywdzxhd4svtjaewR0p9Y5UBTMNMQ2PcXsqss"",""type data!E2:F""),2,FALSE),$F135)&amp;""/"",$H135)),""""))"),"munzeeprof/10748")</f>
        <v>munzeeprof/10748</v>
      </c>
      <c r="K135" s="9" t="b">
        <v>1</v>
      </c>
      <c r="L135" s="10"/>
      <c r="M135" s="10">
        <f t="shared" si="1"/>
        <v>1</v>
      </c>
    </row>
    <row r="136">
      <c r="A136" s="4" t="s">
        <v>239</v>
      </c>
      <c r="B136" s="5">
        <v>10.0</v>
      </c>
      <c r="C136" s="5">
        <v>11.0</v>
      </c>
      <c r="D136" s="6">
        <v>45.5434397855907</v>
      </c>
      <c r="E136" s="6">
        <v>-75.2685711281423</v>
      </c>
      <c r="F136" s="5" t="s">
        <v>33</v>
      </c>
      <c r="G136" s="5" t="s">
        <v>34</v>
      </c>
      <c r="H136" s="7" t="s">
        <v>168</v>
      </c>
      <c r="I136" s="7">
        <v>4896.0</v>
      </c>
      <c r="J136" s="8" t="str">
        <f>IFERROR(__xludf.DUMMYFUNCTION("IF(AND(REGEXMATCH($H136,""50( ?['fF]([oO]{2})?[tT]?)?( ?[eE][rR]{2}[oO][rR])"")=FALSE,$H136&lt;&gt;"""",$I136&lt;&gt;""""),HYPERLINK(""https://www.munzee.com/m/""&amp;$H136&amp;""/""&amp;$I136&amp;""/map/?lat=""&amp;$D136&amp;""&amp;lon=""&amp;$E136&amp;""&amp;type=""&amp;$F136&amp;""&amp;name=""&amp;SUBSTITUTE($A136,""#"&amp;""",""%23""),$H136&amp;""/""&amp;$I136),IF($H136&lt;&gt;"""",IF(REGEXMATCH($H136,""50( ?['fF]([oO]{2})?[tT]?)?( ?[eE][rR]{2}[oO][rR])""),HYPERLINK(""https://www.munzee.com/map/?sandbox=1&amp;lat=""&amp;$D136&amp;""&amp;lon=""&amp;$E136&amp;""&amp;name=""&amp;SUBSTITUTE($A136,""#"",""%23""),""SANDBOX"""&amp;"),HYPERLINK(""https://www.munzee.com/m/""&amp;$H136&amp;""/deploys/0/type/""&amp;IFNA(VLOOKUP($G136,IMPORTRANGE(""https://docs.google.com/spreadsheets/d/1DliIGyDywdzxhd4svtjaewR0p9Y5UBTMNMQ2PcXsqss"",""type data!E2:F""),2,FALSE),$F136)&amp;""/"",$H136)),""""))"),"ivwarrior/4896")</f>
        <v>ivwarrior/4896</v>
      </c>
      <c r="K136" s="9" t="b">
        <v>1</v>
      </c>
      <c r="L136" s="10"/>
      <c r="M136" s="10">
        <f t="shared" si="1"/>
        <v>3</v>
      </c>
    </row>
    <row r="137">
      <c r="A137" s="4" t="s">
        <v>240</v>
      </c>
      <c r="B137" s="5">
        <v>10.0</v>
      </c>
      <c r="C137" s="5">
        <v>12.0</v>
      </c>
      <c r="D137" s="6">
        <v>45.543439785407</v>
      </c>
      <c r="E137" s="6">
        <v>-75.2683659069101</v>
      </c>
      <c r="F137" s="5" t="s">
        <v>59</v>
      </c>
      <c r="G137" s="5" t="s">
        <v>60</v>
      </c>
      <c r="H137" s="7" t="s">
        <v>241</v>
      </c>
      <c r="I137" s="7">
        <v>10221.0</v>
      </c>
      <c r="J137" s="8" t="str">
        <f>IFERROR(__xludf.DUMMYFUNCTION("IF(AND(REGEXMATCH($H137,""50( ?['fF]([oO]{2})?[tT]?)?( ?[eE][rR]{2}[oO][rR])"")=FALSE,$H137&lt;&gt;"""",$I137&lt;&gt;""""),HYPERLINK(""https://www.munzee.com/m/""&amp;$H137&amp;""/""&amp;$I137&amp;""/map/?lat=""&amp;$D137&amp;""&amp;lon=""&amp;$E137&amp;""&amp;type=""&amp;$F137&amp;""&amp;name=""&amp;SUBSTITUTE($A137,""#"&amp;""",""%23""),$H137&amp;""/""&amp;$I137),IF($H137&lt;&gt;"""",IF(REGEXMATCH($H137,""50( ?['fF]([oO]{2})?[tT]?)?( ?[eE][rR]{2}[oO][rR])""),HYPERLINK(""https://www.munzee.com/map/?sandbox=1&amp;lat=""&amp;$D137&amp;""&amp;lon=""&amp;$E137&amp;""&amp;name=""&amp;SUBSTITUTE($A137,""#"",""%23""),""SANDBOX"""&amp;"),HYPERLINK(""https://www.munzee.com/m/""&amp;$H137&amp;""/deploys/0/type/""&amp;IFNA(VLOOKUP($G137,IMPORTRANGE(""https://docs.google.com/spreadsheets/d/1DliIGyDywdzxhd4svtjaewR0p9Y5UBTMNMQ2PcXsqss"",""type data!E2:F""),2,FALSE),$F137)&amp;""/"",$H137)),""""))"),"lynnslilypad/10221")</f>
        <v>lynnslilypad/10221</v>
      </c>
      <c r="K137" s="9" t="b">
        <v>1</v>
      </c>
      <c r="L137" s="10"/>
      <c r="M137" s="10">
        <f t="shared" si="1"/>
        <v>1</v>
      </c>
    </row>
    <row r="138">
      <c r="A138" s="4" t="s">
        <v>242</v>
      </c>
      <c r="B138" s="5">
        <v>10.0</v>
      </c>
      <c r="C138" s="5">
        <v>13.0</v>
      </c>
      <c r="D138" s="6">
        <v>45.5434397852232</v>
      </c>
      <c r="E138" s="6">
        <v>-75.2681606856779</v>
      </c>
      <c r="F138" s="5" t="s">
        <v>33</v>
      </c>
      <c r="G138" s="5" t="s">
        <v>34</v>
      </c>
      <c r="H138" s="7" t="s">
        <v>29</v>
      </c>
      <c r="I138" s="7">
        <v>939.0</v>
      </c>
      <c r="J138" s="8" t="str">
        <f>IFERROR(__xludf.DUMMYFUNCTION("IF(AND(REGEXMATCH($H138,""50( ?['fF]([oO]{2})?[tT]?)?( ?[eE][rR]{2}[oO][rR])"")=FALSE,$H138&lt;&gt;"""",$I138&lt;&gt;""""),HYPERLINK(""https://www.munzee.com/m/""&amp;$H138&amp;""/""&amp;$I138&amp;""/map/?lat=""&amp;$D138&amp;""&amp;lon=""&amp;$E138&amp;""&amp;type=""&amp;$F138&amp;""&amp;name=""&amp;SUBSTITUTE($A138,""#"&amp;""",""%23""),$H138&amp;""/""&amp;$I138),IF($H138&lt;&gt;"""",IF(REGEXMATCH($H138,""50( ?['fF]([oO]{2})?[tT]?)?( ?[eE][rR]{2}[oO][rR])""),HYPERLINK(""https://www.munzee.com/map/?sandbox=1&amp;lat=""&amp;$D138&amp;""&amp;lon=""&amp;$E138&amp;""&amp;name=""&amp;SUBSTITUTE($A138,""#"",""%23""),""SANDBOX"""&amp;"),HYPERLINK(""https://www.munzee.com/m/""&amp;$H138&amp;""/deploys/0/type/""&amp;IFNA(VLOOKUP($G138,IMPORTRANGE(""https://docs.google.com/spreadsheets/d/1DliIGyDywdzxhd4svtjaewR0p9Y5UBTMNMQ2PcXsqss"",""type data!E2:F""),2,FALSE),$F138)&amp;""/"",$H138)),""""))"),"WinterCheetah/939")</f>
        <v>WinterCheetah/939</v>
      </c>
      <c r="K138" s="9" t="b">
        <v>1</v>
      </c>
      <c r="L138" s="10"/>
      <c r="M138" s="10">
        <f t="shared" si="1"/>
        <v>8</v>
      </c>
    </row>
    <row r="139">
      <c r="A139" s="4" t="s">
        <v>243</v>
      </c>
      <c r="B139" s="5">
        <v>10.0</v>
      </c>
      <c r="C139" s="5">
        <v>14.0</v>
      </c>
      <c r="D139" s="6">
        <v>45.5434397850395</v>
      </c>
      <c r="E139" s="6">
        <v>-75.2679554644457</v>
      </c>
      <c r="F139" s="5" t="s">
        <v>14</v>
      </c>
      <c r="G139" s="5" t="s">
        <v>15</v>
      </c>
      <c r="H139" s="7" t="s">
        <v>244</v>
      </c>
      <c r="I139" s="7">
        <v>760.0</v>
      </c>
      <c r="J139" s="8" t="str">
        <f>IFERROR(__xludf.DUMMYFUNCTION("IF(AND(REGEXMATCH($H139,""50( ?['fF]([oO]{2})?[tT]?)?( ?[eE][rR]{2}[oO][rR])"")=FALSE,$H139&lt;&gt;"""",$I139&lt;&gt;""""),HYPERLINK(""https://www.munzee.com/m/""&amp;$H139&amp;""/""&amp;$I139&amp;""/map/?lat=""&amp;$D139&amp;""&amp;lon=""&amp;$E139&amp;""&amp;type=""&amp;$F139&amp;""&amp;name=""&amp;SUBSTITUTE($A139,""#"&amp;""",""%23""),$H139&amp;""/""&amp;$I139),IF($H139&lt;&gt;"""",IF(REGEXMATCH($H139,""50( ?['fF]([oO]{2})?[tT]?)?( ?[eE][rR]{2}[oO][rR])""),HYPERLINK(""https://www.munzee.com/map/?sandbox=1&amp;lat=""&amp;$D139&amp;""&amp;lon=""&amp;$E139&amp;""&amp;name=""&amp;SUBSTITUTE($A139,""#"",""%23""),""SANDBOX"""&amp;"),HYPERLINK(""https://www.munzee.com/m/""&amp;$H139&amp;""/deploys/0/type/""&amp;IFNA(VLOOKUP($G139,IMPORTRANGE(""https://docs.google.com/spreadsheets/d/1DliIGyDywdzxhd4svtjaewR0p9Y5UBTMNMQ2PcXsqss"",""type data!E2:F""),2,FALSE),$F139)&amp;""/"",$H139)),""""))"),"bambinacattiva/760")</f>
        <v>bambinacattiva/760</v>
      </c>
      <c r="K139" s="9" t="b">
        <v>1</v>
      </c>
      <c r="L139" s="10"/>
      <c r="M139" s="10">
        <f t="shared" si="1"/>
        <v>1</v>
      </c>
    </row>
    <row r="140">
      <c r="A140" s="4" t="s">
        <v>245</v>
      </c>
      <c r="B140" s="5">
        <v>11.0</v>
      </c>
      <c r="C140" s="5">
        <v>5.0</v>
      </c>
      <c r="D140" s="6">
        <v>45.5432960562477</v>
      </c>
      <c r="E140" s="6">
        <v>-75.2698024686521</v>
      </c>
      <c r="F140" s="5" t="s">
        <v>14</v>
      </c>
      <c r="G140" s="5" t="s">
        <v>15</v>
      </c>
      <c r="H140" s="7" t="s">
        <v>246</v>
      </c>
      <c r="I140" s="7">
        <v>15095.0</v>
      </c>
      <c r="J140" s="8" t="str">
        <f>IFERROR(__xludf.DUMMYFUNCTION("IF(AND(REGEXMATCH($H140,""50( ?['fF]([oO]{2})?[tT]?)?( ?[eE][rR]{2}[oO][rR])"")=FALSE,$H140&lt;&gt;"""",$I140&lt;&gt;""""),HYPERLINK(""https://www.munzee.com/m/""&amp;$H140&amp;""/""&amp;$I140&amp;""/map/?lat=""&amp;$D140&amp;""&amp;lon=""&amp;$E140&amp;""&amp;type=""&amp;$F140&amp;""&amp;name=""&amp;SUBSTITUTE($A140,""#"&amp;""",""%23""),$H140&amp;""/""&amp;$I140),IF($H140&lt;&gt;"""",IF(REGEXMATCH($H140,""50( ?['fF]([oO]{2})?[tT]?)?( ?[eE][rR]{2}[oO][rR])""),HYPERLINK(""https://www.munzee.com/map/?sandbox=1&amp;lat=""&amp;$D140&amp;""&amp;lon=""&amp;$E140&amp;""&amp;name=""&amp;SUBSTITUTE($A140,""#"",""%23""),""SANDBOX"""&amp;"),HYPERLINK(""https://www.munzee.com/m/""&amp;$H140&amp;""/deploys/0/type/""&amp;IFNA(VLOOKUP($G140,IMPORTRANGE(""https://docs.google.com/spreadsheets/d/1DliIGyDywdzxhd4svtjaewR0p9Y5UBTMNMQ2PcXsqss"",""type data!E2:F""),2,FALSE),$F140)&amp;""/"",$H140)),""""))"),"denali0407/15095")</f>
        <v>denali0407/15095</v>
      </c>
      <c r="K140" s="9" t="b">
        <v>1</v>
      </c>
      <c r="L140" s="10"/>
      <c r="M140" s="10">
        <f t="shared" si="1"/>
        <v>1</v>
      </c>
    </row>
    <row r="141">
      <c r="A141" s="4" t="s">
        <v>247</v>
      </c>
      <c r="B141" s="5">
        <v>11.0</v>
      </c>
      <c r="C141" s="5">
        <v>6.0</v>
      </c>
      <c r="D141" s="6">
        <v>45.5432960560639</v>
      </c>
      <c r="E141" s="6">
        <v>-75.2695972479446</v>
      </c>
      <c r="F141" s="5" t="s">
        <v>33</v>
      </c>
      <c r="G141" s="5" t="s">
        <v>34</v>
      </c>
      <c r="H141" s="7" t="s">
        <v>248</v>
      </c>
      <c r="I141" s="7">
        <v>224.0</v>
      </c>
      <c r="J141" s="8" t="str">
        <f>IFERROR(__xludf.DUMMYFUNCTION("IF(AND(REGEXMATCH($H141,""50( ?['fF]([oO]{2})?[tT]?)?( ?[eE][rR]{2}[oO][rR])"")=FALSE,$H141&lt;&gt;"""",$I141&lt;&gt;""""),HYPERLINK(""https://www.munzee.com/m/""&amp;$H141&amp;""/""&amp;$I141&amp;""/map/?lat=""&amp;$D141&amp;""&amp;lon=""&amp;$E141&amp;""&amp;type=""&amp;$F141&amp;""&amp;name=""&amp;SUBSTITUTE($A141,""#"&amp;""",""%23""),$H141&amp;""/""&amp;$I141),IF($H141&lt;&gt;"""",IF(REGEXMATCH($H141,""50( ?['fF]([oO]{2})?[tT]?)?( ?[eE][rR]{2}[oO][rR])""),HYPERLINK(""https://www.munzee.com/map/?sandbox=1&amp;lat=""&amp;$D141&amp;""&amp;lon=""&amp;$E141&amp;""&amp;name=""&amp;SUBSTITUTE($A141,""#"",""%23""),""SANDBOX"""&amp;"),HYPERLINK(""https://www.munzee.com/m/""&amp;$H141&amp;""/deploys/0/type/""&amp;IFNA(VLOOKUP($G141,IMPORTRANGE(""https://docs.google.com/spreadsheets/d/1DliIGyDywdzxhd4svtjaewR0p9Y5UBTMNMQ2PcXsqss"",""type data!E2:F""),2,FALSE),$F141)&amp;""/"",$H141)),""""))"),"piesciuk/224")</f>
        <v>piesciuk/224</v>
      </c>
      <c r="K141" s="9" t="b">
        <v>1</v>
      </c>
      <c r="L141" s="9"/>
      <c r="M141" s="10">
        <f t="shared" si="1"/>
        <v>1</v>
      </c>
    </row>
    <row r="142">
      <c r="A142" s="4" t="s">
        <v>249</v>
      </c>
      <c r="B142" s="5">
        <v>11.0</v>
      </c>
      <c r="C142" s="5">
        <v>7.0</v>
      </c>
      <c r="D142" s="6">
        <v>45.5432960558802</v>
      </c>
      <c r="E142" s="6">
        <v>-75.269392027237</v>
      </c>
      <c r="F142" s="5" t="s">
        <v>59</v>
      </c>
      <c r="G142" s="5" t="s">
        <v>60</v>
      </c>
      <c r="H142" s="7" t="s">
        <v>250</v>
      </c>
      <c r="I142" s="7">
        <v>3532.0</v>
      </c>
      <c r="J142" s="8" t="str">
        <f>IFERROR(__xludf.DUMMYFUNCTION("IF(AND(REGEXMATCH($H142,""50( ?['fF]([oO]{2})?[tT]?)?( ?[eE][rR]{2}[oO][rR])"")=FALSE,$H142&lt;&gt;"""",$I142&lt;&gt;""""),HYPERLINK(""https://www.munzee.com/m/""&amp;$H142&amp;""/""&amp;$I142&amp;""/map/?lat=""&amp;$D142&amp;""&amp;lon=""&amp;$E142&amp;""&amp;type=""&amp;$F142&amp;""&amp;name=""&amp;SUBSTITUTE($A142,""#"&amp;""",""%23""),$H142&amp;""/""&amp;$I142),IF($H142&lt;&gt;"""",IF(REGEXMATCH($H142,""50( ?['fF]([oO]{2})?[tT]?)?( ?[eE][rR]{2}[oO][rR])""),HYPERLINK(""https://www.munzee.com/map/?sandbox=1&amp;lat=""&amp;$D142&amp;""&amp;lon=""&amp;$E142&amp;""&amp;name=""&amp;SUBSTITUTE($A142,""#"",""%23""),""SANDBOX"""&amp;"),HYPERLINK(""https://www.munzee.com/m/""&amp;$H142&amp;""/deploys/0/type/""&amp;IFNA(VLOOKUP($G142,IMPORTRANGE(""https://docs.google.com/spreadsheets/d/1DliIGyDywdzxhd4svtjaewR0p9Y5UBTMNMQ2PcXsqss"",""type data!E2:F""),2,FALSE),$F142)&amp;""/"",$H142)),""""))"),"lostsole68/3532")</f>
        <v>lostsole68/3532</v>
      </c>
      <c r="K142" s="9" t="b">
        <v>1</v>
      </c>
      <c r="L142" s="22"/>
      <c r="M142" s="10">
        <f t="shared" si="1"/>
        <v>2</v>
      </c>
    </row>
    <row r="143">
      <c r="A143" s="4" t="s">
        <v>251</v>
      </c>
      <c r="B143" s="5">
        <v>11.0</v>
      </c>
      <c r="C143" s="5">
        <v>8.0</v>
      </c>
      <c r="D143" s="6">
        <v>45.5432960556965</v>
      </c>
      <c r="E143" s="6">
        <v>-75.2691868065295</v>
      </c>
      <c r="F143" s="5" t="s">
        <v>33</v>
      </c>
      <c r="G143" s="5" t="s">
        <v>34</v>
      </c>
      <c r="H143" s="7" t="s">
        <v>252</v>
      </c>
      <c r="I143" s="7">
        <v>2044.0</v>
      </c>
      <c r="J143" s="8" t="str">
        <f>IFERROR(__xludf.DUMMYFUNCTION("IF(AND(REGEXMATCH($H143,""50( ?['fF]([oO]{2})?[tT]?)?( ?[eE][rR]{2}[oO][rR])"")=FALSE,$H143&lt;&gt;"""",$I143&lt;&gt;""""),HYPERLINK(""https://www.munzee.com/m/""&amp;$H143&amp;""/""&amp;$I143&amp;""/map/?lat=""&amp;$D143&amp;""&amp;lon=""&amp;$E143&amp;""&amp;type=""&amp;$F143&amp;""&amp;name=""&amp;SUBSTITUTE($A143,""#"&amp;""",""%23""),$H143&amp;""/""&amp;$I143),IF($H143&lt;&gt;"""",IF(REGEXMATCH($H143,""50( ?['fF]([oO]{2})?[tT]?)?( ?[eE][rR]{2}[oO][rR])""),HYPERLINK(""https://www.munzee.com/map/?sandbox=1&amp;lat=""&amp;$D143&amp;""&amp;lon=""&amp;$E143&amp;""&amp;name=""&amp;SUBSTITUTE($A143,""#"",""%23""),""SANDBOX"""&amp;"),HYPERLINK(""https://www.munzee.com/m/""&amp;$H143&amp;""/deploys/0/type/""&amp;IFNA(VLOOKUP($G143,IMPORTRANGE(""https://docs.google.com/spreadsheets/d/1DliIGyDywdzxhd4svtjaewR0p9Y5UBTMNMQ2PcXsqss"",""type data!E2:F""),2,FALSE),$F143)&amp;""/"",$H143)),""""))"),"EmeraldAngel/2044")</f>
        <v>EmeraldAngel/2044</v>
      </c>
      <c r="K143" s="9" t="b">
        <v>1</v>
      </c>
      <c r="L143" s="9"/>
      <c r="M143" s="10">
        <f t="shared" si="1"/>
        <v>3</v>
      </c>
    </row>
    <row r="144">
      <c r="A144" s="4" t="s">
        <v>253</v>
      </c>
      <c r="B144" s="5">
        <v>11.0</v>
      </c>
      <c r="C144" s="5">
        <v>9.0</v>
      </c>
      <c r="D144" s="6">
        <v>45.5432960555128</v>
      </c>
      <c r="E144" s="6">
        <v>-75.268981585822</v>
      </c>
      <c r="F144" s="5" t="s">
        <v>112</v>
      </c>
      <c r="G144" s="5" t="s">
        <v>113</v>
      </c>
      <c r="H144" s="7" t="s">
        <v>102</v>
      </c>
      <c r="I144" s="7">
        <v>910.0</v>
      </c>
      <c r="J144" s="8" t="str">
        <f>IFERROR(__xludf.DUMMYFUNCTION("IF(AND(REGEXMATCH($H144,""50( ?['fF]([oO]{2})?[tT]?)?( ?[eE][rR]{2}[oO][rR])"")=FALSE,$H144&lt;&gt;"""",$I144&lt;&gt;""""),HYPERLINK(""https://www.munzee.com/m/""&amp;$H144&amp;""/""&amp;$I144&amp;""/map/?lat=""&amp;$D144&amp;""&amp;lon=""&amp;$E144&amp;""&amp;type=""&amp;$F144&amp;""&amp;name=""&amp;SUBSTITUTE($A144,""#"&amp;""",""%23""),$H144&amp;""/""&amp;$I144),IF($H144&lt;&gt;"""",IF(REGEXMATCH($H144,""50( ?['fF]([oO]{2})?[tT]?)?( ?[eE][rR]{2}[oO][rR])""),HYPERLINK(""https://www.munzee.com/map/?sandbox=1&amp;lat=""&amp;$D144&amp;""&amp;lon=""&amp;$E144&amp;""&amp;name=""&amp;SUBSTITUTE($A144,""#"",""%23""),""SANDBOX"""&amp;"),HYPERLINK(""https://www.munzee.com/m/""&amp;$H144&amp;""/deploys/0/type/""&amp;IFNA(VLOOKUP($G144,IMPORTRANGE(""https://docs.google.com/spreadsheets/d/1DliIGyDywdzxhd4svtjaewR0p9Y5UBTMNMQ2PcXsqss"",""type data!E2:F""),2,FALSE),$F144)&amp;""/"",$H144)),""""))"),"jeffeth/910")</f>
        <v>jeffeth/910</v>
      </c>
      <c r="K144" s="9" t="b">
        <v>1</v>
      </c>
      <c r="L144" s="10"/>
      <c r="M144" s="10">
        <f t="shared" si="1"/>
        <v>5</v>
      </c>
    </row>
    <row r="145">
      <c r="A145" s="4" t="s">
        <v>254</v>
      </c>
      <c r="B145" s="5">
        <v>11.0</v>
      </c>
      <c r="C145" s="5">
        <v>10.0</v>
      </c>
      <c r="D145" s="6">
        <v>45.543296055329</v>
      </c>
      <c r="E145" s="6">
        <v>-75.2687763651144</v>
      </c>
      <c r="F145" s="5" t="s">
        <v>33</v>
      </c>
      <c r="G145" s="5" t="s">
        <v>34</v>
      </c>
      <c r="H145" s="7" t="s">
        <v>46</v>
      </c>
      <c r="I145" s="7">
        <v>876.0</v>
      </c>
      <c r="J145" s="8" t="str">
        <f>IFERROR(__xludf.DUMMYFUNCTION("IF(AND(REGEXMATCH($H145,""50( ?['fF]([oO]{2})?[tT]?)?( ?[eE][rR]{2}[oO][rR])"")=FALSE,$H145&lt;&gt;"""",$I145&lt;&gt;""""),HYPERLINK(""https://www.munzee.com/m/""&amp;$H145&amp;""/""&amp;$I145&amp;""/map/?lat=""&amp;$D145&amp;""&amp;lon=""&amp;$E145&amp;""&amp;type=""&amp;$F145&amp;""&amp;name=""&amp;SUBSTITUTE($A145,""#"&amp;""",""%23""),$H145&amp;""/""&amp;$I145),IF($H145&lt;&gt;"""",IF(REGEXMATCH($H145,""50( ?['fF]([oO]{2})?[tT]?)?( ?[eE][rR]{2}[oO][rR])""),HYPERLINK(""https://www.munzee.com/map/?sandbox=1&amp;lat=""&amp;$D145&amp;""&amp;lon=""&amp;$E145&amp;""&amp;name=""&amp;SUBSTITUTE($A145,""#"",""%23""),""SANDBOX"""&amp;"),HYPERLINK(""https://www.munzee.com/m/""&amp;$H145&amp;""/deploys/0/type/""&amp;IFNA(VLOOKUP($G145,IMPORTRANGE(""https://docs.google.com/spreadsheets/d/1DliIGyDywdzxhd4svtjaewR0p9Y5UBTMNMQ2PcXsqss"",""type data!E2:F""),2,FALSE),$F145)&amp;""/"",$H145)),""""))"),"MaryJaneKitty/876")</f>
        <v>MaryJaneKitty/876</v>
      </c>
      <c r="K145" s="9" t="b">
        <v>1</v>
      </c>
      <c r="L145" s="10"/>
      <c r="M145" s="10">
        <f t="shared" si="1"/>
        <v>3</v>
      </c>
    </row>
    <row r="146">
      <c r="A146" s="4" t="s">
        <v>255</v>
      </c>
      <c r="B146" s="5">
        <v>11.0</v>
      </c>
      <c r="C146" s="5">
        <v>11.0</v>
      </c>
      <c r="D146" s="6">
        <v>45.5432960551453</v>
      </c>
      <c r="E146" s="6">
        <v>-75.2685711444069</v>
      </c>
      <c r="F146" s="5" t="s">
        <v>59</v>
      </c>
      <c r="G146" s="5" t="s">
        <v>60</v>
      </c>
      <c r="H146" s="7" t="s">
        <v>252</v>
      </c>
      <c r="I146" s="23">
        <v>2043.0</v>
      </c>
      <c r="J146" s="8" t="str">
        <f>IFERROR(__xludf.DUMMYFUNCTION("IF(AND(REGEXMATCH($H146,""50( ?['fF]([oO]{2})?[tT]?)?( ?[eE][rR]{2}[oO][rR])"")=FALSE,$H146&lt;&gt;"""",$I146&lt;&gt;""""),HYPERLINK(""https://www.munzee.com/m/""&amp;$H146&amp;""/""&amp;$I146&amp;""/map/?lat=""&amp;$D146&amp;""&amp;lon=""&amp;$E146&amp;""&amp;type=""&amp;$F146&amp;""&amp;name=""&amp;SUBSTITUTE($A146,""#"&amp;""",""%23""),$H146&amp;""/""&amp;$I146),IF($H146&lt;&gt;"""",IF(REGEXMATCH($H146,""50( ?['fF]([oO]{2})?[tT]?)?( ?[eE][rR]{2}[oO][rR])""),HYPERLINK(""https://www.munzee.com/map/?sandbox=1&amp;lat=""&amp;$D146&amp;""&amp;lon=""&amp;$E146&amp;""&amp;name=""&amp;SUBSTITUTE($A146,""#"",""%23""),""SANDBOX"""&amp;"),HYPERLINK(""https://www.munzee.com/m/""&amp;$H146&amp;""/deploys/0/type/""&amp;IFNA(VLOOKUP($G146,IMPORTRANGE(""https://docs.google.com/spreadsheets/d/1DliIGyDywdzxhd4svtjaewR0p9Y5UBTMNMQ2PcXsqss"",""type data!E2:F""),2,FALSE),$F146)&amp;""/"",$H146)),""""))"),"EmeraldAngel/2043")</f>
        <v>EmeraldAngel/2043</v>
      </c>
      <c r="K146" s="9" t="b">
        <v>1</v>
      </c>
      <c r="L146" s="9"/>
      <c r="M146" s="10">
        <f t="shared" si="1"/>
        <v>3</v>
      </c>
    </row>
    <row r="147">
      <c r="A147" s="4" t="s">
        <v>256</v>
      </c>
      <c r="B147" s="5">
        <v>11.0</v>
      </c>
      <c r="C147" s="5">
        <v>12.0</v>
      </c>
      <c r="D147" s="6">
        <v>45.5432960549616</v>
      </c>
      <c r="E147" s="6">
        <v>-75.2683659236994</v>
      </c>
      <c r="F147" s="5" t="s">
        <v>33</v>
      </c>
      <c r="G147" s="5" t="s">
        <v>34</v>
      </c>
      <c r="H147" s="7" t="s">
        <v>41</v>
      </c>
      <c r="I147" s="7">
        <v>2249.0</v>
      </c>
      <c r="J147" s="8" t="str">
        <f>IFERROR(__xludf.DUMMYFUNCTION("IF(AND(REGEXMATCH($H147,""50( ?['fF]([oO]{2})?[tT]?)?( ?[eE][rR]{2}[oO][rR])"")=FALSE,$H147&lt;&gt;"""",$I147&lt;&gt;""""),HYPERLINK(""https://www.munzee.com/m/""&amp;$H147&amp;""/""&amp;$I147&amp;""/map/?lat=""&amp;$D147&amp;""&amp;lon=""&amp;$E147&amp;""&amp;type=""&amp;$F147&amp;""&amp;name=""&amp;SUBSTITUTE($A147,""#"&amp;""",""%23""),$H147&amp;""/""&amp;$I147),IF($H147&lt;&gt;"""",IF(REGEXMATCH($H147,""50( ?['fF]([oO]{2})?[tT]?)?( ?[eE][rR]{2}[oO][rR])""),HYPERLINK(""https://www.munzee.com/map/?sandbox=1&amp;lat=""&amp;$D147&amp;""&amp;lon=""&amp;$E147&amp;""&amp;name=""&amp;SUBSTITUTE($A147,""#"",""%23""),""SANDBOX"""&amp;"),HYPERLINK(""https://www.munzee.com/m/""&amp;$H147&amp;""/deploys/0/type/""&amp;IFNA(VLOOKUP($G147,IMPORTRANGE(""https://docs.google.com/spreadsheets/d/1DliIGyDywdzxhd4svtjaewR0p9Y5UBTMNMQ2PcXsqss"",""type data!E2:F""),2,FALSE),$F147)&amp;""/"",$H147)),""""))"),"technical13/2249")</f>
        <v>technical13/2249</v>
      </c>
      <c r="K147" s="9" t="b">
        <v>1</v>
      </c>
      <c r="L147" s="9"/>
      <c r="M147" s="10">
        <f t="shared" si="1"/>
        <v>10</v>
      </c>
    </row>
    <row r="148">
      <c r="A148" s="4" t="s">
        <v>257</v>
      </c>
      <c r="B148" s="5">
        <v>11.0</v>
      </c>
      <c r="C148" s="5">
        <v>13.0</v>
      </c>
      <c r="D148" s="6">
        <v>45.5432960547778</v>
      </c>
      <c r="E148" s="6">
        <v>-75.2681607029919</v>
      </c>
      <c r="F148" s="5" t="s">
        <v>14</v>
      </c>
      <c r="G148" s="5" t="s">
        <v>15</v>
      </c>
      <c r="H148" s="7" t="s">
        <v>173</v>
      </c>
      <c r="I148" s="7">
        <v>1164.0</v>
      </c>
      <c r="J148" s="8" t="str">
        <f>IFERROR(__xludf.DUMMYFUNCTION("IF(AND(REGEXMATCH($H148,""50( ?['fF]([oO]{2})?[tT]?)?( ?[eE][rR]{2}[oO][rR])"")=FALSE,$H148&lt;&gt;"""",$I148&lt;&gt;""""),HYPERLINK(""https://www.munzee.com/m/""&amp;$H148&amp;""/""&amp;$I148&amp;""/map/?lat=""&amp;$D148&amp;""&amp;lon=""&amp;$E148&amp;""&amp;type=""&amp;$F148&amp;""&amp;name=""&amp;SUBSTITUTE($A148,""#"&amp;""",""%23""),$H148&amp;""/""&amp;$I148),IF($H148&lt;&gt;"""",IF(REGEXMATCH($H148,""50( ?['fF]([oO]{2})?[tT]?)?( ?[eE][rR]{2}[oO][rR])""),HYPERLINK(""https://www.munzee.com/map/?sandbox=1&amp;lat=""&amp;$D148&amp;""&amp;lon=""&amp;$E148&amp;""&amp;name=""&amp;SUBSTITUTE($A148,""#"",""%23""),""SANDBOX"""&amp;"),HYPERLINK(""https://www.munzee.com/m/""&amp;$H148&amp;""/deploys/0/type/""&amp;IFNA(VLOOKUP($G148,IMPORTRANGE(""https://docs.google.com/spreadsheets/d/1DliIGyDywdzxhd4svtjaewR0p9Y5UBTMNMQ2PcXsqss"",""type data!E2:F""),2,FALSE),$F148)&amp;""/"",$H148)),""""))"),"klc1960/1164")</f>
        <v>klc1960/1164</v>
      </c>
      <c r="K148" s="9" t="b">
        <v>1</v>
      </c>
      <c r="L148" s="10"/>
      <c r="M148" s="10">
        <f t="shared" si="1"/>
        <v>3</v>
      </c>
    </row>
    <row r="149">
      <c r="A149" s="4" t="s">
        <v>258</v>
      </c>
      <c r="B149" s="5">
        <v>12.0</v>
      </c>
      <c r="C149" s="5">
        <v>6.0</v>
      </c>
      <c r="D149" s="6">
        <v>45.5431523256185</v>
      </c>
      <c r="E149" s="6">
        <v>-75.2695972615858</v>
      </c>
      <c r="F149" s="5" t="s">
        <v>14</v>
      </c>
      <c r="G149" s="5" t="s">
        <v>15</v>
      </c>
      <c r="H149" s="7" t="s">
        <v>185</v>
      </c>
      <c r="I149" s="7">
        <v>12394.0</v>
      </c>
      <c r="J149" s="8" t="str">
        <f>IFERROR(__xludf.DUMMYFUNCTION("IF(AND(REGEXMATCH($H149,""50( ?['fF]([oO]{2})?[tT]?)?( ?[eE][rR]{2}[oO][rR])"")=FALSE,$H149&lt;&gt;"""",$I149&lt;&gt;""""),HYPERLINK(""https://www.munzee.com/m/""&amp;$H149&amp;""/""&amp;$I149&amp;""/map/?lat=""&amp;$D149&amp;""&amp;lon=""&amp;$E149&amp;""&amp;type=""&amp;$F149&amp;""&amp;name=""&amp;SUBSTITUTE($A149,""#"&amp;""",""%23""),$H149&amp;""/""&amp;$I149),IF($H149&lt;&gt;"""",IF(REGEXMATCH($H149,""50( ?['fF]([oO]{2})?[tT]?)?( ?[eE][rR]{2}[oO][rR])""),HYPERLINK(""https://www.munzee.com/map/?sandbox=1&amp;lat=""&amp;$D149&amp;""&amp;lon=""&amp;$E149&amp;""&amp;name=""&amp;SUBSTITUTE($A149,""#"",""%23""),""SANDBOX"""&amp;"),HYPERLINK(""https://www.munzee.com/m/""&amp;$H149&amp;""/deploys/0/type/""&amp;IFNA(VLOOKUP($G149,IMPORTRANGE(""https://docs.google.com/spreadsheets/d/1DliIGyDywdzxhd4svtjaewR0p9Y5UBTMNMQ2PcXsqss"",""type data!E2:F""),2,FALSE),$F149)&amp;""/"",$H149)),""""))"),"mars00xj/12394")</f>
        <v>mars00xj/12394</v>
      </c>
      <c r="K149" s="9" t="b">
        <v>1</v>
      </c>
      <c r="L149" s="10"/>
      <c r="M149" s="10">
        <f t="shared" si="1"/>
        <v>5</v>
      </c>
    </row>
    <row r="150">
      <c r="A150" s="4" t="s">
        <v>259</v>
      </c>
      <c r="B150" s="5">
        <v>12.0</v>
      </c>
      <c r="C150" s="5">
        <v>7.0</v>
      </c>
      <c r="D150" s="6">
        <v>45.5431523254348</v>
      </c>
      <c r="E150" s="6">
        <v>-75.269392041403</v>
      </c>
      <c r="F150" s="5" t="s">
        <v>33</v>
      </c>
      <c r="G150" s="5" t="s">
        <v>34</v>
      </c>
      <c r="H150" s="7" t="s">
        <v>29</v>
      </c>
      <c r="I150" s="7">
        <v>929.0</v>
      </c>
      <c r="J150" s="8" t="str">
        <f>IFERROR(__xludf.DUMMYFUNCTION("IF(AND(REGEXMATCH($H150,""50( ?['fF]([oO]{2})?[tT]?)?( ?[eE][rR]{2}[oO][rR])"")=FALSE,$H150&lt;&gt;"""",$I150&lt;&gt;""""),HYPERLINK(""https://www.munzee.com/m/""&amp;$H150&amp;""/""&amp;$I150&amp;""/map/?lat=""&amp;$D150&amp;""&amp;lon=""&amp;$E150&amp;""&amp;type=""&amp;$F150&amp;""&amp;name=""&amp;SUBSTITUTE($A150,""#"&amp;""",""%23""),$H150&amp;""/""&amp;$I150),IF($H150&lt;&gt;"""",IF(REGEXMATCH($H150,""50( ?['fF]([oO]{2})?[tT]?)?( ?[eE][rR]{2}[oO][rR])""),HYPERLINK(""https://www.munzee.com/map/?sandbox=1&amp;lat=""&amp;$D150&amp;""&amp;lon=""&amp;$E150&amp;""&amp;name=""&amp;SUBSTITUTE($A150,""#"",""%23""),""SANDBOX"""&amp;"),HYPERLINK(""https://www.munzee.com/m/""&amp;$H150&amp;""/deploys/0/type/""&amp;IFNA(VLOOKUP($G150,IMPORTRANGE(""https://docs.google.com/spreadsheets/d/1DliIGyDywdzxhd4svtjaewR0p9Y5UBTMNMQ2PcXsqss"",""type data!E2:F""),2,FALSE),$F150)&amp;""/"",$H150)),""""))"),"WinterCheetah/929")</f>
        <v>WinterCheetah/929</v>
      </c>
      <c r="K150" s="9" t="b">
        <v>1</v>
      </c>
      <c r="L150" s="10"/>
      <c r="M150" s="10">
        <f t="shared" si="1"/>
        <v>8</v>
      </c>
    </row>
    <row r="151">
      <c r="A151" s="4" t="s">
        <v>260</v>
      </c>
      <c r="B151" s="5">
        <v>12.0</v>
      </c>
      <c r="C151" s="5">
        <v>8.0</v>
      </c>
      <c r="D151" s="6">
        <v>45.543152325251</v>
      </c>
      <c r="E151" s="6">
        <v>-75.2691868212201</v>
      </c>
      <c r="F151" s="5" t="s">
        <v>59</v>
      </c>
      <c r="G151" s="5" t="s">
        <v>60</v>
      </c>
      <c r="H151" s="7" t="s">
        <v>31</v>
      </c>
      <c r="I151" s="7">
        <v>340.0</v>
      </c>
      <c r="J151" s="8" t="str">
        <f>IFERROR(__xludf.DUMMYFUNCTION("IF(AND(REGEXMATCH($H151,""50( ?['fF]([oO]{2})?[tT]?)?( ?[eE][rR]{2}[oO][rR])"")=FALSE,$H151&lt;&gt;"""",$I151&lt;&gt;""""),HYPERLINK(""https://www.munzee.com/m/""&amp;$H151&amp;""/""&amp;$I151&amp;""/map/?lat=""&amp;$D151&amp;""&amp;lon=""&amp;$E151&amp;""&amp;type=""&amp;$F151&amp;""&amp;name=""&amp;SUBSTITUTE($A151,""#"&amp;""",""%23""),$H151&amp;""/""&amp;$I151),IF($H151&lt;&gt;"""",IF(REGEXMATCH($H151,""50( ?['fF]([oO]{2})?[tT]?)?( ?[eE][rR]{2}[oO][rR])""),HYPERLINK(""https://www.munzee.com/map/?sandbox=1&amp;lat=""&amp;$D151&amp;""&amp;lon=""&amp;$E151&amp;""&amp;name=""&amp;SUBSTITUTE($A151,""#"",""%23""),""SANDBOX"""&amp;"),HYPERLINK(""https://www.munzee.com/m/""&amp;$H151&amp;""/deploys/0/type/""&amp;IFNA(VLOOKUP($G151,IMPORTRANGE(""https://docs.google.com/spreadsheets/d/1DliIGyDywdzxhd4svtjaewR0p9Y5UBTMNMQ2PcXsqss"",""type data!E2:F""),2,FALSE),$F151)&amp;""/"",$H151)),""""))"),"rayannchick/340")</f>
        <v>rayannchick/340</v>
      </c>
      <c r="K151" s="9" t="b">
        <v>1</v>
      </c>
      <c r="L151" s="10"/>
      <c r="M151" s="10">
        <f t="shared" si="1"/>
        <v>2</v>
      </c>
    </row>
    <row r="152">
      <c r="A152" s="4" t="s">
        <v>261</v>
      </c>
      <c r="B152" s="5">
        <v>12.0</v>
      </c>
      <c r="C152" s="5">
        <v>9.0</v>
      </c>
      <c r="D152" s="6">
        <v>45.5431523250673</v>
      </c>
      <c r="E152" s="6">
        <v>-75.2689816010373</v>
      </c>
      <c r="F152" s="5" t="s">
        <v>33</v>
      </c>
      <c r="G152" s="5" t="s">
        <v>34</v>
      </c>
      <c r="H152" s="7" t="s">
        <v>43</v>
      </c>
      <c r="I152" s="7">
        <v>2009.0</v>
      </c>
      <c r="J152" s="8" t="str">
        <f>IFERROR(__xludf.DUMMYFUNCTION("IF(AND(REGEXMATCH($H152,""50( ?['fF]([oO]{2})?[tT]?)?( ?[eE][rR]{2}[oO][rR])"")=FALSE,$H152&lt;&gt;"""",$I152&lt;&gt;""""),HYPERLINK(""https://www.munzee.com/m/""&amp;$H152&amp;""/""&amp;$I152&amp;""/map/?lat=""&amp;$D152&amp;""&amp;lon=""&amp;$E152&amp;""&amp;type=""&amp;$F152&amp;""&amp;name=""&amp;SUBSTITUTE($A152,""#"&amp;""",""%23""),$H152&amp;""/""&amp;$I152),IF($H152&lt;&gt;"""",IF(REGEXMATCH($H152,""50( ?['fF]([oO]{2})?[tT]?)?( ?[eE][rR]{2}[oO][rR])""),HYPERLINK(""https://www.munzee.com/map/?sandbox=1&amp;lat=""&amp;$D152&amp;""&amp;lon=""&amp;$E152&amp;""&amp;name=""&amp;SUBSTITUTE($A152,""#"",""%23""),""SANDBOX"""&amp;"),HYPERLINK(""https://www.munzee.com/m/""&amp;$H152&amp;""/deploys/0/type/""&amp;IFNA(VLOOKUP($G152,IMPORTRANGE(""https://docs.google.com/spreadsheets/d/1DliIGyDywdzxhd4svtjaewR0p9Y5UBTMNMQ2PcXsqss"",""type data!E2:F""),2,FALSE),$F152)&amp;""/"",$H152)),""""))"),"IggiePiggie/2009")</f>
        <v>IggiePiggie/2009</v>
      </c>
      <c r="K152" s="9" t="b">
        <v>1</v>
      </c>
      <c r="L152" s="10"/>
      <c r="M152" s="10">
        <f t="shared" si="1"/>
        <v>3</v>
      </c>
    </row>
    <row r="153">
      <c r="A153" s="4" t="s">
        <v>262</v>
      </c>
      <c r="B153" s="5">
        <v>12.0</v>
      </c>
      <c r="C153" s="5">
        <v>10.0</v>
      </c>
      <c r="D153" s="6">
        <v>45.5431523248836</v>
      </c>
      <c r="E153" s="6">
        <v>-75.2687763808544</v>
      </c>
      <c r="F153" s="5" t="s">
        <v>59</v>
      </c>
      <c r="G153" s="5" t="s">
        <v>60</v>
      </c>
      <c r="H153" s="7" t="s">
        <v>29</v>
      </c>
      <c r="I153" s="7">
        <v>922.0</v>
      </c>
      <c r="J153" s="8" t="str">
        <f>IFERROR(__xludf.DUMMYFUNCTION("IF(AND(REGEXMATCH($H153,""50( ?['fF]([oO]{2})?[tT]?)?( ?[eE][rR]{2}[oO][rR])"")=FALSE,$H153&lt;&gt;"""",$I153&lt;&gt;""""),HYPERLINK(""https://www.munzee.com/m/""&amp;$H153&amp;""/""&amp;$I153&amp;""/map/?lat=""&amp;$D153&amp;""&amp;lon=""&amp;$E153&amp;""&amp;type=""&amp;$F153&amp;""&amp;name=""&amp;SUBSTITUTE($A153,""#"&amp;""",""%23""),$H153&amp;""/""&amp;$I153),IF($H153&lt;&gt;"""",IF(REGEXMATCH($H153,""50( ?['fF]([oO]{2})?[tT]?)?( ?[eE][rR]{2}[oO][rR])""),HYPERLINK(""https://www.munzee.com/map/?sandbox=1&amp;lat=""&amp;$D153&amp;""&amp;lon=""&amp;$E153&amp;""&amp;name=""&amp;SUBSTITUTE($A153,""#"",""%23""),""SANDBOX"""&amp;"),HYPERLINK(""https://www.munzee.com/m/""&amp;$H153&amp;""/deploys/0/type/""&amp;IFNA(VLOOKUP($G153,IMPORTRANGE(""https://docs.google.com/spreadsheets/d/1DliIGyDywdzxhd4svtjaewR0p9Y5UBTMNMQ2PcXsqss"",""type data!E2:F""),2,FALSE),$F153)&amp;""/"",$H153)),""""))"),"WinterCheetah/922")</f>
        <v>WinterCheetah/922</v>
      </c>
      <c r="K153" s="9" t="b">
        <v>1</v>
      </c>
      <c r="L153" s="10"/>
      <c r="M153" s="10">
        <f t="shared" si="1"/>
        <v>8</v>
      </c>
    </row>
    <row r="154">
      <c r="A154" s="4" t="s">
        <v>263</v>
      </c>
      <c r="B154" s="5">
        <v>12.0</v>
      </c>
      <c r="C154" s="5">
        <v>11.0</v>
      </c>
      <c r="D154" s="6">
        <v>45.5431523246998</v>
      </c>
      <c r="E154" s="6">
        <v>-75.2685711606715</v>
      </c>
      <c r="F154" s="5" t="s">
        <v>33</v>
      </c>
      <c r="G154" s="5" t="s">
        <v>34</v>
      </c>
      <c r="H154" s="7" t="s">
        <v>264</v>
      </c>
      <c r="I154" s="7">
        <v>1109.0</v>
      </c>
      <c r="J154" s="8" t="str">
        <f>IFERROR(__xludf.DUMMYFUNCTION("IF(AND(REGEXMATCH($H154,""50( ?['fF]([oO]{2})?[tT]?)?( ?[eE][rR]{2}[oO][rR])"")=FALSE,$H154&lt;&gt;"""",$I154&lt;&gt;""""),HYPERLINK(""https://www.munzee.com/m/""&amp;$H154&amp;""/""&amp;$I154&amp;""/map/?lat=""&amp;$D154&amp;""&amp;lon=""&amp;$E154&amp;""&amp;type=""&amp;$F154&amp;""&amp;name=""&amp;SUBSTITUTE($A154,""#"&amp;""",""%23""),$H154&amp;""/""&amp;$I154),IF($H154&lt;&gt;"""",IF(REGEXMATCH($H154,""50( ?['fF]([oO]{2})?[tT]?)?( ?[eE][rR]{2}[oO][rR])""),HYPERLINK(""https://www.munzee.com/map/?sandbox=1&amp;lat=""&amp;$D154&amp;""&amp;lon=""&amp;$E154&amp;""&amp;name=""&amp;SUBSTITUTE($A154,""#"",""%23""),""SANDBOX"""&amp;"),HYPERLINK(""https://www.munzee.com/m/""&amp;$H154&amp;""/deploys/0/type/""&amp;IFNA(VLOOKUP($G154,IMPORTRANGE(""https://docs.google.com/spreadsheets/d/1DliIGyDywdzxhd4svtjaewR0p9Y5UBTMNMQ2PcXsqss"",""type data!E2:F""),2,FALSE),$F154)&amp;""/"",$H154)),""""))"),"Smith2190/1109")</f>
        <v>Smith2190/1109</v>
      </c>
      <c r="K154" s="9" t="b">
        <v>1</v>
      </c>
      <c r="L154" s="9"/>
      <c r="M154" s="10">
        <f t="shared" si="1"/>
        <v>1</v>
      </c>
    </row>
    <row r="155">
      <c r="A155" s="4" t="s">
        <v>265</v>
      </c>
      <c r="B155" s="5">
        <v>12.0</v>
      </c>
      <c r="C155" s="5">
        <v>12.0</v>
      </c>
      <c r="D155" s="6">
        <v>45.5431523245161</v>
      </c>
      <c r="E155" s="6">
        <v>-75.2683659404887</v>
      </c>
      <c r="F155" s="5" t="s">
        <v>14</v>
      </c>
      <c r="G155" s="5" t="s">
        <v>15</v>
      </c>
      <c r="H155" s="7" t="s">
        <v>196</v>
      </c>
      <c r="I155" s="7">
        <v>760.0</v>
      </c>
      <c r="J155" s="8" t="str">
        <f>IFERROR(__xludf.DUMMYFUNCTION("IF(AND(REGEXMATCH($H155,""50( ?['fF]([oO]{2})?[tT]?)?( ?[eE][rR]{2}[oO][rR])"")=FALSE,$H155&lt;&gt;"""",$I155&lt;&gt;""""),HYPERLINK(""https://www.munzee.com/m/""&amp;$H155&amp;""/""&amp;$I155&amp;""/map/?lat=""&amp;$D155&amp;""&amp;lon=""&amp;$E155&amp;""&amp;type=""&amp;$F155&amp;""&amp;name=""&amp;SUBSTITUTE($A155,""#"&amp;""",""%23""),$H155&amp;""/""&amp;$I155),IF($H155&lt;&gt;"""",IF(REGEXMATCH($H155,""50( ?['fF]([oO]{2})?[tT]?)?( ?[eE][rR]{2}[oO][rR])""),HYPERLINK(""https://www.munzee.com/map/?sandbox=1&amp;lat=""&amp;$D155&amp;""&amp;lon=""&amp;$E155&amp;""&amp;name=""&amp;SUBSTITUTE($A155,""#"",""%23""),""SANDBOX"""&amp;"),HYPERLINK(""https://www.munzee.com/m/""&amp;$H155&amp;""/deploys/0/type/""&amp;IFNA(VLOOKUP($G155,IMPORTRANGE(""https://docs.google.com/spreadsheets/d/1DliIGyDywdzxhd4svtjaewR0p9Y5UBTMNMQ2PcXsqss"",""type data!E2:F""),2,FALSE),$F155)&amp;""/"",$H155)),""""))"),"TMac2/760")</f>
        <v>TMac2/760</v>
      </c>
      <c r="K155" s="9" t="b">
        <v>1</v>
      </c>
      <c r="L155" s="9"/>
      <c r="M155" s="10">
        <f t="shared" si="1"/>
        <v>2</v>
      </c>
    </row>
    <row r="156">
      <c r="A156" s="4" t="s">
        <v>266</v>
      </c>
      <c r="B156" s="5">
        <v>13.0</v>
      </c>
      <c r="C156" s="5">
        <v>7.0</v>
      </c>
      <c r="D156" s="6">
        <v>45.5430085949893</v>
      </c>
      <c r="E156" s="6">
        <v>-75.2693920555689</v>
      </c>
      <c r="F156" s="5" t="s">
        <v>14</v>
      </c>
      <c r="G156" s="5" t="s">
        <v>15</v>
      </c>
      <c r="H156" s="7" t="s">
        <v>191</v>
      </c>
      <c r="I156" s="7">
        <v>2921.0</v>
      </c>
      <c r="J156" s="8" t="str">
        <f>IFERROR(__xludf.DUMMYFUNCTION("IF(AND(REGEXMATCH($H156,""50( ?['fF]([oO]{2})?[tT]?)?( ?[eE][rR]{2}[oO][rR])"")=FALSE,$H156&lt;&gt;"""",$I156&lt;&gt;""""),HYPERLINK(""https://www.munzee.com/m/""&amp;$H156&amp;""/""&amp;$I156&amp;""/map/?lat=""&amp;$D156&amp;""&amp;lon=""&amp;$E156&amp;""&amp;type=""&amp;$F156&amp;""&amp;name=""&amp;SUBSTITUTE($A156,""#"&amp;""",""%23""),$H156&amp;""/""&amp;$I156),IF($H156&lt;&gt;"""",IF(REGEXMATCH($H156,""50( ?['fF]([oO]{2})?[tT]?)?( ?[eE][rR]{2}[oO][rR])""),HYPERLINK(""https://www.munzee.com/map/?sandbox=1&amp;lat=""&amp;$D156&amp;""&amp;lon=""&amp;$E156&amp;""&amp;name=""&amp;SUBSTITUTE($A156,""#"",""%23""),""SANDBOX"""&amp;"),HYPERLINK(""https://www.munzee.com/m/""&amp;$H156&amp;""/deploys/0/type/""&amp;IFNA(VLOOKUP($G156,IMPORTRANGE(""https://docs.google.com/spreadsheets/d/1DliIGyDywdzxhd4svtjaewR0p9Y5UBTMNMQ2PcXsqss"",""type data!E2:F""),2,FALSE),$F156)&amp;""/"",$H156)),""""))"),"leesap/2921")</f>
        <v>leesap/2921</v>
      </c>
      <c r="K156" s="9" t="b">
        <v>1</v>
      </c>
      <c r="L156" s="9"/>
      <c r="M156" s="10">
        <f t="shared" si="1"/>
        <v>2</v>
      </c>
    </row>
    <row r="157">
      <c r="A157" s="4" t="s">
        <v>267</v>
      </c>
      <c r="B157" s="5">
        <v>13.0</v>
      </c>
      <c r="C157" s="5">
        <v>8.0</v>
      </c>
      <c r="D157" s="6">
        <v>45.5430085948056</v>
      </c>
      <c r="E157" s="6">
        <v>-75.2691868359107</v>
      </c>
      <c r="F157" s="5" t="s">
        <v>33</v>
      </c>
      <c r="G157" s="5" t="s">
        <v>34</v>
      </c>
      <c r="H157" s="7" t="s">
        <v>168</v>
      </c>
      <c r="I157" s="7">
        <v>4883.0</v>
      </c>
      <c r="J157" s="8" t="str">
        <f>IFERROR(__xludf.DUMMYFUNCTION("IF(AND(REGEXMATCH($H157,""50( ?['fF]([oO]{2})?[tT]?)?( ?[eE][rR]{2}[oO][rR])"")=FALSE,$H157&lt;&gt;"""",$I157&lt;&gt;""""),HYPERLINK(""https://www.munzee.com/m/""&amp;$H157&amp;""/""&amp;$I157&amp;""/map/?lat=""&amp;$D157&amp;""&amp;lon=""&amp;$E157&amp;""&amp;type=""&amp;$F157&amp;""&amp;name=""&amp;SUBSTITUTE($A157,""#"&amp;""",""%23""),$H157&amp;""/""&amp;$I157),IF($H157&lt;&gt;"""",IF(REGEXMATCH($H157,""50( ?['fF]([oO]{2})?[tT]?)?( ?[eE][rR]{2}[oO][rR])""),HYPERLINK(""https://www.munzee.com/map/?sandbox=1&amp;lat=""&amp;$D157&amp;""&amp;lon=""&amp;$E157&amp;""&amp;name=""&amp;SUBSTITUTE($A157,""#"",""%23""),""SANDBOX"""&amp;"),HYPERLINK(""https://www.munzee.com/m/""&amp;$H157&amp;""/deploys/0/type/""&amp;IFNA(VLOOKUP($G157,IMPORTRANGE(""https://docs.google.com/spreadsheets/d/1DliIGyDywdzxhd4svtjaewR0p9Y5UBTMNMQ2PcXsqss"",""type data!E2:F""),2,FALSE),$F157)&amp;""/"",$H157)),""""))"),"ivwarrior/4883")</f>
        <v>ivwarrior/4883</v>
      </c>
      <c r="K157" s="9" t="b">
        <v>1</v>
      </c>
      <c r="L157" s="10"/>
      <c r="M157" s="10">
        <f t="shared" si="1"/>
        <v>3</v>
      </c>
    </row>
    <row r="158">
      <c r="A158" s="4" t="s">
        <v>268</v>
      </c>
      <c r="B158" s="5">
        <v>13.0</v>
      </c>
      <c r="C158" s="5">
        <v>9.0</v>
      </c>
      <c r="D158" s="6">
        <v>45.5430085946219</v>
      </c>
      <c r="E158" s="6">
        <v>-75.2689816162525</v>
      </c>
      <c r="F158" s="5" t="s">
        <v>59</v>
      </c>
      <c r="G158" s="5" t="s">
        <v>60</v>
      </c>
      <c r="H158" s="7" t="s">
        <v>269</v>
      </c>
      <c r="I158" s="7">
        <v>4908.0</v>
      </c>
      <c r="J158" s="8" t="str">
        <f>IFERROR(__xludf.DUMMYFUNCTION("IF(AND(REGEXMATCH($H158,""50( ?['fF]([oO]{2})?[tT]?)?( ?[eE][rR]{2}[oO][rR])"")=FALSE,$H158&lt;&gt;"""",$I158&lt;&gt;""""),HYPERLINK(""https://www.munzee.com/m/""&amp;$H158&amp;""/""&amp;$I158&amp;""/map/?lat=""&amp;$D158&amp;""&amp;lon=""&amp;$E158&amp;""&amp;type=""&amp;$F158&amp;""&amp;name=""&amp;SUBSTITUTE($A158,""#"&amp;""",""%23""),$H158&amp;""/""&amp;$I158),IF($H158&lt;&gt;"""",IF(REGEXMATCH($H158,""50( ?['fF]([oO]{2})?[tT]?)?( ?[eE][rR]{2}[oO][rR])""),HYPERLINK(""https://www.munzee.com/map/?sandbox=1&amp;lat=""&amp;$D158&amp;""&amp;lon=""&amp;$E158&amp;""&amp;name=""&amp;SUBSTITUTE($A158,""#"",""%23""),""SANDBOX"""&amp;"),HYPERLINK(""https://www.munzee.com/m/""&amp;$H158&amp;""/deploys/0/type/""&amp;IFNA(VLOOKUP($G158,IMPORTRANGE(""https://docs.google.com/spreadsheets/d/1DliIGyDywdzxhd4svtjaewR0p9Y5UBTMNMQ2PcXsqss"",""type data!E2:F""),2,FALSE),$F158)&amp;""/"",$H158)),""""))"),"brandikorte/4908")</f>
        <v>brandikorte/4908</v>
      </c>
      <c r="K158" s="9" t="b">
        <v>1</v>
      </c>
      <c r="L158" s="10"/>
      <c r="M158" s="10">
        <f t="shared" si="1"/>
        <v>1</v>
      </c>
    </row>
    <row r="159">
      <c r="A159" s="4" t="s">
        <v>270</v>
      </c>
      <c r="B159" s="5">
        <v>13.0</v>
      </c>
      <c r="C159" s="5">
        <v>10.0</v>
      </c>
      <c r="D159" s="6">
        <v>45.5430085944382</v>
      </c>
      <c r="E159" s="6">
        <v>-75.2687763965943</v>
      </c>
      <c r="F159" s="5" t="s">
        <v>33</v>
      </c>
      <c r="G159" s="5" t="s">
        <v>34</v>
      </c>
      <c r="H159" s="7" t="s">
        <v>250</v>
      </c>
      <c r="I159" s="7">
        <v>3273.0</v>
      </c>
      <c r="J159" s="8" t="str">
        <f>IFERROR(__xludf.DUMMYFUNCTION("IF(AND(REGEXMATCH($H159,""50( ?['fF]([oO]{2})?[tT]?)?( ?[eE][rR]{2}[oO][rR])"")=FALSE,$H159&lt;&gt;"""",$I159&lt;&gt;""""),HYPERLINK(""https://www.munzee.com/m/""&amp;$H159&amp;""/""&amp;$I159&amp;""/map/?lat=""&amp;$D159&amp;""&amp;lon=""&amp;$E159&amp;""&amp;type=""&amp;$F159&amp;""&amp;name=""&amp;SUBSTITUTE($A159,""#"&amp;""",""%23""),$H159&amp;""/""&amp;$I159),IF($H159&lt;&gt;"""",IF(REGEXMATCH($H159,""50( ?['fF]([oO]{2})?[tT]?)?( ?[eE][rR]{2}[oO][rR])""),HYPERLINK(""https://www.munzee.com/map/?sandbox=1&amp;lat=""&amp;$D159&amp;""&amp;lon=""&amp;$E159&amp;""&amp;name=""&amp;SUBSTITUTE($A159,""#"",""%23""),""SANDBOX"""&amp;"),HYPERLINK(""https://www.munzee.com/m/""&amp;$H159&amp;""/deploys/0/type/""&amp;IFNA(VLOOKUP($G159,IMPORTRANGE(""https://docs.google.com/spreadsheets/d/1DliIGyDywdzxhd4svtjaewR0p9Y5UBTMNMQ2PcXsqss"",""type data!E2:F""),2,FALSE),$F159)&amp;""/"",$H159)),""""))"),"lostsole68/3273")</f>
        <v>lostsole68/3273</v>
      </c>
      <c r="K159" s="9" t="b">
        <v>1</v>
      </c>
      <c r="L159" s="9"/>
      <c r="M159" s="10">
        <f t="shared" si="1"/>
        <v>2</v>
      </c>
    </row>
    <row r="160">
      <c r="A160" s="4" t="s">
        <v>271</v>
      </c>
      <c r="B160" s="5">
        <v>13.0</v>
      </c>
      <c r="C160" s="5">
        <v>11.0</v>
      </c>
      <c r="D160" s="6">
        <v>45.5430085942544</v>
      </c>
      <c r="E160" s="6">
        <v>-75.2685711769361</v>
      </c>
      <c r="F160" s="5" t="s">
        <v>14</v>
      </c>
      <c r="G160" s="5" t="s">
        <v>15</v>
      </c>
      <c r="H160" s="7" t="s">
        <v>272</v>
      </c>
      <c r="I160" s="7">
        <v>2329.0</v>
      </c>
      <c r="J160" s="8" t="str">
        <f>IFERROR(__xludf.DUMMYFUNCTION("IF(AND(REGEXMATCH($H160,""50( ?['fF]([oO]{2})?[tT]?)?( ?[eE][rR]{2}[oO][rR])"")=FALSE,$H160&lt;&gt;"""",$I160&lt;&gt;""""),HYPERLINK(""https://www.munzee.com/m/""&amp;$H160&amp;""/""&amp;$I160&amp;""/map/?lat=""&amp;$D160&amp;""&amp;lon=""&amp;$E160&amp;""&amp;type=""&amp;$F160&amp;""&amp;name=""&amp;SUBSTITUTE($A160,""#"&amp;""",""%23""),$H160&amp;""/""&amp;$I160),IF($H160&lt;&gt;"""",IF(REGEXMATCH($H160,""50( ?['fF]([oO]{2})?[tT]?)?( ?[eE][rR]{2}[oO][rR])""),HYPERLINK(""https://www.munzee.com/map/?sandbox=1&amp;lat=""&amp;$D160&amp;""&amp;lon=""&amp;$E160&amp;""&amp;name=""&amp;SUBSTITUTE($A160,""#"",""%23""),""SANDBOX"""&amp;"),HYPERLINK(""https://www.munzee.com/m/""&amp;$H160&amp;""/deploys/0/type/""&amp;IFNA(VLOOKUP($G160,IMPORTRANGE(""https://docs.google.com/spreadsheets/d/1DliIGyDywdzxhd4svtjaewR0p9Y5UBTMNMQ2PcXsqss"",""type data!E2:F""),2,FALSE),$F160)&amp;""/"",$H160)),""""))"),"section42/2329")</f>
        <v>section42/2329</v>
      </c>
      <c r="K160" s="9" t="b">
        <v>1</v>
      </c>
      <c r="L160" s="9"/>
      <c r="M160" s="10">
        <f t="shared" si="1"/>
        <v>1</v>
      </c>
    </row>
    <row r="161">
      <c r="A161" s="4" t="s">
        <v>273</v>
      </c>
      <c r="B161" s="5">
        <v>14.0</v>
      </c>
      <c r="C161" s="5">
        <v>8.0</v>
      </c>
      <c r="D161" s="6">
        <v>45.5428648643602</v>
      </c>
      <c r="E161" s="6">
        <v>-75.2691868506012</v>
      </c>
      <c r="F161" s="5" t="s">
        <v>14</v>
      </c>
      <c r="G161" s="5" t="s">
        <v>15</v>
      </c>
      <c r="H161" s="7" t="s">
        <v>274</v>
      </c>
      <c r="I161" s="7">
        <v>519.0</v>
      </c>
      <c r="J161" s="8" t="str">
        <f>IFERROR(__xludf.DUMMYFUNCTION("IF(AND(REGEXMATCH($H161,""50( ?['fF]([oO]{2})?[tT]?)?( ?[eE][rR]{2}[oO][rR])"")=FALSE,$H161&lt;&gt;"""",$I161&lt;&gt;""""),HYPERLINK(""https://www.munzee.com/m/""&amp;$H161&amp;""/""&amp;$I161&amp;""/map/?lat=""&amp;$D161&amp;""&amp;lon=""&amp;$E161&amp;""&amp;type=""&amp;$F161&amp;""&amp;name=""&amp;SUBSTITUTE($A161,""#"&amp;""",""%23""),$H161&amp;""/""&amp;$I161),IF($H161&lt;&gt;"""",IF(REGEXMATCH($H161,""50( ?['fF]([oO]{2})?[tT]?)?( ?[eE][rR]{2}[oO][rR])""),HYPERLINK(""https://www.munzee.com/map/?sandbox=1&amp;lat=""&amp;$D161&amp;""&amp;lon=""&amp;$E161&amp;""&amp;name=""&amp;SUBSTITUTE($A161,""#"",""%23""),""SANDBOX"""&amp;"),HYPERLINK(""https://www.munzee.com/m/""&amp;$H161&amp;""/deploys/0/type/""&amp;IFNA(VLOOKUP($G161,IMPORTRANGE(""https://docs.google.com/spreadsheets/d/1DliIGyDywdzxhd4svtjaewR0p9Y5UBTMNMQ2PcXsqss"",""type data!E2:F""),2,FALSE),$F161)&amp;""/"",$H161)),""""))"),"TSwag/519")</f>
        <v>TSwag/519</v>
      </c>
      <c r="K161" s="9" t="b">
        <v>1</v>
      </c>
      <c r="L161" s="10"/>
      <c r="M161" s="10">
        <f t="shared" si="1"/>
        <v>1</v>
      </c>
    </row>
    <row r="162">
      <c r="A162" s="4" t="s">
        <v>275</v>
      </c>
      <c r="B162" s="5">
        <v>14.0</v>
      </c>
      <c r="C162" s="5">
        <v>9.0</v>
      </c>
      <c r="D162" s="6">
        <v>45.5428648641765</v>
      </c>
      <c r="E162" s="6">
        <v>-75.2689816314677</v>
      </c>
      <c r="F162" s="5" t="s">
        <v>33</v>
      </c>
      <c r="G162" s="5" t="s">
        <v>34</v>
      </c>
      <c r="H162" s="7" t="s">
        <v>252</v>
      </c>
      <c r="I162" s="7">
        <v>2096.0</v>
      </c>
      <c r="J162" s="8" t="str">
        <f>IFERROR(__xludf.DUMMYFUNCTION("IF(AND(REGEXMATCH($H162,""50( ?['fF]([oO]{2})?[tT]?)?( ?[eE][rR]{2}[oO][rR])"")=FALSE,$H162&lt;&gt;"""",$I162&lt;&gt;""""),HYPERLINK(""https://www.munzee.com/m/""&amp;$H162&amp;""/""&amp;$I162&amp;""/map/?lat=""&amp;$D162&amp;""&amp;lon=""&amp;$E162&amp;""&amp;type=""&amp;$F162&amp;""&amp;name=""&amp;SUBSTITUTE($A162,""#"&amp;""",""%23""),$H162&amp;""/""&amp;$I162),IF($H162&lt;&gt;"""",IF(REGEXMATCH($H162,""50( ?['fF]([oO]{2})?[tT]?)?( ?[eE][rR]{2}[oO][rR])""),HYPERLINK(""https://www.munzee.com/map/?sandbox=1&amp;lat=""&amp;$D162&amp;""&amp;lon=""&amp;$E162&amp;""&amp;name=""&amp;SUBSTITUTE($A162,""#"",""%23""),""SANDBOX"""&amp;"),HYPERLINK(""https://www.munzee.com/m/""&amp;$H162&amp;""/deploys/0/type/""&amp;IFNA(VLOOKUP($G162,IMPORTRANGE(""https://docs.google.com/spreadsheets/d/1DliIGyDywdzxhd4svtjaewR0p9Y5UBTMNMQ2PcXsqss"",""type data!E2:F""),2,FALSE),$F162)&amp;""/"",$H162)),""""))"),"EmeraldAngel/2096")</f>
        <v>EmeraldAngel/2096</v>
      </c>
      <c r="K162" s="9" t="b">
        <v>1</v>
      </c>
      <c r="L162" s="10"/>
      <c r="M162" s="10">
        <f t="shared" si="1"/>
        <v>3</v>
      </c>
    </row>
    <row r="163">
      <c r="A163" s="4" t="s">
        <v>276</v>
      </c>
      <c r="B163" s="5">
        <v>14.0</v>
      </c>
      <c r="C163" s="5">
        <v>10.0</v>
      </c>
      <c r="D163" s="6">
        <v>45.5428648639928</v>
      </c>
      <c r="E163" s="6">
        <v>-75.2687764123342</v>
      </c>
      <c r="F163" s="5" t="s">
        <v>14</v>
      </c>
      <c r="G163" s="5" t="s">
        <v>15</v>
      </c>
      <c r="H163" s="7" t="s">
        <v>277</v>
      </c>
      <c r="I163" s="7">
        <v>1491.0</v>
      </c>
      <c r="J163" s="8" t="str">
        <f>IFERROR(__xludf.DUMMYFUNCTION("IF(AND(REGEXMATCH($H163,""50( ?['fF]([oO]{2})?[tT]?)?( ?[eE][rR]{2}[oO][rR])"")=FALSE,$H163&lt;&gt;"""",$I163&lt;&gt;""""),HYPERLINK(""https://www.munzee.com/m/""&amp;$H163&amp;""/""&amp;$I163&amp;""/map/?lat=""&amp;$D163&amp;""&amp;lon=""&amp;$E163&amp;""&amp;type=""&amp;$F163&amp;""&amp;name=""&amp;SUBSTITUTE($A163,""#"&amp;""",""%23""),$H163&amp;""/""&amp;$I163),IF($H163&lt;&gt;"""",IF(REGEXMATCH($H163,""50( ?['fF]([oO]{2})?[tT]?)?( ?[eE][rR]{2}[oO][rR])""),HYPERLINK(""https://www.munzee.com/map/?sandbox=1&amp;lat=""&amp;$D163&amp;""&amp;lon=""&amp;$E163&amp;""&amp;name=""&amp;SUBSTITUTE($A163,""#"",""%23""),""SANDBOX"""&amp;"),HYPERLINK(""https://www.munzee.com/m/""&amp;$H163&amp;""/deploys/0/type/""&amp;IFNA(VLOOKUP($G163,IMPORTRANGE(""https://docs.google.com/spreadsheets/d/1DliIGyDywdzxhd4svtjaewR0p9Y5UBTMNMQ2PcXsqss"",""type data!E2:F""),2,FALSE),$F163)&amp;""/"",$H163)),""""))"),"CambridgeHannons/1491")</f>
        <v>CambridgeHannons/1491</v>
      </c>
      <c r="K163" s="9" t="b">
        <v>1</v>
      </c>
      <c r="L163" s="10"/>
      <c r="M163" s="10">
        <f t="shared" si="1"/>
        <v>1</v>
      </c>
    </row>
    <row r="164">
      <c r="A164" s="4" t="s">
        <v>278</v>
      </c>
      <c r="B164" s="5">
        <v>15.0</v>
      </c>
      <c r="C164" s="5">
        <v>9.0</v>
      </c>
      <c r="D164" s="6">
        <v>45.542721133731</v>
      </c>
      <c r="E164" s="6">
        <v>-75.2689816466822</v>
      </c>
      <c r="F164" s="5" t="s">
        <v>14</v>
      </c>
      <c r="G164" s="5" t="s">
        <v>15</v>
      </c>
      <c r="H164" s="7" t="s">
        <v>41</v>
      </c>
      <c r="I164" s="7">
        <v>2247.0</v>
      </c>
      <c r="J164" s="8" t="str">
        <f>IFERROR(__xludf.DUMMYFUNCTION("IF(AND(REGEXMATCH($H164,""50( ?['fF]([oO]{2})?[tT]?)?( ?[eE][rR]{2}[oO][rR])"")=FALSE,$H164&lt;&gt;"""",$I164&lt;&gt;""""),HYPERLINK(""https://www.munzee.com/m/""&amp;$H164&amp;""/""&amp;$I164&amp;""/map/?lat=""&amp;$D164&amp;""&amp;lon=""&amp;$E164&amp;""&amp;type=""&amp;$F164&amp;""&amp;name=""&amp;SUBSTITUTE($A164,""#"&amp;""",""%23""),$H164&amp;""/""&amp;$I164),IF($H164&lt;&gt;"""",IF(REGEXMATCH($H164,""50( ?['fF]([oO]{2})?[tT]?)?( ?[eE][rR]{2}[oO][rR])""),HYPERLINK(""https://www.munzee.com/map/?sandbox=1&amp;lat=""&amp;$D164&amp;""&amp;lon=""&amp;$E164&amp;""&amp;name=""&amp;SUBSTITUTE($A164,""#"",""%23""),""SANDBOX"""&amp;"),HYPERLINK(""https://www.munzee.com/m/""&amp;$H164&amp;""/deploys/0/type/""&amp;IFNA(VLOOKUP($G164,IMPORTRANGE(""https://docs.google.com/spreadsheets/d/1DliIGyDywdzxhd4svtjaewR0p9Y5UBTMNMQ2PcXsqss"",""type data!E2:F""),2,FALSE),$F164)&amp;""/"",$H164)),""""))"),"technical13/2247")</f>
        <v>technical13/2247</v>
      </c>
      <c r="K164" s="9" t="b">
        <v>1</v>
      </c>
      <c r="L164" s="9"/>
      <c r="M164" s="10">
        <f t="shared" si="1"/>
        <v>10</v>
      </c>
    </row>
  </sheetData>
  <customSheetViews>
    <customSheetView guid="{5FC39EA9-B3DD-434F-9F93-B62D375A1C9F}" filter="1" showAutoFilter="1">
      <autoFilter ref="$A$1:$M$164">
        <filterColumn colId="7">
          <filters>
            <filter val="claireth"/>
            <filter val="Reart"/>
            <filter val="cvdchiller"/>
            <filter val="DogSoft"/>
            <filter val="lison55"/>
            <filter val="jeffeth"/>
            <filter val="Heluna"/>
            <filter val="Majsan"/>
            <filter val="Syrtene"/>
            <filter val="rgforsythe"/>
            <filter val="Promethium"/>
            <filter val="PelicanRouge"/>
            <filter val="klc1960"/>
            <filter val="NoahCache"/>
            <filter val="TheBitBandit"/>
            <filter val="3Prettys"/>
            <filter val="ivwarrior"/>
            <filter val="jsvetlik"/>
            <filter val="mossieman"/>
            <filter val="J1Huisman"/>
            <filter val="RoninsGal"/>
            <filter val="Neta"/>
            <filter val="DarthMaulMax"/>
            <filter val="EagleDadandXenia"/>
            <filter val="nyisutter"/>
            <filter val="section42"/>
            <filter val="Cidinho"/>
            <filter val="destolkjes4ever"/>
            <filter val="denali0407"/>
            <filter val="CambridgeHannons"/>
            <filter val="halizwein"/>
            <filter val="piesciuk"/>
            <filter val="ohiolady"/>
            <filter val="geckofreund"/>
            <filter val="Cinnamons"/>
            <filter val="barefootguru"/>
            <filter val="Smith2190"/>
            <filter val="TSwag"/>
            <filter val="TFAL"/>
            <filter val="Benotje"/>
            <filter val="ChudleighTraveller"/>
            <filter val="MarkCase"/>
            <filter val="cachesaurous"/>
            <filter val="Quint71"/>
            <filter val="WinterCheetah"/>
            <filter val="mobility"/>
            <filter val="kiitokurre"/>
            <filter val="Derlame"/>
            <filter val="Munzeejim19"/>
            <filter val="Justforfun33"/>
            <filter val="Centern"/>
            <filter val="SharSv824"/>
            <filter val="janzattic"/>
            <filter val="Buckeyecacher111"/>
            <filter val="92Supercoupe"/>
            <filter val="flipperandco"/>
            <filter val="EmeraldAngel"/>
            <filter val="munzeeprof"/>
            <filter val="Dicataldo2019"/>
            <filter val="bambinacattiva"/>
            <filter val="SJClyde"/>
            <filter val="Kyrandia"/>
            <filter val="Pinkeltje"/>
            <filter val="lostsole68"/>
            <filter val="humbird7"/>
            <filter val="mars00xj"/>
            <filter val="taska1981"/>
            <filter val="DolphinJo"/>
            <filter val="brandikorte"/>
            <filter val="c-bn"/>
            <filter val="Debolicious"/>
            <filter val="nbtzyy2"/>
            <filter val="leesap"/>
            <filter val="highmaintenance"/>
            <filter val="IggiePiggie"/>
            <filter val="lynnslilypad"/>
            <filter val="SzymcioT"/>
            <filter val="GolemCZ"/>
            <filter val="MaryJaneKitty"/>
            <filter val="rayannchick"/>
            <filter val="Barrel"/>
            <filter val="BonnieB1"/>
            <filter val="MeanderingMonkeys"/>
            <filter val="TMac2"/>
            <filter val="dlovegrove"/>
            <filter val="jldh"/>
            <filter val="technical13"/>
            <filter val="kwd"/>
            <filter val="WVKiwi"/>
            <filter val="Lihi80"/>
          </filters>
        </filterColumn>
        <filterColumn colId="10">
          <filters/>
        </filterColumn>
      </autoFilter>
    </customSheetView>
  </customSheetViews>
  <conditionalFormatting sqref="A2:I164">
    <cfRule type="expression" dxfId="0" priority="1">
      <formula>IF(AND(OR($H2="",$I2=""),$K2=TRUE),TRUE,FALSE)</formula>
    </cfRule>
  </conditionalFormatting>
  <conditionalFormatting sqref="A2:K164">
    <cfRule type="expression" dxfId="1" priority="2">
      <formula>IF(AND($H2&lt;&gt;"",$I2&lt;&gt;"",$K2=TRUE),TRUE,FALSE)</formula>
    </cfRule>
  </conditionalFormatting>
  <conditionalFormatting sqref="A2:G164">
    <cfRule type="expression" dxfId="2" priority="3">
      <formula>IF($G2="poi virtual garden",TRUE,FALSE)</formula>
    </cfRule>
  </conditionalFormatting>
  <conditionalFormatting sqref="A2:F164">
    <cfRule type="expression" dxfId="3" priority="4">
      <formula>IF($G2="timberwolf",TRUE,FALSE)</formula>
    </cfRule>
  </conditionalFormatting>
  <conditionalFormatting sqref="A2:F164">
    <cfRule type="expression" dxfId="4" priority="5">
      <formula>IF($G2="silver",TRUE,FALSE)</formula>
    </cfRule>
  </conditionalFormatting>
  <conditionalFormatting sqref="A2:F164">
    <cfRule type="expression" dxfId="5" priority="6">
      <formula>IF($G2="gray",TRUE,FALSE)</formula>
    </cfRule>
  </conditionalFormatting>
  <conditionalFormatting sqref="A2:F164">
    <cfRule type="expression" dxfId="6" priority="7">
      <formula>IF($G2="black",TRUE,FALSE)</formula>
    </cfRule>
  </conditionalFormatting>
  <conditionalFormatting sqref="A2:F164">
    <cfRule type="expression" dxfId="7" priority="8">
      <formula>IF($G2="orchid",TRUE,FALSE)</formula>
    </cfRule>
  </conditionalFormatting>
  <conditionalFormatting sqref="A2:F164">
    <cfRule type="expression" dxfId="8" priority="9">
      <formula>IF($G2="wisteria",TRUE,FALSE)</formula>
    </cfRule>
  </conditionalFormatting>
  <conditionalFormatting sqref="A2:F164">
    <cfRule type="expression" dxfId="9" priority="10">
      <formula>IF($G2="purple mountains majesty",TRUE,FALSE)</formula>
    </cfRule>
  </conditionalFormatting>
  <conditionalFormatting sqref="A2:F164">
    <cfRule type="expression" dxfId="10" priority="11">
      <formula>IF($G2="violet",TRUE,FALSE)</formula>
    </cfRule>
  </conditionalFormatting>
  <conditionalFormatting sqref="A2:F164">
    <cfRule type="expression" dxfId="11" priority="12">
      <formula>IF($G2="plum",TRUE,FALSE)</formula>
    </cfRule>
  </conditionalFormatting>
  <conditionalFormatting sqref="A2:F164">
    <cfRule type="expression" dxfId="12" priority="13">
      <formula>IF($G2="blue violet",TRUE,FALSE)</formula>
    </cfRule>
  </conditionalFormatting>
  <conditionalFormatting sqref="A2:F164">
    <cfRule type="expression" dxfId="13" priority="14">
      <formula>IF($G2="indigo",TRUE,FALSE)</formula>
    </cfRule>
  </conditionalFormatting>
  <conditionalFormatting sqref="A2:F164">
    <cfRule type="expression" dxfId="14" priority="15">
      <formula>IF($G2="blue",TRUE,FALSE)</formula>
    </cfRule>
  </conditionalFormatting>
  <conditionalFormatting sqref="A2:F164">
    <cfRule type="expression" dxfId="15" priority="16">
      <formula>IF($G2="cadet blue",TRUE,FALSE)</formula>
    </cfRule>
  </conditionalFormatting>
  <conditionalFormatting sqref="A2:F164">
    <cfRule type="expression" dxfId="16" priority="17">
      <formula>IF($G2="periwinkle",TRUE,FALSE)</formula>
    </cfRule>
  </conditionalFormatting>
  <conditionalFormatting sqref="A2:F164">
    <cfRule type="expression" dxfId="17" priority="18">
      <formula>IF($G2="cornflower",TRUE,FALSE)</formula>
    </cfRule>
  </conditionalFormatting>
  <conditionalFormatting sqref="A2:F164">
    <cfRule type="expression" dxfId="18" priority="19">
      <formula>IF($G2="blue green",TRUE,FALSE)</formula>
    </cfRule>
  </conditionalFormatting>
  <conditionalFormatting sqref="A2:F164">
    <cfRule type="expression" dxfId="19" priority="20">
      <formula>IF($G2="pacific blue",TRUE,FALSE)</formula>
    </cfRule>
  </conditionalFormatting>
  <conditionalFormatting sqref="A2:F164">
    <cfRule type="expression" dxfId="20" priority="21">
      <formula>IF($G2="cerulean",TRUE,FALSE)</formula>
    </cfRule>
  </conditionalFormatting>
  <conditionalFormatting sqref="A2:F164">
    <cfRule type="expression" dxfId="21" priority="22">
      <formula>IF($G2="robin egg blue",TRUE,FALSE)</formula>
    </cfRule>
  </conditionalFormatting>
  <conditionalFormatting sqref="A2:F164">
    <cfRule type="expression" dxfId="22" priority="23">
      <formula>IF($G2="turquoise blue",TRUE,FALSE)</formula>
    </cfRule>
  </conditionalFormatting>
  <conditionalFormatting sqref="A2:F164">
    <cfRule type="expression" dxfId="23" priority="24">
      <formula>IF($G2="sea green",TRUE,FALSE)</formula>
    </cfRule>
  </conditionalFormatting>
  <conditionalFormatting sqref="A2:F164">
    <cfRule type="expression" dxfId="24" priority="25">
      <formula>IF($G2="granny smith apple",TRUE,FALSE)</formula>
    </cfRule>
  </conditionalFormatting>
  <conditionalFormatting sqref="A2:F164">
    <cfRule type="expression" dxfId="25" priority="26">
      <formula>IF($G2="green",TRUE,FALSE)</formula>
    </cfRule>
  </conditionalFormatting>
  <conditionalFormatting sqref="A2:F164">
    <cfRule type="expression" dxfId="25" priority="27">
      <formula>IF($G2="green",TRUE,FALSE)</formula>
    </cfRule>
  </conditionalFormatting>
  <conditionalFormatting sqref="A2:F164">
    <cfRule type="expression" dxfId="26" priority="28">
      <formula>IF($G2="forest green",TRUE,FALSE)</formula>
    </cfRule>
  </conditionalFormatting>
  <conditionalFormatting sqref="A2:F164">
    <cfRule type="expression" dxfId="27" priority="29">
      <formula>IF($G2="asparagus",TRUE,FALSE)</formula>
    </cfRule>
  </conditionalFormatting>
  <conditionalFormatting sqref="A2:F164">
    <cfRule type="expression" dxfId="28" priority="30">
      <formula>IF($G2="olive green",TRUE,FALSE)</formula>
    </cfRule>
  </conditionalFormatting>
  <conditionalFormatting sqref="A2:F164">
    <cfRule type="expression" dxfId="29" priority="31">
      <formula>IF($G2="yellow green",TRUE,FALSE)</formula>
    </cfRule>
  </conditionalFormatting>
  <conditionalFormatting sqref="A2:F164">
    <cfRule type="expression" dxfId="30" priority="32">
      <formula>IF($G2="green yellow",TRUE,FALSE)</formula>
    </cfRule>
  </conditionalFormatting>
  <conditionalFormatting sqref="A2:F164">
    <cfRule type="expression" dxfId="31" priority="33">
      <formula>IF($G2="spring green",TRUE,FALSE)</formula>
    </cfRule>
  </conditionalFormatting>
  <conditionalFormatting sqref="A2:F164">
    <cfRule type="expression" dxfId="32" priority="34">
      <formula>IF($G2="gold",TRUE,FALSE)</formula>
    </cfRule>
  </conditionalFormatting>
  <conditionalFormatting sqref="A2:F164">
    <cfRule type="expression" dxfId="33" priority="35">
      <formula>IF($G2="yellow",TRUE,FALSE)</formula>
    </cfRule>
  </conditionalFormatting>
  <conditionalFormatting sqref="A2:F164">
    <cfRule type="expression" dxfId="34" priority="36">
      <formula>IF($G2="goldenrod",TRUE,FALSE)</formula>
    </cfRule>
  </conditionalFormatting>
  <conditionalFormatting sqref="A2:F164">
    <cfRule type="expression" dxfId="35" priority="37">
      <formula>IF($G2="dandelion",TRUE,FALSE)</formula>
    </cfRule>
  </conditionalFormatting>
  <conditionalFormatting sqref="A2:F164">
    <cfRule type="expression" dxfId="36" priority="38">
      <formula>IF($G2="burnt orange",TRUE,FALSE)</formula>
    </cfRule>
  </conditionalFormatting>
  <conditionalFormatting sqref="A2:F164">
    <cfRule type="expression" dxfId="37" priority="39">
      <formula>IF($G2="orange",TRUE,FALSE)</formula>
    </cfRule>
  </conditionalFormatting>
  <conditionalFormatting sqref="A2:F164">
    <cfRule type="expression" dxfId="38" priority="40">
      <formula>IF($G2="melon",TRUE,FALSE)</formula>
    </cfRule>
  </conditionalFormatting>
  <conditionalFormatting sqref="A2:F164">
    <cfRule type="expression" dxfId="39" priority="41">
      <formula>IF($G2="pink",TRUE,FALSE)</formula>
    </cfRule>
  </conditionalFormatting>
  <conditionalFormatting sqref="A2:F164">
    <cfRule type="expression" dxfId="40" priority="42">
      <formula>IF($G2="carnation pink",TRUE,FALSE)</formula>
    </cfRule>
  </conditionalFormatting>
  <conditionalFormatting sqref="A2:F164">
    <cfRule type="expression" dxfId="41" priority="43">
      <formula>IF($G2="mauvelous",TRUE,FALSE)</formula>
    </cfRule>
  </conditionalFormatting>
  <conditionalFormatting sqref="A2:F164">
    <cfRule type="expression" dxfId="42" priority="44">
      <formula>IF($G2="salmon",TRUE,FALSE)</formula>
    </cfRule>
  </conditionalFormatting>
  <conditionalFormatting sqref="A2:F164">
    <cfRule type="expression" dxfId="43" priority="45">
      <formula>IF($G2="tickle me pink",TRUE,FALSE)</formula>
    </cfRule>
  </conditionalFormatting>
  <conditionalFormatting sqref="A2:F164">
    <cfRule type="expression" dxfId="44" priority="46">
      <formula>IF($G2="magenta",TRUE,FALSE)</formula>
    </cfRule>
  </conditionalFormatting>
  <conditionalFormatting sqref="A2:F164">
    <cfRule type="expression" dxfId="45" priority="47">
      <formula>IF($G2="wild strawberry",TRUE,FALSE)</formula>
    </cfRule>
  </conditionalFormatting>
  <conditionalFormatting sqref="A2:F164">
    <cfRule type="expression" dxfId="46" priority="48">
      <formula>IF($G2="violet red",TRUE,FALSE)</formula>
    </cfRule>
  </conditionalFormatting>
  <conditionalFormatting sqref="A2:F164">
    <cfRule type="expression" dxfId="47" priority="49">
      <formula>IF($G2="red violet",TRUE,FALSE)</formula>
    </cfRule>
  </conditionalFormatting>
  <conditionalFormatting sqref="A2:F164">
    <cfRule type="expression" dxfId="48" priority="50">
      <formula>IF($G2="apricot",TRUE,FALSE)</formula>
    </cfRule>
  </conditionalFormatting>
  <conditionalFormatting sqref="A2:F164">
    <cfRule type="expression" dxfId="49" priority="51">
      <formula>IF($G2="peach",TRUE,FALSE)</formula>
    </cfRule>
  </conditionalFormatting>
  <conditionalFormatting sqref="A2:F164">
    <cfRule type="expression" dxfId="50" priority="52">
      <formula>IF($G2="macaroni and cheese",TRUE,FALSE)</formula>
    </cfRule>
  </conditionalFormatting>
  <conditionalFormatting sqref="A2:F164">
    <cfRule type="expression" dxfId="51" priority="53">
      <formula>IF($G2="tan",TRUE,FALSE)</formula>
    </cfRule>
  </conditionalFormatting>
  <conditionalFormatting sqref="A2:F164">
    <cfRule type="expression" dxfId="52" priority="54">
      <formula>IF($G2="burnt sienna",TRUE,FALSE)</formula>
    </cfRule>
  </conditionalFormatting>
  <conditionalFormatting sqref="A2:F164">
    <cfRule type="expression" dxfId="53" priority="55">
      <formula>IF($G2="bittersweet",TRUE,FALSE)</formula>
    </cfRule>
  </conditionalFormatting>
  <conditionalFormatting sqref="A2:F164">
    <cfRule type="expression" dxfId="54" priority="56">
      <formula>IF($G2="red orange",TRUE,FALSE)</formula>
    </cfRule>
  </conditionalFormatting>
  <conditionalFormatting sqref="A2:F164">
    <cfRule type="expression" dxfId="55" priority="57">
      <formula>IF($G2="scarlet",TRUE,FALSE)</formula>
    </cfRule>
  </conditionalFormatting>
  <conditionalFormatting sqref="A2:F164">
    <cfRule type="expression" dxfId="56" priority="58">
      <formula>IF($G2="red",TRUE,FALSE)</formula>
    </cfRule>
  </conditionalFormatting>
  <conditionalFormatting sqref="A2:F164">
    <cfRule type="expression" dxfId="57" priority="59">
      <formula>IF($G2="brick red",TRUE,FALSE)</formula>
    </cfRule>
  </conditionalFormatting>
  <conditionalFormatting sqref="A2:F164">
    <cfRule type="expression" dxfId="58" priority="60">
      <formula>IF($G2="mahogany",TRUE,FALSE)</formula>
    </cfRule>
  </conditionalFormatting>
  <conditionalFormatting sqref="A2:F164">
    <cfRule type="expression" dxfId="59" priority="61">
      <formula>IF($G2="chestnut",TRUE,FALSE)</formula>
    </cfRule>
  </conditionalFormatting>
  <conditionalFormatting sqref="A2:F164">
    <cfRule type="expression" dxfId="60" priority="62">
      <formula>IF($G2="tumbleweed",TRUE,FALSE)</formula>
    </cfRule>
  </conditionalFormatting>
  <conditionalFormatting sqref="A2:F164">
    <cfRule type="expression" dxfId="61" priority="63">
      <formula>IF($G2="raw sienna",TRUE,FALSE)</formula>
    </cfRule>
  </conditionalFormatting>
  <conditionalFormatting sqref="A2:F164">
    <cfRule type="expression" dxfId="62" priority="64">
      <formula>IF($G2="brown",TRUE,FALSE)</formula>
    </cfRule>
  </conditionalFormatting>
  <conditionalFormatting sqref="A2:F164">
    <cfRule type="expression" dxfId="63" priority="65">
      <formula>IF($G2="carrot",TRUE,FALSE)</formula>
    </cfRule>
  </conditionalFormatting>
  <conditionalFormatting sqref="A2:F164">
    <cfRule type="expression" dxfId="64" priority="66">
      <formula>IF($G2="peas",TRUE,FALSE)</formula>
    </cfRule>
  </conditionalFormatting>
  <conditionalFormatting sqref="A2:F164">
    <cfRule type="expression" dxfId="65" priority="67">
      <formula>IF($G2="championshiphorse",TRUE,FALSE)</formula>
    </cfRule>
  </conditionalFormatting>
  <conditionalFormatting sqref="A2:F164">
    <cfRule type="expression" dxfId="66" priority="68">
      <formula>IF($G2="eggs",TRUE,FALSE)</formula>
    </cfRule>
  </conditionalFormatting>
  <conditionalFormatting sqref="A2:F164">
    <cfRule type="expression" dxfId="67" priority="69">
      <formula>IF($G2="family",TRUE,FALSE)</formula>
    </cfRule>
  </conditionalFormatting>
  <conditionalFormatting sqref="A2:F164">
    <cfRule type="expression" dxfId="68" priority="70">
      <formula>IF($G2="field",TRUE,FALSE)</formula>
    </cfRule>
  </conditionalFormatting>
  <conditionalFormatting sqref="H2:J164 L2:L164">
    <cfRule type="expression" dxfId="69" priority="71">
      <formula>IF(AND($H2&lt;&gt;"",$I2&lt;&gt;"",$K2=FALSE),TRUE,FALSE)</formula>
    </cfRule>
  </conditionalFormatting>
  <conditionalFormatting sqref="H2:J164 L2:L164">
    <cfRule type="expression" dxfId="70" priority="72">
      <formula>IF(AND($H2&lt;&gt;"",$I2="",$K2=FALSE),TRUE,FALSE)</formula>
    </cfRule>
  </conditionalFormatting>
  <conditionalFormatting sqref="A2:F164">
    <cfRule type="expression" dxfId="71" priority="73">
      <formula>IF($G2="onyx",TRUE,FALSE)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3" width="15.75"/>
    <col customWidth="1" min="4" max="4" width="18.88"/>
    <col customWidth="1" min="5" max="8" width="15.75"/>
  </cols>
  <sheetData>
    <row r="1" hidden="1">
      <c r="A1" s="4" t="s">
        <v>279</v>
      </c>
      <c r="B1" s="24" t="s">
        <v>280</v>
      </c>
      <c r="D1" s="25">
        <v>30.0</v>
      </c>
      <c r="F1" s="18"/>
      <c r="G1" s="18"/>
      <c r="H1" s="18"/>
    </row>
    <row r="2" hidden="1">
      <c r="A2" s="4" t="s">
        <v>279</v>
      </c>
      <c r="B2" s="24" t="s">
        <v>281</v>
      </c>
      <c r="D2" s="26" t="s">
        <v>282</v>
      </c>
      <c r="F2" s="18"/>
      <c r="G2" s="18"/>
      <c r="H2" s="18"/>
    </row>
    <row r="3" hidden="1">
      <c r="A3" s="4" t="s">
        <v>279</v>
      </c>
      <c r="B3" s="24" t="s">
        <v>283</v>
      </c>
      <c r="D3" s="27" t="s">
        <v>284</v>
      </c>
      <c r="F3" s="18"/>
      <c r="G3" s="18"/>
      <c r="H3" s="18"/>
    </row>
    <row r="4">
      <c r="A4" s="28" t="s">
        <v>285</v>
      </c>
    </row>
    <row r="6">
      <c r="A6" s="29" t="str">
        <f>HYPERLINK($D$2,"Coordination Chat")</f>
        <v>Coordination Chat</v>
      </c>
      <c r="B6" s="29" t="str">
        <f>HYPERLINK($D$3,"Map Link")</f>
        <v>Map Link</v>
      </c>
      <c r="C6" s="18"/>
      <c r="D6" s="30" t="s">
        <v>286</v>
      </c>
      <c r="E6" s="31">
        <f>SUM($E$8:$E109)</f>
        <v>163</v>
      </c>
      <c r="F6" s="31">
        <f>SUM($F$8:$F109)</f>
        <v>163</v>
      </c>
      <c r="G6" s="31">
        <f>SUM($G$8:$G109)</f>
        <v>0</v>
      </c>
      <c r="H6" s="32">
        <f>IFERROR(F6/E6,"")</f>
        <v>1</v>
      </c>
    </row>
    <row r="7">
      <c r="A7" s="33" t="s">
        <v>287</v>
      </c>
      <c r="D7" s="34" t="s">
        <v>288</v>
      </c>
      <c r="E7" s="35" t="s">
        <v>289</v>
      </c>
      <c r="F7" s="35" t="s">
        <v>12</v>
      </c>
      <c r="G7" s="35" t="s">
        <v>290</v>
      </c>
      <c r="H7" s="35" t="s">
        <v>291</v>
      </c>
    </row>
    <row r="8">
      <c r="D8" s="18" t="str">
        <f>IFERROR(__xludf.DUMMYFUNCTION("UNIQUE(Heart!$G2:G109)"),"onyx")</f>
        <v>onyx</v>
      </c>
      <c r="E8" s="18">
        <f>IF($D8="","",COUNTIF(Heart!$G$2:$G109, $D8))</f>
        <v>38</v>
      </c>
      <c r="F8" s="18">
        <f t="shared" ref="F8:F108" si="1">IF($D8="","",E8-G8)</f>
        <v>38</v>
      </c>
      <c r="G8" s="18">
        <f>IF($D8="","",COUNTIFS(Heart!$H$2:$H109,"",Heart!$G$2:$G109,$D8,Heart!$K$2:$K109,FALSE))</f>
        <v>0</v>
      </c>
      <c r="H8" s="36">
        <f t="shared" ref="H8:H108" si="2">IF($D8="","",F8/E8)</f>
        <v>1</v>
      </c>
    </row>
    <row r="9">
      <c r="D9" s="18" t="str">
        <f>IFERROR(__xludf.DUMMYFUNCTION("""COMPUTED_VALUE"""),"red")</f>
        <v>red</v>
      </c>
      <c r="E9" s="18">
        <f>IF($D9="","",COUNTIF(Heart!$G$3:$G109, $D9))</f>
        <v>60</v>
      </c>
      <c r="F9" s="18">
        <f t="shared" si="1"/>
        <v>60</v>
      </c>
      <c r="G9" s="18">
        <f>IF($D9="","",COUNTIFS(Heart!$H$2:$H109,"",Heart!$G$2:$G109,$D9,Heart!$K$2:$K109,FALSE))</f>
        <v>0</v>
      </c>
      <c r="H9" s="36">
        <f t="shared" si="2"/>
        <v>1</v>
      </c>
    </row>
    <row r="10">
      <c r="A10" s="4" t="s">
        <v>292</v>
      </c>
      <c r="D10" s="18" t="str">
        <f>IFERROR(__xludf.DUMMYFUNCTION("""COMPUTED_VALUE"""),"tickle me pink")</f>
        <v>tickle me pink</v>
      </c>
      <c r="E10" s="18">
        <f>IF($D10="","",COUNTIF(Heart!$G$3:$G109, $D10))</f>
        <v>30</v>
      </c>
      <c r="F10" s="18">
        <f t="shared" si="1"/>
        <v>30</v>
      </c>
      <c r="G10" s="18">
        <f>IF($D10="","",COUNTIFS(Heart!$H$2:$H109,"",Heart!$G$2:$G109,$D10,Heart!$K$2:$K109,FALSE))</f>
        <v>0</v>
      </c>
      <c r="H10" s="36">
        <f t="shared" si="2"/>
        <v>1</v>
      </c>
    </row>
    <row r="11">
      <c r="D11" s="18" t="str">
        <f>IFERROR(__xludf.DUMMYFUNCTION("""COMPUTED_VALUE"""),"mauvelous")</f>
        <v>mauvelous</v>
      </c>
      <c r="E11" s="18">
        <f>IF($D11="","",COUNTIF(Heart!$G$3:$G109, $D11))</f>
        <v>20</v>
      </c>
      <c r="F11" s="18">
        <f t="shared" si="1"/>
        <v>20</v>
      </c>
      <c r="G11" s="18">
        <f>IF($D11="","",COUNTIFS(Heart!$H$2:$H109,"",Heart!$G$2:$G109,$D11,Heart!$K$2:$K109,FALSE))</f>
        <v>0</v>
      </c>
      <c r="H11" s="36">
        <f t="shared" si="2"/>
        <v>1</v>
      </c>
    </row>
    <row r="12">
      <c r="D12" s="18" t="str">
        <f>IFERROR(__xludf.DUMMYFUNCTION("""COMPUTED_VALUE"""),"poi virtual garden")</f>
        <v>poi virtual garden</v>
      </c>
      <c r="E12" s="18">
        <f>IF($D12="","",COUNTIF(Heart!$G$3:$G109, $D12))</f>
        <v>1</v>
      </c>
      <c r="F12" s="18">
        <f t="shared" si="1"/>
        <v>1</v>
      </c>
      <c r="G12" s="18">
        <f>IF($D12="","",COUNTIFS(Heart!$H$2:$H109,"",Heart!$G$2:$G109,$D12,Heart!$K$2:$K109,FALSE))</f>
        <v>0</v>
      </c>
      <c r="H12" s="36">
        <f t="shared" si="2"/>
        <v>1</v>
      </c>
    </row>
    <row r="13">
      <c r="D13" s="18" t="str">
        <f>IFERROR(__xludf.DUMMYFUNCTION("""COMPUTED_VALUE"""),"flat lou")</f>
        <v>flat lou</v>
      </c>
      <c r="E13" s="18">
        <f>IF($D13="","",COUNTIF(Heart!$G$3:$G109, $D13))</f>
        <v>14</v>
      </c>
      <c r="F13" s="18">
        <f t="shared" si="1"/>
        <v>14</v>
      </c>
      <c r="G13" s="18">
        <f>IF($D13="","",COUNTIFS(Heart!$H$2:$H109,"",Heart!$G$2:$G109,$D13,Heart!$K$2:$K109,FALSE))</f>
        <v>0</v>
      </c>
      <c r="H13" s="36">
        <f t="shared" si="2"/>
        <v>1</v>
      </c>
    </row>
    <row r="14">
      <c r="D14" s="18"/>
      <c r="E14" s="18" t="str">
        <f>IF($D14="","",COUNTIF(Heart!$G$3:$G109, $D14))</f>
        <v/>
      </c>
      <c r="F14" s="18" t="str">
        <f t="shared" si="1"/>
        <v/>
      </c>
      <c r="G14" s="18" t="str">
        <f>IF($D14="","",COUNTIFS(Heart!$H$2:$H109,"",Heart!$G$2:$G109,$D14,Heart!$K$2:$K109,FALSE))</f>
        <v/>
      </c>
      <c r="H14" s="36" t="str">
        <f t="shared" si="2"/>
        <v/>
      </c>
    </row>
    <row r="15">
      <c r="D15" s="18"/>
      <c r="E15" s="18" t="str">
        <f>IF($D15="","",COUNTIF(Heart!$G$3:$G109, $D15))</f>
        <v/>
      </c>
      <c r="F15" s="18" t="str">
        <f t="shared" si="1"/>
        <v/>
      </c>
      <c r="G15" s="18" t="str">
        <f>IF($D15="","",COUNTIFS(Heart!$H$2:$H109,"",Heart!$G$2:$G109,$D15,Heart!$K$2:$K109,FALSE))</f>
        <v/>
      </c>
      <c r="H15" s="36" t="str">
        <f t="shared" si="2"/>
        <v/>
      </c>
    </row>
    <row r="16">
      <c r="D16" s="18"/>
      <c r="E16" s="18" t="str">
        <f>IF($D16="","",COUNTIF(Heart!$G$3:$G109, $D16))</f>
        <v/>
      </c>
      <c r="F16" s="18" t="str">
        <f t="shared" si="1"/>
        <v/>
      </c>
      <c r="G16" s="18" t="str">
        <f>IF($D16="","",COUNTIFS(Heart!$H$2:$H109,"",Heart!$G$2:$G109,$D16,Heart!$K$2:$K109,FALSE))</f>
        <v/>
      </c>
      <c r="H16" s="36" t="str">
        <f t="shared" si="2"/>
        <v/>
      </c>
    </row>
    <row r="17">
      <c r="D17" s="18"/>
      <c r="E17" s="18" t="str">
        <f>IF($D17="","",COUNTIF(Heart!$G$3:$G109, $D17))</f>
        <v/>
      </c>
      <c r="F17" s="18" t="str">
        <f t="shared" si="1"/>
        <v/>
      </c>
      <c r="G17" s="18" t="str">
        <f>IF($D17="","",COUNTIFS(Heart!$H$2:$H109,"",Heart!$G$2:$G109,$D17,Heart!$K$2:$K109,FALSE))</f>
        <v/>
      </c>
      <c r="H17" s="36" t="str">
        <f t="shared" si="2"/>
        <v/>
      </c>
    </row>
    <row r="18">
      <c r="D18" s="18"/>
      <c r="E18" s="18" t="str">
        <f>IF($D18="","",COUNTIF(Heart!$G$3:$G109, $D18))</f>
        <v/>
      </c>
      <c r="F18" s="18" t="str">
        <f t="shared" si="1"/>
        <v/>
      </c>
      <c r="G18" s="18" t="str">
        <f>IF($D18="","",COUNTIFS(Heart!$H$2:$H109,"",Heart!$G$2:$G109,$D18,Heart!$K$2:$K109,FALSE))</f>
        <v/>
      </c>
      <c r="H18" s="36" t="str">
        <f t="shared" si="2"/>
        <v/>
      </c>
    </row>
    <row r="19">
      <c r="D19" s="18"/>
      <c r="E19" s="18" t="str">
        <f>IF($D19="","",COUNTIF(Heart!$G$3:$G109, $D19))</f>
        <v/>
      </c>
      <c r="F19" s="18" t="str">
        <f t="shared" si="1"/>
        <v/>
      </c>
      <c r="G19" s="18" t="str">
        <f>IF($D19="","",COUNTIFS(Heart!$H$2:$H109,"",Heart!$G$2:$G109,$D19,Heart!$K$2:$K109,FALSE))</f>
        <v/>
      </c>
      <c r="H19" s="36" t="str">
        <f t="shared" si="2"/>
        <v/>
      </c>
    </row>
    <row r="20">
      <c r="D20" s="18"/>
      <c r="E20" s="18" t="str">
        <f>IF($D20="","",COUNTIF(Heart!$G$3:$G109, $D20))</f>
        <v/>
      </c>
      <c r="F20" s="18" t="str">
        <f t="shared" si="1"/>
        <v/>
      </c>
      <c r="G20" s="18" t="str">
        <f>IF($D20="","",COUNTIFS(Heart!$H$2:$H109,"",Heart!$G$2:$G109,$D20,Heart!$K$2:$K109,FALSE))</f>
        <v/>
      </c>
      <c r="H20" s="36" t="str">
        <f t="shared" si="2"/>
        <v/>
      </c>
    </row>
    <row r="21">
      <c r="D21" s="18"/>
      <c r="E21" s="18" t="str">
        <f>IF($D21="","",COUNTIF(Heart!$G$3:$G109, $D21))</f>
        <v/>
      </c>
      <c r="F21" s="18" t="str">
        <f t="shared" si="1"/>
        <v/>
      </c>
      <c r="G21" s="18" t="str">
        <f>IF($D21="","",COUNTIFS(Heart!$H$2:$H109,"",Heart!$G$2:$G109,$D21,Heart!$K$2:$K109,FALSE))</f>
        <v/>
      </c>
      <c r="H21" s="36" t="str">
        <f t="shared" si="2"/>
        <v/>
      </c>
    </row>
    <row r="22">
      <c r="D22" s="18"/>
      <c r="E22" s="18" t="str">
        <f>IF($D22="","",COUNTIF(Heart!$G$3:$G109, $D22))</f>
        <v/>
      </c>
      <c r="F22" s="18" t="str">
        <f t="shared" si="1"/>
        <v/>
      </c>
      <c r="G22" s="18" t="str">
        <f>IF($D22="","",COUNTIFS(Heart!$H$2:$H109,"",Heart!$G$2:$G109,$D22,Heart!$K$2:$K109,FALSE))</f>
        <v/>
      </c>
      <c r="H22" s="36" t="str">
        <f t="shared" si="2"/>
        <v/>
      </c>
    </row>
    <row r="23">
      <c r="D23" s="18"/>
      <c r="E23" s="18" t="str">
        <f>IF($D23="","",COUNTIF(Heart!$G$3:$G109, $D23))</f>
        <v/>
      </c>
      <c r="F23" s="18" t="str">
        <f t="shared" si="1"/>
        <v/>
      </c>
      <c r="G23" s="18" t="str">
        <f>IF($D23="","",COUNTIFS(Heart!$H$2:$H109,"",Heart!$G$2:$G109,$D23,Heart!$K$2:$K109,FALSE))</f>
        <v/>
      </c>
      <c r="H23" s="36" t="str">
        <f t="shared" si="2"/>
        <v/>
      </c>
    </row>
    <row r="24">
      <c r="D24" s="18"/>
      <c r="E24" s="18" t="str">
        <f>IF($D24="","",COUNTIF(Heart!$G$3:$G109, $D24))</f>
        <v/>
      </c>
      <c r="F24" s="18" t="str">
        <f t="shared" si="1"/>
        <v/>
      </c>
      <c r="G24" s="18" t="str">
        <f>IF($D24="","",COUNTIFS(Heart!$H$2:$H109,"",Heart!$G$2:$G109,$D24,Heart!$K$2:$K109,FALSE))</f>
        <v/>
      </c>
      <c r="H24" s="36" t="str">
        <f t="shared" si="2"/>
        <v/>
      </c>
    </row>
    <row r="25">
      <c r="D25" s="18"/>
      <c r="E25" s="18" t="str">
        <f>IF($D25="","",COUNTIF(Heart!$G$3:$G109, $D25))</f>
        <v/>
      </c>
      <c r="F25" s="18" t="str">
        <f t="shared" si="1"/>
        <v/>
      </c>
      <c r="G25" s="18" t="str">
        <f>IF($D25="","",COUNTIFS(Heart!$H$2:$H109,"",Heart!$G$2:$G109,$D25,Heart!$K$2:$K109,FALSE))</f>
        <v/>
      </c>
      <c r="H25" s="36" t="str">
        <f t="shared" si="2"/>
        <v/>
      </c>
    </row>
    <row r="26">
      <c r="D26" s="18"/>
      <c r="E26" s="18" t="str">
        <f>IF($D26="","",COUNTIF(Heart!$G$3:$G109, $D26))</f>
        <v/>
      </c>
      <c r="F26" s="18" t="str">
        <f t="shared" si="1"/>
        <v/>
      </c>
      <c r="G26" s="18" t="str">
        <f>IF($D26="","",COUNTIFS(Heart!$H$2:$H109,"",Heart!$G$2:$G109,$D26,Heart!$K$2:$K109,FALSE))</f>
        <v/>
      </c>
      <c r="H26" s="36" t="str">
        <f t="shared" si="2"/>
        <v/>
      </c>
    </row>
    <row r="27">
      <c r="A27" s="37"/>
      <c r="B27" s="37"/>
      <c r="C27" s="37"/>
      <c r="D27" s="18"/>
      <c r="E27" s="18" t="str">
        <f>IF($D27="","",COUNTIF(Heart!$G$3:$G109, $D27))</f>
        <v/>
      </c>
      <c r="F27" s="18" t="str">
        <f t="shared" si="1"/>
        <v/>
      </c>
      <c r="G27" s="18" t="str">
        <f>IF($D27="","",COUNTIFS(Heart!$H$2:$H109,"",Heart!$G$2:$G109,$D27,Heart!$K$2:$K109,FALSE))</f>
        <v/>
      </c>
      <c r="H27" s="36" t="str">
        <f t="shared" si="2"/>
        <v/>
      </c>
    </row>
    <row r="28">
      <c r="A28" s="38" t="str">
        <f>IFERROR(__xludf.DUMMYFUNCTION("(""Top ""&amp;IF(COUNTUNIQUE(Heart!$H$3:$H109)=1,"" Placer:"",IF(COUNTUNIQUE(Heart!$H$3:$H109)&lt;$D$1,"""",$D$1&amp;"" of "")&amp;COUNTUNIQUE(Heart!$H$3:$H109)&amp;"" Placers:""))"),"Top 30 of 91 Placers:")</f>
        <v>Top 30 of 91 Placers:</v>
      </c>
      <c r="B28" s="37"/>
      <c r="C28" s="39"/>
      <c r="D28" s="18"/>
      <c r="E28" s="18" t="str">
        <f>IF($D28="","",COUNTIF(Heart!$G$3:$G109, $D28))</f>
        <v/>
      </c>
      <c r="F28" s="18" t="str">
        <f t="shared" si="1"/>
        <v/>
      </c>
      <c r="G28" s="18" t="str">
        <f>IF($D28="","",COUNTIFS(Heart!$H$2:$H109,"",Heart!$G$2:$G109,$D28,Heart!$K$2:$K109,FALSE))</f>
        <v/>
      </c>
      <c r="H28" s="36" t="str">
        <f t="shared" si="2"/>
        <v/>
      </c>
    </row>
    <row r="29">
      <c r="A29" s="40" t="str">
        <f>IFERROR(__xludf.DUMMYFUNCTION("QUERY(Heart!$H$3:$I109, ""select H, count(H), count(I) where H != '' group by H order by count(I) desc, count(H) desc, H limit ""&amp;$D$1&amp;"" label H 'Username', count(H) 'Promised', count(I) 'Placed'"", 0)"),"Username")</f>
        <v>Username</v>
      </c>
      <c r="B29" s="41" t="str">
        <f>IFERROR(__xludf.DUMMYFUNCTION("""COMPUTED_VALUE"""),"Promised")</f>
        <v>Promised</v>
      </c>
      <c r="C29" s="42" t="str">
        <f>IFERROR(__xludf.DUMMYFUNCTION("""COMPUTED_VALUE"""),"Placed")</f>
        <v>Placed</v>
      </c>
      <c r="D29" s="18"/>
      <c r="E29" s="18" t="str">
        <f>IF($D29="","",COUNTIF(Heart!$G$3:$G109, $D29))</f>
        <v/>
      </c>
      <c r="F29" s="18" t="str">
        <f t="shared" si="1"/>
        <v/>
      </c>
      <c r="G29" s="18" t="str">
        <f>IF($D29="","",COUNTIFS(Heart!$H$2:$H109,"",Heart!$G$2:$G109,$D29,Heart!$K$2:$K109,FALSE))</f>
        <v/>
      </c>
      <c r="H29" s="36" t="str">
        <f t="shared" si="2"/>
        <v/>
      </c>
    </row>
    <row r="30">
      <c r="A30" s="43" t="str">
        <f>IFERROR(__xludf.DUMMYFUNCTION("""COMPUTED_VALUE"""),"technical13")</f>
        <v>technical13</v>
      </c>
      <c r="B30" s="44">
        <f>IFERROR(__xludf.DUMMYFUNCTION("""COMPUTED_VALUE"""),10.0)</f>
        <v>10</v>
      </c>
      <c r="C30" s="45">
        <f>IFERROR(__xludf.DUMMYFUNCTION("""COMPUTED_VALUE"""),10.0)</f>
        <v>10</v>
      </c>
      <c r="D30" s="18"/>
      <c r="E30" s="18" t="str">
        <f>IF($D30="","",COUNTIF(Heart!$G$3:$G109, $D30))</f>
        <v/>
      </c>
      <c r="F30" s="18" t="str">
        <f t="shared" si="1"/>
        <v/>
      </c>
      <c r="G30" s="18" t="str">
        <f>IF($D30="","",COUNTIFS(Heart!$H$2:$H109,"",Heart!$G$2:$G109,$D30,Heart!$K$2:$K109,FALSE))</f>
        <v/>
      </c>
      <c r="H30" s="36" t="str">
        <f t="shared" si="2"/>
        <v/>
      </c>
    </row>
    <row r="31">
      <c r="A31" s="46" t="str">
        <f>IFERROR(__xludf.DUMMYFUNCTION("""COMPUTED_VALUE"""),"WinterCheetah")</f>
        <v>WinterCheetah</v>
      </c>
      <c r="B31" s="47">
        <f>IFERROR(__xludf.DUMMYFUNCTION("""COMPUTED_VALUE"""),8.0)</f>
        <v>8</v>
      </c>
      <c r="C31" s="48">
        <f>IFERROR(__xludf.DUMMYFUNCTION("""COMPUTED_VALUE"""),8.0)</f>
        <v>8</v>
      </c>
      <c r="D31" s="18"/>
      <c r="E31" s="18" t="str">
        <f>IF($D31="","",COUNTIF(Heart!$G$3:$G109, $D31))</f>
        <v/>
      </c>
      <c r="F31" s="18" t="str">
        <f t="shared" si="1"/>
        <v/>
      </c>
      <c r="G31" s="18" t="str">
        <f>IF($D31="","",COUNTIFS(Heart!$H$2:$H109,"",Heart!$G$2:$G109,$D31,Heart!$K$2:$K109,FALSE))</f>
        <v/>
      </c>
      <c r="H31" s="36" t="str">
        <f t="shared" si="2"/>
        <v/>
      </c>
    </row>
    <row r="32">
      <c r="A32" s="49" t="str">
        <f>IFERROR(__xludf.DUMMYFUNCTION("""COMPUTED_VALUE"""),"nyisutter")</f>
        <v>nyisutter</v>
      </c>
      <c r="B32" s="50">
        <f>IFERROR(__xludf.DUMMYFUNCTION("""COMPUTED_VALUE"""),7.0)</f>
        <v>7</v>
      </c>
      <c r="C32" s="51">
        <f>IFERROR(__xludf.DUMMYFUNCTION("""COMPUTED_VALUE"""),7.0)</f>
        <v>7</v>
      </c>
      <c r="D32" s="18"/>
      <c r="E32" s="18" t="str">
        <f>IF($D32="","",COUNTIF(Heart!$G$3:$G109, $D32))</f>
        <v/>
      </c>
      <c r="F32" s="18" t="str">
        <f t="shared" si="1"/>
        <v/>
      </c>
      <c r="G32" s="18" t="str">
        <f>IF($D32="","",COUNTIFS(Heart!$H$2:$H109,"",Heart!$G$2:$G109,$D32,Heart!$K$2:$K109,FALSE))</f>
        <v/>
      </c>
      <c r="H32" s="36" t="str">
        <f t="shared" si="2"/>
        <v/>
      </c>
    </row>
    <row r="33">
      <c r="A33" s="52" t="str">
        <f>IFERROR(__xludf.DUMMYFUNCTION("""COMPUTED_VALUE"""),"EagleDadandXenia")</f>
        <v>EagleDadandXenia</v>
      </c>
      <c r="B33" s="53">
        <f>IFERROR(__xludf.DUMMYFUNCTION("""COMPUTED_VALUE"""),5.0)</f>
        <v>5</v>
      </c>
      <c r="C33" s="54">
        <f>IFERROR(__xludf.DUMMYFUNCTION("""COMPUTED_VALUE"""),5.0)</f>
        <v>5</v>
      </c>
      <c r="D33" s="18"/>
      <c r="E33" s="18" t="str">
        <f>IF($D33="","",COUNTIF(Heart!$G$3:$G109, $D33))</f>
        <v/>
      </c>
      <c r="F33" s="18" t="str">
        <f t="shared" si="1"/>
        <v/>
      </c>
      <c r="G33" s="18" t="str">
        <f>IF($D33="","",COUNTIFS(Heart!$H$2:$H109,"",Heart!$G$2:$G109,$D33,Heart!$K$2:$K109,FALSE))</f>
        <v/>
      </c>
      <c r="H33" s="36" t="str">
        <f t="shared" si="2"/>
        <v/>
      </c>
    </row>
    <row r="34">
      <c r="A34" s="55" t="str">
        <f>IFERROR(__xludf.DUMMYFUNCTION("""COMPUTED_VALUE"""),"jeffeth")</f>
        <v>jeffeth</v>
      </c>
      <c r="B34" s="56">
        <f>IFERROR(__xludf.DUMMYFUNCTION("""COMPUTED_VALUE"""),5.0)</f>
        <v>5</v>
      </c>
      <c r="C34" s="57">
        <f>IFERROR(__xludf.DUMMYFUNCTION("""COMPUTED_VALUE"""),5.0)</f>
        <v>5</v>
      </c>
      <c r="D34" s="18"/>
      <c r="E34" s="18" t="str">
        <f>IF($D34="","",COUNTIF(Heart!$G$3:$G109, $D34))</f>
        <v/>
      </c>
      <c r="F34" s="18" t="str">
        <f t="shared" si="1"/>
        <v/>
      </c>
      <c r="G34" s="18" t="str">
        <f>IF($D34="","",COUNTIFS(Heart!$H$2:$H109,"",Heart!$G$2:$G109,$D34,Heart!$K$2:$K109,FALSE))</f>
        <v/>
      </c>
      <c r="H34" s="36" t="str">
        <f t="shared" si="2"/>
        <v/>
      </c>
    </row>
    <row r="35">
      <c r="A35" s="58" t="str">
        <f>IFERROR(__xludf.DUMMYFUNCTION("""COMPUTED_VALUE"""),"jldh")</f>
        <v>jldh</v>
      </c>
      <c r="B35" s="59">
        <f>IFERROR(__xludf.DUMMYFUNCTION("""COMPUTED_VALUE"""),5.0)</f>
        <v>5</v>
      </c>
      <c r="C35" s="60">
        <f>IFERROR(__xludf.DUMMYFUNCTION("""COMPUTED_VALUE"""),5.0)</f>
        <v>5</v>
      </c>
      <c r="D35" s="18"/>
      <c r="E35" s="18" t="str">
        <f>IF($D35="","",COUNTIF(Heart!$G$3:$G109, $D35))</f>
        <v/>
      </c>
      <c r="F35" s="18" t="str">
        <f t="shared" si="1"/>
        <v/>
      </c>
      <c r="G35" s="18" t="str">
        <f>IF($D35="","",COUNTIFS(Heart!$H$2:$H109,"",Heart!$G$2:$G109,$D35,Heart!$K$2:$K109,FALSE))</f>
        <v/>
      </c>
      <c r="H35" s="36" t="str">
        <f t="shared" si="2"/>
        <v/>
      </c>
    </row>
    <row r="36">
      <c r="A36" s="58" t="str">
        <f>IFERROR(__xludf.DUMMYFUNCTION("""COMPUTED_VALUE"""),"mars00xj")</f>
        <v>mars00xj</v>
      </c>
      <c r="B36" s="59">
        <f>IFERROR(__xludf.DUMMYFUNCTION("""COMPUTED_VALUE"""),5.0)</f>
        <v>5</v>
      </c>
      <c r="C36" s="60">
        <f>IFERROR(__xludf.DUMMYFUNCTION("""COMPUTED_VALUE"""),5.0)</f>
        <v>5</v>
      </c>
      <c r="D36" s="18"/>
      <c r="E36" s="18" t="str">
        <f>IF($D36="","",COUNTIF(Heart!$G$3:$G109, $D36))</f>
        <v/>
      </c>
      <c r="F36" s="18" t="str">
        <f t="shared" si="1"/>
        <v/>
      </c>
      <c r="G36" s="18" t="str">
        <f>IF($D36="","",COUNTIFS(Heart!$H$2:$H109,"",Heart!$G$2:$G109,$D36,Heart!$K$2:$K109,FALSE))</f>
        <v/>
      </c>
      <c r="H36" s="36" t="str">
        <f t="shared" si="2"/>
        <v/>
      </c>
    </row>
    <row r="37">
      <c r="A37" s="58" t="str">
        <f>IFERROR(__xludf.DUMMYFUNCTION("""COMPUTED_VALUE"""),"Heluna")</f>
        <v>Heluna</v>
      </c>
      <c r="B37" s="59">
        <f>IFERROR(__xludf.DUMMYFUNCTION("""COMPUTED_VALUE"""),4.0)</f>
        <v>4</v>
      </c>
      <c r="C37" s="60">
        <f>IFERROR(__xludf.DUMMYFUNCTION("""COMPUTED_VALUE"""),4.0)</f>
        <v>4</v>
      </c>
      <c r="D37" s="18"/>
      <c r="E37" s="18" t="str">
        <f>IF($D37="","",COUNTIF(Heart!$G$3:$G109, $D37))</f>
        <v/>
      </c>
      <c r="F37" s="18" t="str">
        <f t="shared" si="1"/>
        <v/>
      </c>
      <c r="G37" s="18" t="str">
        <f>IF($D37="","",COUNTIFS(Heart!$H$2:$H109,"",Heart!$G$2:$G109,$D37,Heart!$K$2:$K109,FALSE))</f>
        <v/>
      </c>
      <c r="H37" s="36" t="str">
        <f t="shared" si="2"/>
        <v/>
      </c>
    </row>
    <row r="38">
      <c r="A38" s="58" t="str">
        <f>IFERROR(__xludf.DUMMYFUNCTION("""COMPUTED_VALUE"""),"Barrel")</f>
        <v>Barrel</v>
      </c>
      <c r="B38" s="59">
        <f>IFERROR(__xludf.DUMMYFUNCTION("""COMPUTED_VALUE"""),3.0)</f>
        <v>3</v>
      </c>
      <c r="C38" s="60">
        <f>IFERROR(__xludf.DUMMYFUNCTION("""COMPUTED_VALUE"""),3.0)</f>
        <v>3</v>
      </c>
      <c r="D38" s="18"/>
      <c r="E38" s="18" t="str">
        <f>IF($D38="","",COUNTIF(Heart!$G$3:$G109, $D38))</f>
        <v/>
      </c>
      <c r="F38" s="18" t="str">
        <f t="shared" si="1"/>
        <v/>
      </c>
      <c r="G38" s="18" t="str">
        <f>IF($D38="","",COUNTIFS(Heart!$H$2:$H109,"",Heart!$G$2:$G109,$D38,Heart!$K$2:$K109,FALSE))</f>
        <v/>
      </c>
      <c r="H38" s="36" t="str">
        <f t="shared" si="2"/>
        <v/>
      </c>
    </row>
    <row r="39">
      <c r="A39" s="49" t="str">
        <f>IFERROR(__xludf.DUMMYFUNCTION("""COMPUTED_VALUE"""),"EmeraldAngel")</f>
        <v>EmeraldAngel</v>
      </c>
      <c r="B39" s="50">
        <f>IFERROR(__xludf.DUMMYFUNCTION("""COMPUTED_VALUE"""),3.0)</f>
        <v>3</v>
      </c>
      <c r="C39" s="51">
        <f>IFERROR(__xludf.DUMMYFUNCTION("""COMPUTED_VALUE"""),3.0)</f>
        <v>3</v>
      </c>
      <c r="D39" s="18"/>
      <c r="E39" s="18" t="str">
        <f>IF($D39="","",COUNTIF(Heart!$G$3:$G109, $D39))</f>
        <v/>
      </c>
      <c r="F39" s="18" t="str">
        <f t="shared" si="1"/>
        <v/>
      </c>
      <c r="G39" s="18" t="str">
        <f>IF($D39="","",COUNTIFS(Heart!$H$2:$H109,"",Heart!$G$2:$G109,$D39,Heart!$K$2:$K109,FALSE))</f>
        <v/>
      </c>
      <c r="H39" s="36" t="str">
        <f t="shared" si="2"/>
        <v/>
      </c>
    </row>
    <row r="40">
      <c r="A40" s="58" t="str">
        <f>IFERROR(__xludf.DUMMYFUNCTION("""COMPUTED_VALUE"""),"IggiePiggie")</f>
        <v>IggiePiggie</v>
      </c>
      <c r="B40" s="59">
        <f>IFERROR(__xludf.DUMMYFUNCTION("""COMPUTED_VALUE"""),3.0)</f>
        <v>3</v>
      </c>
      <c r="C40" s="60">
        <f>IFERROR(__xludf.DUMMYFUNCTION("""COMPUTED_VALUE"""),3.0)</f>
        <v>3</v>
      </c>
      <c r="D40" s="18"/>
      <c r="E40" s="18" t="str">
        <f>IF($D40="","",COUNTIF(Heart!$G$3:$G109, $D40))</f>
        <v/>
      </c>
      <c r="F40" s="18" t="str">
        <f t="shared" si="1"/>
        <v/>
      </c>
      <c r="G40" s="18" t="str">
        <f>IF($D40="","",COUNTIFS(Heart!$H$2:$H109,"",Heart!$G$2:$G109,$D40,Heart!$K$2:$K109,FALSE))</f>
        <v/>
      </c>
      <c r="H40" s="36" t="str">
        <f t="shared" si="2"/>
        <v/>
      </c>
    </row>
    <row r="41">
      <c r="A41" s="58" t="str">
        <f>IFERROR(__xludf.DUMMYFUNCTION("""COMPUTED_VALUE"""),"ivwarrior")</f>
        <v>ivwarrior</v>
      </c>
      <c r="B41" s="59">
        <f>IFERROR(__xludf.DUMMYFUNCTION("""COMPUTED_VALUE"""),3.0)</f>
        <v>3</v>
      </c>
      <c r="C41" s="60">
        <f>IFERROR(__xludf.DUMMYFUNCTION("""COMPUTED_VALUE"""),3.0)</f>
        <v>3</v>
      </c>
      <c r="D41" s="18"/>
      <c r="E41" s="18" t="str">
        <f>IF($D41="","",COUNTIF(Heart!$G$3:$G109, $D41))</f>
        <v/>
      </c>
      <c r="F41" s="18" t="str">
        <f t="shared" si="1"/>
        <v/>
      </c>
      <c r="G41" s="18" t="str">
        <f>IF($D41="","",COUNTIFS(Heart!$H$2:$H109,"",Heart!$G$2:$G109,$D41,Heart!$K$2:$K109,FALSE))</f>
        <v/>
      </c>
      <c r="H41" s="36" t="str">
        <f t="shared" si="2"/>
        <v/>
      </c>
    </row>
    <row r="42">
      <c r="A42" s="58" t="str">
        <f>IFERROR(__xludf.DUMMYFUNCTION("""COMPUTED_VALUE"""),"klc1960")</f>
        <v>klc1960</v>
      </c>
      <c r="B42" s="59">
        <f>IFERROR(__xludf.DUMMYFUNCTION("""COMPUTED_VALUE"""),3.0)</f>
        <v>3</v>
      </c>
      <c r="C42" s="60">
        <f>IFERROR(__xludf.DUMMYFUNCTION("""COMPUTED_VALUE"""),3.0)</f>
        <v>3</v>
      </c>
      <c r="D42" s="18"/>
      <c r="E42" s="18" t="str">
        <f>IF($D42="","",COUNTIF(Heart!$G$3:$G109, $D42))</f>
        <v/>
      </c>
      <c r="F42" s="18" t="str">
        <f t="shared" si="1"/>
        <v/>
      </c>
      <c r="G42" s="18" t="str">
        <f>IF($D42="","",COUNTIFS(Heart!$H$2:$H109,"",Heart!$G$2:$G109,$D42,Heart!$K$2:$K109,FALSE))</f>
        <v/>
      </c>
      <c r="H42" s="36" t="str">
        <f t="shared" si="2"/>
        <v/>
      </c>
    </row>
    <row r="43">
      <c r="A43" s="58" t="str">
        <f>IFERROR(__xludf.DUMMYFUNCTION("""COMPUTED_VALUE"""),"MaryJaneKitty")</f>
        <v>MaryJaneKitty</v>
      </c>
      <c r="B43" s="59">
        <f>IFERROR(__xludf.DUMMYFUNCTION("""COMPUTED_VALUE"""),3.0)</f>
        <v>3</v>
      </c>
      <c r="C43" s="60">
        <f>IFERROR(__xludf.DUMMYFUNCTION("""COMPUTED_VALUE"""),3.0)</f>
        <v>3</v>
      </c>
      <c r="D43" s="18"/>
      <c r="E43" s="18" t="str">
        <f>IF($D43="","",COUNTIF(Heart!$G$3:$G109, $D43))</f>
        <v/>
      </c>
      <c r="F43" s="18" t="str">
        <f t="shared" si="1"/>
        <v/>
      </c>
      <c r="G43" s="18" t="str">
        <f>IF($D43="","",COUNTIFS(Heart!$H$2:$H109,"",Heart!$G$2:$G109,$D43,Heart!$K$2:$K109,FALSE))</f>
        <v/>
      </c>
      <c r="H43" s="36" t="str">
        <f t="shared" si="2"/>
        <v/>
      </c>
    </row>
    <row r="44">
      <c r="A44" s="49" t="str">
        <f>IFERROR(__xludf.DUMMYFUNCTION("""COMPUTED_VALUE"""),"RoninsGal")</f>
        <v>RoninsGal</v>
      </c>
      <c r="B44" s="50">
        <f>IFERROR(__xludf.DUMMYFUNCTION("""COMPUTED_VALUE"""),3.0)</f>
        <v>3</v>
      </c>
      <c r="C44" s="51">
        <f>IFERROR(__xludf.DUMMYFUNCTION("""COMPUTED_VALUE"""),3.0)</f>
        <v>3</v>
      </c>
      <c r="D44" s="18"/>
      <c r="E44" s="18" t="str">
        <f>IF($D44="","",COUNTIF(Heart!$G$3:$G109, $D44))</f>
        <v/>
      </c>
      <c r="F44" s="18" t="str">
        <f t="shared" si="1"/>
        <v/>
      </c>
      <c r="G44" s="18" t="str">
        <f>IF($D44="","",COUNTIFS(Heart!$H$2:$H109,"",Heart!$G$2:$G109,$D44,Heart!$K$2:$K109,FALSE))</f>
        <v/>
      </c>
      <c r="H44" s="36" t="str">
        <f t="shared" si="2"/>
        <v/>
      </c>
    </row>
    <row r="45">
      <c r="A45" s="58" t="str">
        <f>IFERROR(__xludf.DUMMYFUNCTION("""COMPUTED_VALUE"""),"3Prettys")</f>
        <v>3Prettys</v>
      </c>
      <c r="B45" s="59">
        <f>IFERROR(__xludf.DUMMYFUNCTION("""COMPUTED_VALUE"""),2.0)</f>
        <v>2</v>
      </c>
      <c r="C45" s="60">
        <f>IFERROR(__xludf.DUMMYFUNCTION("""COMPUTED_VALUE"""),2.0)</f>
        <v>2</v>
      </c>
      <c r="D45" s="18"/>
      <c r="E45" s="18" t="str">
        <f>IF($D45="","",COUNTIF(Heart!$G$3:$G109, $D45))</f>
        <v/>
      </c>
      <c r="F45" s="18" t="str">
        <f t="shared" si="1"/>
        <v/>
      </c>
      <c r="G45" s="18" t="str">
        <f>IF($D45="","",COUNTIFS(Heart!$H$2:$H109,"",Heart!$G$2:$G109,$D45,Heart!$K$2:$K109,FALSE))</f>
        <v/>
      </c>
      <c r="H45" s="36" t="str">
        <f t="shared" si="2"/>
        <v/>
      </c>
    </row>
    <row r="46">
      <c r="A46" s="58" t="str">
        <f>IFERROR(__xludf.DUMMYFUNCTION("""COMPUTED_VALUE"""),"Buckeyecacher111")</f>
        <v>Buckeyecacher111</v>
      </c>
      <c r="B46" s="59">
        <f>IFERROR(__xludf.DUMMYFUNCTION("""COMPUTED_VALUE"""),2.0)</f>
        <v>2</v>
      </c>
      <c r="C46" s="60">
        <f>IFERROR(__xludf.DUMMYFUNCTION("""COMPUTED_VALUE"""),2.0)</f>
        <v>2</v>
      </c>
      <c r="D46" s="18"/>
      <c r="E46" s="18" t="str">
        <f>IF($D46="","",COUNTIF(Heart!$G$3:$G109, $D46))</f>
        <v/>
      </c>
      <c r="F46" s="18" t="str">
        <f t="shared" si="1"/>
        <v/>
      </c>
      <c r="G46" s="18" t="str">
        <f>IF($D46="","",COUNTIFS(Heart!$H$2:$H109,"",Heart!$G$2:$G109,$D46,Heart!$K$2:$K109,FALSE))</f>
        <v/>
      </c>
      <c r="H46" s="36" t="str">
        <f t="shared" si="2"/>
        <v/>
      </c>
    </row>
    <row r="47">
      <c r="A47" s="58" t="str">
        <f>IFERROR(__xludf.DUMMYFUNCTION("""COMPUTED_VALUE"""),"cachesaurous")</f>
        <v>cachesaurous</v>
      </c>
      <c r="B47" s="59">
        <f>IFERROR(__xludf.DUMMYFUNCTION("""COMPUTED_VALUE"""),2.0)</f>
        <v>2</v>
      </c>
      <c r="C47" s="60">
        <f>IFERROR(__xludf.DUMMYFUNCTION("""COMPUTED_VALUE"""),2.0)</f>
        <v>2</v>
      </c>
      <c r="D47" s="18"/>
      <c r="E47" s="18" t="str">
        <f>IF($D47="","",COUNTIF(Heart!$G$3:$G109, $D47))</f>
        <v/>
      </c>
      <c r="F47" s="18" t="str">
        <f t="shared" si="1"/>
        <v/>
      </c>
      <c r="G47" s="18" t="str">
        <f>IF($D47="","",COUNTIFS(Heart!$H$2:$H109,"",Heart!$G$2:$G109,$D47,Heart!$K$2:$K109,FALSE))</f>
        <v/>
      </c>
      <c r="H47" s="36" t="str">
        <f t="shared" si="2"/>
        <v/>
      </c>
    </row>
    <row r="48">
      <c r="A48" s="58" t="str">
        <f>IFERROR(__xludf.DUMMYFUNCTION("""COMPUTED_VALUE"""),"claireth")</f>
        <v>claireth</v>
      </c>
      <c r="B48" s="59">
        <f>IFERROR(__xludf.DUMMYFUNCTION("""COMPUTED_VALUE"""),2.0)</f>
        <v>2</v>
      </c>
      <c r="C48" s="60">
        <f>IFERROR(__xludf.DUMMYFUNCTION("""COMPUTED_VALUE"""),2.0)</f>
        <v>2</v>
      </c>
      <c r="D48" s="18"/>
      <c r="E48" s="18" t="str">
        <f>IF($D48="","",COUNTIF(Heart!$G$3:$G109, $D48))</f>
        <v/>
      </c>
      <c r="F48" s="18" t="str">
        <f t="shared" si="1"/>
        <v/>
      </c>
      <c r="G48" s="18" t="str">
        <f>IF($D48="","",COUNTIFS(Heart!$H$2:$H109,"",Heart!$G$2:$G109,$D48,Heart!$K$2:$K109,FALSE))</f>
        <v/>
      </c>
      <c r="H48" s="36" t="str">
        <f t="shared" si="2"/>
        <v/>
      </c>
    </row>
    <row r="49">
      <c r="A49" s="49" t="str">
        <f>IFERROR(__xludf.DUMMYFUNCTION("""COMPUTED_VALUE"""),"DarthMaulMax")</f>
        <v>DarthMaulMax</v>
      </c>
      <c r="B49" s="50">
        <f>IFERROR(__xludf.DUMMYFUNCTION("""COMPUTED_VALUE"""),2.0)</f>
        <v>2</v>
      </c>
      <c r="C49" s="51">
        <f>IFERROR(__xludf.DUMMYFUNCTION("""COMPUTED_VALUE"""),2.0)</f>
        <v>2</v>
      </c>
      <c r="D49" s="18"/>
      <c r="E49" s="18" t="str">
        <f>IF($D49="","",COUNTIF(Heart!$G$3:$G109, $D49))</f>
        <v/>
      </c>
      <c r="F49" s="18" t="str">
        <f t="shared" si="1"/>
        <v/>
      </c>
      <c r="G49" s="18" t="str">
        <f>IF($D49="","",COUNTIFS(Heart!$H$2:$H109,"",Heart!$G$2:$G109,$D49,Heart!$K$2:$K109,FALSE))</f>
        <v/>
      </c>
      <c r="H49" s="36" t="str">
        <f t="shared" si="2"/>
        <v/>
      </c>
    </row>
    <row r="50">
      <c r="A50" s="58" t="str">
        <f>IFERROR(__xludf.DUMMYFUNCTION("""COMPUTED_VALUE"""),"dlovegrove")</f>
        <v>dlovegrove</v>
      </c>
      <c r="B50" s="59">
        <f>IFERROR(__xludf.DUMMYFUNCTION("""COMPUTED_VALUE"""),2.0)</f>
        <v>2</v>
      </c>
      <c r="C50" s="60">
        <f>IFERROR(__xludf.DUMMYFUNCTION("""COMPUTED_VALUE"""),2.0)</f>
        <v>2</v>
      </c>
      <c r="D50" s="18"/>
      <c r="E50" s="18" t="str">
        <f>IF($D50="","",COUNTIF(Heart!$G$3:$G109, $D50))</f>
        <v/>
      </c>
      <c r="F50" s="18" t="str">
        <f t="shared" si="1"/>
        <v/>
      </c>
      <c r="G50" s="18" t="str">
        <f>IF($D50="","",COUNTIFS(Heart!$H$2:$H109,"",Heart!$G$2:$G109,$D50,Heart!$K$2:$K109,FALSE))</f>
        <v/>
      </c>
      <c r="H50" s="36" t="str">
        <f t="shared" si="2"/>
        <v/>
      </c>
    </row>
    <row r="51">
      <c r="A51" s="58" t="str">
        <f>IFERROR(__xludf.DUMMYFUNCTION("""COMPUTED_VALUE"""),"humbird7")</f>
        <v>humbird7</v>
      </c>
      <c r="B51" s="59">
        <f>IFERROR(__xludf.DUMMYFUNCTION("""COMPUTED_VALUE"""),2.0)</f>
        <v>2</v>
      </c>
      <c r="C51" s="60">
        <f>IFERROR(__xludf.DUMMYFUNCTION("""COMPUTED_VALUE"""),2.0)</f>
        <v>2</v>
      </c>
      <c r="D51" s="18"/>
      <c r="E51" s="18" t="str">
        <f>IF($D51="","",COUNTIF(Heart!$G$3:$G109, $D51))</f>
        <v/>
      </c>
      <c r="F51" s="18" t="str">
        <f t="shared" si="1"/>
        <v/>
      </c>
      <c r="G51" s="18" t="str">
        <f>IF($D51="","",COUNTIFS(Heart!$H$2:$H109,"",Heart!$G$2:$G109,$D51,Heart!$K$2:$K109,FALSE))</f>
        <v/>
      </c>
      <c r="H51" s="36" t="str">
        <f t="shared" si="2"/>
        <v/>
      </c>
    </row>
    <row r="52">
      <c r="A52" s="58" t="str">
        <f>IFERROR(__xludf.DUMMYFUNCTION("""COMPUTED_VALUE"""),"kwd")</f>
        <v>kwd</v>
      </c>
      <c r="B52" s="59">
        <f>IFERROR(__xludf.DUMMYFUNCTION("""COMPUTED_VALUE"""),2.0)</f>
        <v>2</v>
      </c>
      <c r="C52" s="60">
        <f>IFERROR(__xludf.DUMMYFUNCTION("""COMPUTED_VALUE"""),2.0)</f>
        <v>2</v>
      </c>
      <c r="D52" s="18"/>
      <c r="E52" s="18" t="str">
        <f>IF($D52="","",COUNTIF(Heart!$G$3:$G109, $D52))</f>
        <v/>
      </c>
      <c r="F52" s="18" t="str">
        <f t="shared" si="1"/>
        <v/>
      </c>
      <c r="G52" s="18" t="str">
        <f>IF($D52="","",COUNTIFS(Heart!$H$2:$H109,"",Heart!$G$2:$G109,$D52,Heart!$K$2:$K109,FALSE))</f>
        <v/>
      </c>
      <c r="H52" s="36" t="str">
        <f t="shared" si="2"/>
        <v/>
      </c>
    </row>
    <row r="53">
      <c r="A53" s="58" t="str">
        <f>IFERROR(__xludf.DUMMYFUNCTION("""COMPUTED_VALUE"""),"leesap")</f>
        <v>leesap</v>
      </c>
      <c r="B53" s="59">
        <f>IFERROR(__xludf.DUMMYFUNCTION("""COMPUTED_VALUE"""),2.0)</f>
        <v>2</v>
      </c>
      <c r="C53" s="60">
        <f>IFERROR(__xludf.DUMMYFUNCTION("""COMPUTED_VALUE"""),2.0)</f>
        <v>2</v>
      </c>
      <c r="D53" s="18"/>
      <c r="E53" s="18" t="str">
        <f>IF($D53="","",COUNTIF(Heart!$G$3:$G109, $D53))</f>
        <v/>
      </c>
      <c r="F53" s="18" t="str">
        <f t="shared" si="1"/>
        <v/>
      </c>
      <c r="G53" s="18" t="str">
        <f>IF($D53="","",COUNTIFS(Heart!$H$2:$H109,"",Heart!$G$2:$G109,$D53,Heart!$K$2:$K109,FALSE))</f>
        <v/>
      </c>
      <c r="H53" s="36" t="str">
        <f t="shared" si="2"/>
        <v/>
      </c>
    </row>
    <row r="54">
      <c r="A54" s="49" t="str">
        <f>IFERROR(__xludf.DUMMYFUNCTION("""COMPUTED_VALUE"""),"lostsole68")</f>
        <v>lostsole68</v>
      </c>
      <c r="B54" s="50">
        <f>IFERROR(__xludf.DUMMYFUNCTION("""COMPUTED_VALUE"""),2.0)</f>
        <v>2</v>
      </c>
      <c r="C54" s="51">
        <f>IFERROR(__xludf.DUMMYFUNCTION("""COMPUTED_VALUE"""),2.0)</f>
        <v>2</v>
      </c>
      <c r="D54" s="18"/>
      <c r="E54" s="18" t="str">
        <f>IF($D54="","",COUNTIF(Heart!$G$3:$G109, $D54))</f>
        <v/>
      </c>
      <c r="F54" s="18" t="str">
        <f t="shared" si="1"/>
        <v/>
      </c>
      <c r="G54" s="18" t="str">
        <f>IF($D54="","",COUNTIFS(Heart!$H$2:$H109,"",Heart!$G$2:$G109,$D54,Heart!$K$2:$K109,FALSE))</f>
        <v/>
      </c>
      <c r="H54" s="36" t="str">
        <f t="shared" si="2"/>
        <v/>
      </c>
    </row>
    <row r="55">
      <c r="A55" s="58" t="str">
        <f>IFERROR(__xludf.DUMMYFUNCTION("""COMPUTED_VALUE"""),"Promethium")</f>
        <v>Promethium</v>
      </c>
      <c r="B55" s="59">
        <f>IFERROR(__xludf.DUMMYFUNCTION("""COMPUTED_VALUE"""),2.0)</f>
        <v>2</v>
      </c>
      <c r="C55" s="60">
        <f>IFERROR(__xludf.DUMMYFUNCTION("""COMPUTED_VALUE"""),2.0)</f>
        <v>2</v>
      </c>
      <c r="D55" s="18"/>
      <c r="E55" s="18" t="str">
        <f>IF($D55="","",COUNTIF(Heart!$G$3:$G109, $D55))</f>
        <v/>
      </c>
      <c r="F55" s="18" t="str">
        <f t="shared" si="1"/>
        <v/>
      </c>
      <c r="G55" s="18" t="str">
        <f>IF($D55="","",COUNTIFS(Heart!$H$2:$H109,"",Heart!$G$2:$G109,$D55,Heart!$K$2:$K109,FALSE))</f>
        <v/>
      </c>
      <c r="H55" s="36" t="str">
        <f t="shared" si="2"/>
        <v/>
      </c>
    </row>
    <row r="56">
      <c r="A56" s="58" t="str">
        <f>IFERROR(__xludf.DUMMYFUNCTION("""COMPUTED_VALUE"""),"Quint71")</f>
        <v>Quint71</v>
      </c>
      <c r="B56" s="59">
        <f>IFERROR(__xludf.DUMMYFUNCTION("""COMPUTED_VALUE"""),2.0)</f>
        <v>2</v>
      </c>
      <c r="C56" s="60">
        <f>IFERROR(__xludf.DUMMYFUNCTION("""COMPUTED_VALUE"""),2.0)</f>
        <v>2</v>
      </c>
      <c r="D56" s="18"/>
      <c r="E56" s="18" t="str">
        <f>IF($D56="","",COUNTIF(Heart!$G$3:$G109, $D56))</f>
        <v/>
      </c>
      <c r="F56" s="18" t="str">
        <f t="shared" si="1"/>
        <v/>
      </c>
      <c r="G56" s="18" t="str">
        <f>IF($D56="","",COUNTIFS(Heart!$H$2:$H109,"",Heart!$G$2:$G109,$D56,Heart!$K$2:$K109,FALSE))</f>
        <v/>
      </c>
      <c r="H56" s="36" t="str">
        <f t="shared" si="2"/>
        <v/>
      </c>
    </row>
    <row r="57">
      <c r="A57" s="58" t="str">
        <f>IFERROR(__xludf.DUMMYFUNCTION("""COMPUTED_VALUE"""),"rayannchick")</f>
        <v>rayannchick</v>
      </c>
      <c r="B57" s="59">
        <f>IFERROR(__xludf.DUMMYFUNCTION("""COMPUTED_VALUE"""),2.0)</f>
        <v>2</v>
      </c>
      <c r="C57" s="60">
        <f>IFERROR(__xludf.DUMMYFUNCTION("""COMPUTED_VALUE"""),2.0)</f>
        <v>2</v>
      </c>
      <c r="D57" s="18"/>
      <c r="E57" s="18" t="str">
        <f>IF($D57="","",COUNTIF(Heart!$G$3:$G109, $D57))</f>
        <v/>
      </c>
      <c r="F57" s="18" t="str">
        <f t="shared" si="1"/>
        <v/>
      </c>
      <c r="G57" s="18" t="str">
        <f>IF($D57="","",COUNTIFS(Heart!$H$2:$H109,"",Heart!$G$2:$G109,$D57,Heart!$K$2:$K109,FALSE))</f>
        <v/>
      </c>
      <c r="H57" s="36" t="str">
        <f t="shared" si="2"/>
        <v/>
      </c>
    </row>
    <row r="58">
      <c r="A58" s="58" t="str">
        <f>IFERROR(__xludf.DUMMYFUNCTION("""COMPUTED_VALUE"""),"taska1981")</f>
        <v>taska1981</v>
      </c>
      <c r="B58" s="59">
        <f>IFERROR(__xludf.DUMMYFUNCTION("""COMPUTED_VALUE"""),2.0)</f>
        <v>2</v>
      </c>
      <c r="C58" s="60">
        <f>IFERROR(__xludf.DUMMYFUNCTION("""COMPUTED_VALUE"""),2.0)</f>
        <v>2</v>
      </c>
      <c r="D58" s="18"/>
      <c r="E58" s="18" t="str">
        <f>IF($D58="","",COUNTIF(Heart!$G$3:$G109, $D58))</f>
        <v/>
      </c>
      <c r="F58" s="18" t="str">
        <f t="shared" si="1"/>
        <v/>
      </c>
      <c r="G58" s="18" t="str">
        <f>IF($D58="","",COUNTIFS(Heart!$H$2:$H109,"",Heart!$G$2:$G109,$D58,Heart!$K$2:$K109,FALSE))</f>
        <v/>
      </c>
      <c r="H58" s="36" t="str">
        <f t="shared" si="2"/>
        <v/>
      </c>
    </row>
    <row r="59">
      <c r="A59" s="49" t="str">
        <f>IFERROR(__xludf.DUMMYFUNCTION("""COMPUTED_VALUE"""),"TFAL")</f>
        <v>TFAL</v>
      </c>
      <c r="B59" s="50">
        <f>IFERROR(__xludf.DUMMYFUNCTION("""COMPUTED_VALUE"""),2.0)</f>
        <v>2</v>
      </c>
      <c r="C59" s="51">
        <f>IFERROR(__xludf.DUMMYFUNCTION("""COMPUTED_VALUE"""),2.0)</f>
        <v>2</v>
      </c>
      <c r="D59" s="18"/>
      <c r="E59" s="18" t="str">
        <f>IF($D59="","",COUNTIF(Heart!$G$3:$G109, $D59))</f>
        <v/>
      </c>
      <c r="F59" s="18" t="str">
        <f t="shared" si="1"/>
        <v/>
      </c>
      <c r="G59" s="18" t="str">
        <f>IF($D59="","",COUNTIFS(Heart!$H$2:$H109,"",Heart!$G$2:$G109,$D59,Heart!$K$2:$K109,FALSE))</f>
        <v/>
      </c>
      <c r="H59" s="36" t="str">
        <f t="shared" si="2"/>
        <v/>
      </c>
    </row>
    <row r="60">
      <c r="A60" s="58"/>
      <c r="B60" s="59"/>
      <c r="C60" s="60"/>
      <c r="D60" s="18"/>
      <c r="E60" s="18" t="str">
        <f>IF($D60="","",COUNTIF(Heart!$G$3:$G109, $D60))</f>
        <v/>
      </c>
      <c r="F60" s="18" t="str">
        <f t="shared" si="1"/>
        <v/>
      </c>
      <c r="G60" s="18" t="str">
        <f>IF($D60="","",COUNTIFS(Heart!$H$2:$H109,"",Heart!$G$2:$G109,$D60,Heart!$K$2:$K109,FALSE))</f>
        <v/>
      </c>
      <c r="H60" s="36" t="str">
        <f t="shared" si="2"/>
        <v/>
      </c>
    </row>
    <row r="61">
      <c r="A61" s="58"/>
      <c r="B61" s="59"/>
      <c r="C61" s="60"/>
      <c r="D61" s="18"/>
      <c r="E61" s="18" t="str">
        <f>IF($D61="","",COUNTIF(Heart!$G$3:$G109, $D61))</f>
        <v/>
      </c>
      <c r="F61" s="18" t="str">
        <f t="shared" si="1"/>
        <v/>
      </c>
      <c r="G61" s="18" t="str">
        <f>IF($D61="","",COUNTIFS(Heart!$H$2:$H109,"",Heart!$G$2:$G109,$D61,Heart!$K$2:$K109,FALSE))</f>
        <v/>
      </c>
      <c r="H61" s="36" t="str">
        <f t="shared" si="2"/>
        <v/>
      </c>
    </row>
    <row r="62">
      <c r="A62" s="58"/>
      <c r="B62" s="59"/>
      <c r="C62" s="60"/>
      <c r="D62" s="18"/>
      <c r="E62" s="18" t="str">
        <f>IF($D62="","",COUNTIF(Heart!$G$3:$G109, $D62))</f>
        <v/>
      </c>
      <c r="F62" s="18" t="str">
        <f t="shared" si="1"/>
        <v/>
      </c>
      <c r="G62" s="18" t="str">
        <f>IF($D62="","",COUNTIFS(Heart!$H$2:$H109,"",Heart!$G$2:$G109,$D62,Heart!$K$2:$K109,FALSE))</f>
        <v/>
      </c>
      <c r="H62" s="36" t="str">
        <f t="shared" si="2"/>
        <v/>
      </c>
    </row>
    <row r="63">
      <c r="A63" s="58"/>
      <c r="B63" s="59"/>
      <c r="C63" s="60"/>
      <c r="D63" s="18"/>
      <c r="E63" s="18" t="str">
        <f>IF($D63="","",COUNTIF(Heart!$G$3:$G109, $D63))</f>
        <v/>
      </c>
      <c r="F63" s="18" t="str">
        <f t="shared" si="1"/>
        <v/>
      </c>
      <c r="G63" s="18" t="str">
        <f>IF($D63="","",COUNTIFS(Heart!$H$2:$H109,"",Heart!$G$2:$G109,$D63,Heart!$K$2:$K109,FALSE))</f>
        <v/>
      </c>
      <c r="H63" s="36" t="str">
        <f t="shared" si="2"/>
        <v/>
      </c>
    </row>
    <row r="64">
      <c r="A64" s="49"/>
      <c r="B64" s="50"/>
      <c r="C64" s="51"/>
      <c r="D64" s="18"/>
      <c r="E64" s="18" t="str">
        <f>IF($D64="","",COUNTIF(Heart!$G$3:$G109, $D64))</f>
        <v/>
      </c>
      <c r="F64" s="18" t="str">
        <f t="shared" si="1"/>
        <v/>
      </c>
      <c r="G64" s="18" t="str">
        <f>IF($D64="","",COUNTIFS(Heart!$H$2:$H109,"",Heart!$G$2:$G109,$D64,Heart!$K$2:$K109,FALSE))</f>
        <v/>
      </c>
      <c r="H64" s="36" t="str">
        <f t="shared" si="2"/>
        <v/>
      </c>
    </row>
    <row r="65">
      <c r="A65" s="58"/>
      <c r="B65" s="59"/>
      <c r="C65" s="60"/>
      <c r="D65" s="18"/>
      <c r="E65" s="18" t="str">
        <f>IF($D65="","",COUNTIF(Heart!$G$3:$G109, $D65))</f>
        <v/>
      </c>
      <c r="F65" s="18" t="str">
        <f t="shared" si="1"/>
        <v/>
      </c>
      <c r="G65" s="18" t="str">
        <f>IF($D65="","",COUNTIFS(Heart!$H$2:$H109,"",Heart!$G$2:$G109,$D65,Heart!$K$2:$K109,FALSE))</f>
        <v/>
      </c>
      <c r="H65" s="36" t="str">
        <f t="shared" si="2"/>
        <v/>
      </c>
    </row>
    <row r="66">
      <c r="A66" s="58"/>
      <c r="B66" s="59"/>
      <c r="C66" s="60"/>
      <c r="D66" s="18"/>
      <c r="E66" s="18" t="str">
        <f>IF($D66="","",COUNTIF(Heart!$G$3:$G109, $D66))</f>
        <v/>
      </c>
      <c r="F66" s="18" t="str">
        <f t="shared" si="1"/>
        <v/>
      </c>
      <c r="G66" s="18" t="str">
        <f>IF($D66="","",COUNTIFS(Heart!$H$2:$H109,"",Heart!$G$2:$G109,$D66,Heart!$K$2:$K109,FALSE))</f>
        <v/>
      </c>
      <c r="H66" s="36" t="str">
        <f t="shared" si="2"/>
        <v/>
      </c>
    </row>
    <row r="67">
      <c r="A67" s="58"/>
      <c r="B67" s="59"/>
      <c r="C67" s="60"/>
      <c r="D67" s="18"/>
      <c r="E67" s="18" t="str">
        <f>IF($D67="","",COUNTIF(Heart!$G$3:$G109, $D67))</f>
        <v/>
      </c>
      <c r="F67" s="18" t="str">
        <f t="shared" si="1"/>
        <v/>
      </c>
      <c r="G67" s="18" t="str">
        <f>IF($D67="","",COUNTIFS(Heart!$H$2:$H109,"",Heart!$G$2:$G109,$D67,Heart!$K$2:$K109,FALSE))</f>
        <v/>
      </c>
      <c r="H67" s="36" t="str">
        <f t="shared" si="2"/>
        <v/>
      </c>
    </row>
    <row r="68">
      <c r="A68" s="58"/>
      <c r="B68" s="59"/>
      <c r="C68" s="60"/>
      <c r="D68" s="18"/>
      <c r="E68" s="18" t="str">
        <f>IF($D68="","",COUNTIF(Heart!$G$3:$G109, $D68))</f>
        <v/>
      </c>
      <c r="F68" s="18" t="str">
        <f t="shared" si="1"/>
        <v/>
      </c>
      <c r="G68" s="18" t="str">
        <f>IF($D68="","",COUNTIFS(Heart!$H$2:$H109,"",Heart!$G$2:$G109,$D68,Heart!$K$2:$K109,FALSE))</f>
        <v/>
      </c>
      <c r="H68" s="36" t="str">
        <f t="shared" si="2"/>
        <v/>
      </c>
    </row>
    <row r="69">
      <c r="A69" s="49"/>
      <c r="B69" s="50"/>
      <c r="C69" s="51"/>
      <c r="D69" s="18"/>
      <c r="E69" s="18" t="str">
        <f>IF($D69="","",COUNTIF(Heart!$G$3:$G109, $D69))</f>
        <v/>
      </c>
      <c r="F69" s="18" t="str">
        <f t="shared" si="1"/>
        <v/>
      </c>
      <c r="G69" s="18" t="str">
        <f>IF($D69="","",COUNTIFS(Heart!$H$2:$H109,"",Heart!$G$2:$G109,$D69,Heart!$K$2:$K109,FALSE))</f>
        <v/>
      </c>
      <c r="H69" s="36" t="str">
        <f t="shared" si="2"/>
        <v/>
      </c>
    </row>
    <row r="70">
      <c r="A70" s="58"/>
      <c r="B70" s="59"/>
      <c r="C70" s="60"/>
      <c r="D70" s="18"/>
      <c r="E70" s="18" t="str">
        <f>IF($D70="","",COUNTIF(Heart!$G$3:$G109, $D70))</f>
        <v/>
      </c>
      <c r="F70" s="18" t="str">
        <f t="shared" si="1"/>
        <v/>
      </c>
      <c r="G70" s="18" t="str">
        <f>IF($D70="","",COUNTIFS(Heart!$H$2:$H109,"",Heart!$G$2:$G109,$D70,Heart!$K$2:$K109,FALSE))</f>
        <v/>
      </c>
      <c r="H70" s="36" t="str">
        <f t="shared" si="2"/>
        <v/>
      </c>
    </row>
    <row r="71">
      <c r="A71" s="58"/>
      <c r="B71" s="59"/>
      <c r="C71" s="60"/>
      <c r="D71" s="18"/>
      <c r="E71" s="18" t="str">
        <f>IF($D71="","",COUNTIF(Heart!$G$3:$G109, $D71))</f>
        <v/>
      </c>
      <c r="F71" s="18" t="str">
        <f t="shared" si="1"/>
        <v/>
      </c>
      <c r="G71" s="18" t="str">
        <f>IF($D71="","",COUNTIFS(Heart!$H$2:$H109,"",Heart!$G$2:$G109,$D71,Heart!$K$2:$K109,FALSE))</f>
        <v/>
      </c>
      <c r="H71" s="36" t="str">
        <f t="shared" si="2"/>
        <v/>
      </c>
    </row>
    <row r="72">
      <c r="A72" s="58"/>
      <c r="B72" s="59"/>
      <c r="C72" s="60"/>
      <c r="D72" s="18"/>
      <c r="E72" s="18" t="str">
        <f>IF($D72="","",COUNTIF(Heart!$G$3:$G109, $D72))</f>
        <v/>
      </c>
      <c r="F72" s="18" t="str">
        <f t="shared" si="1"/>
        <v/>
      </c>
      <c r="G72" s="18" t="str">
        <f>IF($D72="","",COUNTIFS(Heart!$H$2:$H109,"",Heart!$G$2:$G109,$D72,Heart!$K$2:$K109,FALSE))</f>
        <v/>
      </c>
      <c r="H72" s="36" t="str">
        <f t="shared" si="2"/>
        <v/>
      </c>
    </row>
    <row r="73">
      <c r="A73" s="58"/>
      <c r="B73" s="59"/>
      <c r="C73" s="60"/>
      <c r="D73" s="18"/>
      <c r="E73" s="18" t="str">
        <f>IF($D73="","",COUNTIF(Heart!$G$3:$G109, $D73))</f>
        <v/>
      </c>
      <c r="F73" s="18" t="str">
        <f t="shared" si="1"/>
        <v/>
      </c>
      <c r="G73" s="18" t="str">
        <f>IF($D73="","",COUNTIFS(Heart!$H$2:$H109,"",Heart!$G$2:$G109,$D73,Heart!$K$2:$K109,FALSE))</f>
        <v/>
      </c>
      <c r="H73" s="36" t="str">
        <f t="shared" si="2"/>
        <v/>
      </c>
    </row>
    <row r="74">
      <c r="A74" s="49"/>
      <c r="B74" s="50"/>
      <c r="C74" s="51"/>
      <c r="D74" s="18"/>
      <c r="E74" s="18" t="str">
        <f>IF($D74="","",COUNTIF(Heart!$G$3:$G109, $D74))</f>
        <v/>
      </c>
      <c r="F74" s="18" t="str">
        <f t="shared" si="1"/>
        <v/>
      </c>
      <c r="G74" s="18" t="str">
        <f>IF($D74="","",COUNTIFS(Heart!$H$2:$H109,"",Heart!$G$2:$G109,$D74,Heart!$K$2:$K109,FALSE))</f>
        <v/>
      </c>
      <c r="H74" s="36" t="str">
        <f t="shared" si="2"/>
        <v/>
      </c>
    </row>
    <row r="75">
      <c r="A75" s="58"/>
      <c r="B75" s="59"/>
      <c r="C75" s="60"/>
      <c r="D75" s="18"/>
      <c r="E75" s="18" t="str">
        <f>IF($D75="","",COUNTIF(Heart!$G$3:$G109, $D75))</f>
        <v/>
      </c>
      <c r="F75" s="18" t="str">
        <f t="shared" si="1"/>
        <v/>
      </c>
      <c r="G75" s="18" t="str">
        <f>IF($D75="","",COUNTIFS(Heart!$H$2:$H109,"",Heart!$G$2:$G109,$D75,Heart!$K$2:$K109,FALSE))</f>
        <v/>
      </c>
      <c r="H75" s="36" t="str">
        <f t="shared" si="2"/>
        <v/>
      </c>
    </row>
    <row r="76">
      <c r="A76" s="58"/>
      <c r="B76" s="59"/>
      <c r="C76" s="60"/>
      <c r="D76" s="18"/>
      <c r="E76" s="18" t="str">
        <f>IF($D76="","",COUNTIF(Heart!$G$3:$G109, $D76))</f>
        <v/>
      </c>
      <c r="F76" s="18" t="str">
        <f t="shared" si="1"/>
        <v/>
      </c>
      <c r="G76" s="18" t="str">
        <f>IF($D76="","",COUNTIFS(Heart!$H$2:$H109,"",Heart!$G$2:$G109,$D76,Heart!$K$2:$K109,FALSE))</f>
        <v/>
      </c>
      <c r="H76" s="36" t="str">
        <f t="shared" si="2"/>
        <v/>
      </c>
    </row>
    <row r="77">
      <c r="A77" s="58"/>
      <c r="B77" s="59"/>
      <c r="C77" s="60"/>
      <c r="D77" s="18"/>
      <c r="E77" s="18" t="str">
        <f>IF($D77="","",COUNTIF(Heart!$G$3:$G109, $D77))</f>
        <v/>
      </c>
      <c r="F77" s="18" t="str">
        <f t="shared" si="1"/>
        <v/>
      </c>
      <c r="G77" s="18" t="str">
        <f>IF($D77="","",COUNTIFS(Heart!$H$2:$H109,"",Heart!$G$2:$G109,$D77,Heart!$K$2:$K109,FALSE))</f>
        <v/>
      </c>
      <c r="H77" s="36" t="str">
        <f t="shared" si="2"/>
        <v/>
      </c>
    </row>
    <row r="78">
      <c r="A78" s="58"/>
      <c r="B78" s="59"/>
      <c r="C78" s="60"/>
      <c r="D78" s="18"/>
      <c r="E78" s="18" t="str">
        <f>IF($D78="","",COUNTIF(Heart!$G$3:$G109, $D78))</f>
        <v/>
      </c>
      <c r="F78" s="18" t="str">
        <f t="shared" si="1"/>
        <v/>
      </c>
      <c r="G78" s="18" t="str">
        <f>IF($D78="","",COUNTIFS(Heart!$H$2:$H109,"",Heart!$G$2:$G109,$D78,Heart!$K$2:$K109,FALSE))</f>
        <v/>
      </c>
      <c r="H78" s="36" t="str">
        <f t="shared" si="2"/>
        <v/>
      </c>
    </row>
    <row r="79">
      <c r="A79" s="49"/>
      <c r="B79" s="50"/>
      <c r="C79" s="51"/>
      <c r="D79" s="18"/>
      <c r="E79" s="18" t="str">
        <f>IF($D79="","",COUNTIF(Heart!$G$3:$G109, $D79))</f>
        <v/>
      </c>
      <c r="F79" s="18" t="str">
        <f t="shared" si="1"/>
        <v/>
      </c>
      <c r="G79" s="18" t="str">
        <f>IF($D79="","",COUNTIFS(Heart!$H$2:$H109,"",Heart!$G$2:$G109,$D79,Heart!$K$2:$K109,FALSE))</f>
        <v/>
      </c>
      <c r="H79" s="36" t="str">
        <f t="shared" si="2"/>
        <v/>
      </c>
    </row>
    <row r="80">
      <c r="A80" s="58"/>
      <c r="B80" s="59"/>
      <c r="C80" s="60"/>
      <c r="D80" s="18"/>
      <c r="E80" s="18" t="str">
        <f>IF($D80="","",COUNTIF(Heart!$G$3:$G109, $D80))</f>
        <v/>
      </c>
      <c r="F80" s="18" t="str">
        <f t="shared" si="1"/>
        <v/>
      </c>
      <c r="G80" s="18" t="str">
        <f>IF($D80="","",COUNTIFS(Heart!$H$2:$H109,"",Heart!$G$2:$G109,$D80,Heart!$K$2:$K109,FALSE))</f>
        <v/>
      </c>
      <c r="H80" s="36" t="str">
        <f t="shared" si="2"/>
        <v/>
      </c>
    </row>
    <row r="81">
      <c r="A81" s="58"/>
      <c r="B81" s="59"/>
      <c r="C81" s="60"/>
      <c r="D81" s="18"/>
      <c r="E81" s="18" t="str">
        <f>IF($D81="","",COUNTIF(Heart!$G$3:$G109, $D81))</f>
        <v/>
      </c>
      <c r="F81" s="18" t="str">
        <f t="shared" si="1"/>
        <v/>
      </c>
      <c r="G81" s="18" t="str">
        <f>IF($D81="","",COUNTIFS(Heart!$H$2:$H109,"",Heart!$G$2:$G109,$D81,Heart!$K$2:$K109,FALSE))</f>
        <v/>
      </c>
      <c r="H81" s="36" t="str">
        <f t="shared" si="2"/>
        <v/>
      </c>
    </row>
    <row r="82">
      <c r="A82" s="58"/>
      <c r="B82" s="59"/>
      <c r="C82" s="60"/>
      <c r="D82" s="18"/>
      <c r="E82" s="18" t="str">
        <f>IF($D82="","",COUNTIF(Heart!$G$3:$G109, $D82))</f>
        <v/>
      </c>
      <c r="F82" s="18" t="str">
        <f t="shared" si="1"/>
        <v/>
      </c>
      <c r="G82" s="18" t="str">
        <f>IF($D82="","",COUNTIFS(Heart!$H$2:$H109,"",Heart!$G$2:$G109,$D82,Heart!$K$2:$K109,FALSE))</f>
        <v/>
      </c>
      <c r="H82" s="36" t="str">
        <f t="shared" si="2"/>
        <v/>
      </c>
    </row>
    <row r="83">
      <c r="A83" s="58"/>
      <c r="B83" s="59"/>
      <c r="C83" s="60"/>
      <c r="D83" s="18"/>
      <c r="E83" s="18" t="str">
        <f>IF($D83="","",COUNTIF(Heart!$G$3:$G109, $D83))</f>
        <v/>
      </c>
      <c r="F83" s="18" t="str">
        <f t="shared" si="1"/>
        <v/>
      </c>
      <c r="G83" s="18" t="str">
        <f>IF($D83="","",COUNTIFS(Heart!$H$2:$H109,"",Heart!$G$2:$G109,$D83,Heart!$K$2:$K109,FALSE))</f>
        <v/>
      </c>
      <c r="H83" s="36" t="str">
        <f t="shared" si="2"/>
        <v/>
      </c>
    </row>
    <row r="84">
      <c r="A84" s="49"/>
      <c r="B84" s="50"/>
      <c r="C84" s="51"/>
      <c r="D84" s="18"/>
      <c r="E84" s="18" t="str">
        <f>IF($D84="","",COUNTIF(Heart!$G$3:$G109, $D84))</f>
        <v/>
      </c>
      <c r="F84" s="18" t="str">
        <f t="shared" si="1"/>
        <v/>
      </c>
      <c r="G84" s="18" t="str">
        <f>IF($D84="","",COUNTIFS(Heart!$H$2:$H109,"",Heart!$G$2:$G109,$D84,Heart!$K$2:$K109,FALSE))</f>
        <v/>
      </c>
      <c r="H84" s="36" t="str">
        <f t="shared" si="2"/>
        <v/>
      </c>
    </row>
    <row r="85">
      <c r="A85" s="58"/>
      <c r="B85" s="59"/>
      <c r="C85" s="60"/>
      <c r="D85" s="18"/>
      <c r="E85" s="18" t="str">
        <f>IF($D85="","",COUNTIF(Heart!$G$3:$G109, $D85))</f>
        <v/>
      </c>
      <c r="F85" s="18" t="str">
        <f t="shared" si="1"/>
        <v/>
      </c>
      <c r="G85" s="18" t="str">
        <f>IF($D85="","",COUNTIFS(Heart!$H$2:$H109,"",Heart!$G$2:$G109,$D85,Heart!$K$2:$K109,FALSE))</f>
        <v/>
      </c>
      <c r="H85" s="36" t="str">
        <f t="shared" si="2"/>
        <v/>
      </c>
    </row>
    <row r="86">
      <c r="A86" s="58"/>
      <c r="B86" s="59"/>
      <c r="C86" s="60"/>
      <c r="D86" s="18"/>
      <c r="E86" s="18" t="str">
        <f>IF($D86="","",COUNTIF(Heart!$G$3:$G109, $D86))</f>
        <v/>
      </c>
      <c r="F86" s="18" t="str">
        <f t="shared" si="1"/>
        <v/>
      </c>
      <c r="G86" s="18" t="str">
        <f>IF($D86="","",COUNTIFS(Heart!$H$2:$H109,"",Heart!$G$2:$G109,$D86,Heart!$K$2:$K109,FALSE))</f>
        <v/>
      </c>
      <c r="H86" s="36" t="str">
        <f t="shared" si="2"/>
        <v/>
      </c>
    </row>
    <row r="87">
      <c r="A87" s="58"/>
      <c r="B87" s="59"/>
      <c r="C87" s="60"/>
      <c r="D87" s="18"/>
      <c r="E87" s="18" t="str">
        <f>IF($D87="","",COUNTIF(Heart!$G$3:$G109, $D87))</f>
        <v/>
      </c>
      <c r="F87" s="18" t="str">
        <f t="shared" si="1"/>
        <v/>
      </c>
      <c r="G87" s="18" t="str">
        <f>IF($D87="","",COUNTIFS(Heart!$H$2:$H109,"",Heart!$G$2:$G109,$D87,Heart!$K$2:$K109,FALSE))</f>
        <v/>
      </c>
      <c r="H87" s="36" t="str">
        <f t="shared" si="2"/>
        <v/>
      </c>
    </row>
    <row r="88">
      <c r="A88" s="58"/>
      <c r="B88" s="59"/>
      <c r="C88" s="60"/>
      <c r="D88" s="18"/>
      <c r="E88" s="18" t="str">
        <f>IF($D88="","",COUNTIF(Heart!$G$3:$G109, $D88))</f>
        <v/>
      </c>
      <c r="F88" s="18" t="str">
        <f t="shared" si="1"/>
        <v/>
      </c>
      <c r="G88" s="18" t="str">
        <f>IF($D88="","",COUNTIFS(Heart!$H$2:$H109,"",Heart!$G$2:$G109,$D88,Heart!$K$2:$K109,FALSE))</f>
        <v/>
      </c>
      <c r="H88" s="36" t="str">
        <f t="shared" si="2"/>
        <v/>
      </c>
    </row>
    <row r="89">
      <c r="A89" s="49"/>
      <c r="B89" s="50"/>
      <c r="C89" s="51"/>
      <c r="D89" s="18"/>
      <c r="E89" s="18" t="str">
        <f>IF($D89="","",COUNTIF(Heart!$G$3:$G109, $D89))</f>
        <v/>
      </c>
      <c r="F89" s="18" t="str">
        <f t="shared" si="1"/>
        <v/>
      </c>
      <c r="G89" s="18" t="str">
        <f>IF($D89="","",COUNTIFS(Heart!$H$2:$H109,"",Heart!$G$2:$G109,$D89,Heart!$K$2:$K109,FALSE))</f>
        <v/>
      </c>
      <c r="H89" s="36" t="str">
        <f t="shared" si="2"/>
        <v/>
      </c>
    </row>
    <row r="90">
      <c r="A90" s="58"/>
      <c r="B90" s="59"/>
      <c r="C90" s="60"/>
      <c r="D90" s="18"/>
      <c r="E90" s="18" t="str">
        <f>IF($D90="","",COUNTIF(Heart!$G$3:$G109, $D90))</f>
        <v/>
      </c>
      <c r="F90" s="18" t="str">
        <f t="shared" si="1"/>
        <v/>
      </c>
      <c r="G90" s="18" t="str">
        <f>IF($D90="","",COUNTIFS(Heart!$H$2:$H109,"",Heart!$G$2:$G109,$D90,Heart!$K$2:$K109,FALSE))</f>
        <v/>
      </c>
      <c r="H90" s="36" t="str">
        <f t="shared" si="2"/>
        <v/>
      </c>
    </row>
    <row r="91">
      <c r="A91" s="58"/>
      <c r="B91" s="59"/>
      <c r="C91" s="60"/>
      <c r="D91" s="18"/>
      <c r="E91" s="18" t="str">
        <f>IF($D91="","",COUNTIF(Heart!$G$3:$G109, $D91))</f>
        <v/>
      </c>
      <c r="F91" s="18" t="str">
        <f t="shared" si="1"/>
        <v/>
      </c>
      <c r="G91" s="18" t="str">
        <f>IF($D91="","",COUNTIFS(Heart!$H$2:$H109,"",Heart!$G$2:$G109,$D91,Heart!$K$2:$K109,FALSE))</f>
        <v/>
      </c>
      <c r="H91" s="36" t="str">
        <f t="shared" si="2"/>
        <v/>
      </c>
    </row>
    <row r="92">
      <c r="A92" s="58"/>
      <c r="B92" s="59"/>
      <c r="C92" s="60"/>
      <c r="D92" s="18"/>
      <c r="E92" s="18" t="str">
        <f>IF($D92="","",COUNTIF(Heart!$G$3:$G109, $D92))</f>
        <v/>
      </c>
      <c r="F92" s="18" t="str">
        <f t="shared" si="1"/>
        <v/>
      </c>
      <c r="G92" s="18" t="str">
        <f>IF($D92="","",COUNTIFS(Heart!$H$2:$H109,"",Heart!$G$2:$G109,$D92,Heart!$K$2:$K109,FALSE))</f>
        <v/>
      </c>
      <c r="H92" s="36" t="str">
        <f t="shared" si="2"/>
        <v/>
      </c>
    </row>
    <row r="93">
      <c r="A93" s="58"/>
      <c r="B93" s="59"/>
      <c r="C93" s="60"/>
      <c r="D93" s="18"/>
      <c r="E93" s="18" t="str">
        <f>IF($D93="","",COUNTIF(Heart!$G$3:$G109, $D93))</f>
        <v/>
      </c>
      <c r="F93" s="18" t="str">
        <f t="shared" si="1"/>
        <v/>
      </c>
      <c r="G93" s="18" t="str">
        <f>IF($D93="","",COUNTIFS(Heart!$H$2:$H109,"",Heart!$G$2:$G109,$D93,Heart!$K$2:$K109,FALSE))</f>
        <v/>
      </c>
      <c r="H93" s="36" t="str">
        <f t="shared" si="2"/>
        <v/>
      </c>
    </row>
    <row r="94">
      <c r="A94" s="49"/>
      <c r="B94" s="50"/>
      <c r="C94" s="51"/>
      <c r="D94" s="18"/>
      <c r="E94" s="18" t="str">
        <f>IF($D94="","",COUNTIF(Heart!$G$3:$G109, $D94))</f>
        <v/>
      </c>
      <c r="F94" s="18" t="str">
        <f t="shared" si="1"/>
        <v/>
      </c>
      <c r="G94" s="18" t="str">
        <f>IF($D94="","",COUNTIFS(Heart!$H$2:$H109,"",Heart!$G$2:$G109,$D94,Heart!$K$2:$K109,FALSE))</f>
        <v/>
      </c>
      <c r="H94" s="36" t="str">
        <f t="shared" si="2"/>
        <v/>
      </c>
    </row>
    <row r="95">
      <c r="A95" s="58"/>
      <c r="B95" s="59"/>
      <c r="C95" s="60"/>
      <c r="D95" s="18"/>
      <c r="E95" s="18" t="str">
        <f>IF($D95="","",COUNTIF(Heart!$G$3:$G109, $D95))</f>
        <v/>
      </c>
      <c r="F95" s="18" t="str">
        <f t="shared" si="1"/>
        <v/>
      </c>
      <c r="G95" s="18" t="str">
        <f>IF($D95="","",COUNTIFS(Heart!$H$2:$H109,"",Heart!$G$2:$G109,$D95,Heart!$K$2:$K109,FALSE))</f>
        <v/>
      </c>
      <c r="H95" s="36" t="str">
        <f t="shared" si="2"/>
        <v/>
      </c>
    </row>
    <row r="96">
      <c r="A96" s="58"/>
      <c r="B96" s="59"/>
      <c r="C96" s="60"/>
      <c r="D96" s="18"/>
      <c r="E96" s="18" t="str">
        <f>IF($D96="","",COUNTIF(Heart!$G$3:$G109, $D96))</f>
        <v/>
      </c>
      <c r="F96" s="18" t="str">
        <f t="shared" si="1"/>
        <v/>
      </c>
      <c r="G96" s="18" t="str">
        <f>IF($D96="","",COUNTIFS(Heart!$H$2:$H109,"",Heart!$G$2:$G109,$D96,Heart!$K$2:$K109,FALSE))</f>
        <v/>
      </c>
      <c r="H96" s="36" t="str">
        <f t="shared" si="2"/>
        <v/>
      </c>
    </row>
    <row r="97">
      <c r="A97" s="58"/>
      <c r="B97" s="59"/>
      <c r="C97" s="60"/>
      <c r="D97" s="18"/>
      <c r="E97" s="18" t="str">
        <f>IF($D97="","",COUNTIF(Heart!$G$3:$G109, $D97))</f>
        <v/>
      </c>
      <c r="F97" s="18" t="str">
        <f t="shared" si="1"/>
        <v/>
      </c>
      <c r="G97" s="18" t="str">
        <f>IF($D97="","",COUNTIFS(Heart!$H$2:$H109,"",Heart!$G$2:$G109,$D97,Heart!$K$2:$K109,FALSE))</f>
        <v/>
      </c>
      <c r="H97" s="36" t="str">
        <f t="shared" si="2"/>
        <v/>
      </c>
    </row>
    <row r="98">
      <c r="A98" s="58"/>
      <c r="B98" s="59"/>
      <c r="C98" s="60"/>
      <c r="D98" s="18"/>
      <c r="E98" s="18" t="str">
        <f>IF($D98="","",COUNTIF(Heart!$G$3:$G109, $D98))</f>
        <v/>
      </c>
      <c r="F98" s="18" t="str">
        <f t="shared" si="1"/>
        <v/>
      </c>
      <c r="G98" s="18" t="str">
        <f>IF($D98="","",COUNTIFS(Heart!$H$2:$H109,"",Heart!$G$2:$G109,$D98,Heart!$K$2:$K109,FALSE))</f>
        <v/>
      </c>
      <c r="H98" s="36" t="str">
        <f t="shared" si="2"/>
        <v/>
      </c>
    </row>
    <row r="99">
      <c r="A99" s="49"/>
      <c r="B99" s="50"/>
      <c r="C99" s="51"/>
      <c r="D99" s="18"/>
      <c r="E99" s="18" t="str">
        <f>IF($D99="","",COUNTIF(Heart!$G$3:$G109, $D99))</f>
        <v/>
      </c>
      <c r="F99" s="18" t="str">
        <f t="shared" si="1"/>
        <v/>
      </c>
      <c r="G99" s="18" t="str">
        <f>IF($D99="","",COUNTIFS(Heart!$H$2:$H109,"",Heart!$G$2:$G109,$D99,Heart!$K$2:$K109,FALSE))</f>
        <v/>
      </c>
      <c r="H99" s="36" t="str">
        <f t="shared" si="2"/>
        <v/>
      </c>
    </row>
    <row r="100">
      <c r="A100" s="58"/>
      <c r="B100" s="59"/>
      <c r="C100" s="60"/>
      <c r="D100" s="18"/>
      <c r="E100" s="18" t="str">
        <f>IF($D100="","",COUNTIF(Heart!$G$3:$G109, $D100))</f>
        <v/>
      </c>
      <c r="F100" s="18" t="str">
        <f t="shared" si="1"/>
        <v/>
      </c>
      <c r="G100" s="18" t="str">
        <f>IF($D100="","",COUNTIFS(Heart!$H$2:$H109,"",Heart!$G$2:$G109,$D100,Heart!$K$2:$K109,FALSE))</f>
        <v/>
      </c>
      <c r="H100" s="36" t="str">
        <f t="shared" si="2"/>
        <v/>
      </c>
    </row>
    <row r="101">
      <c r="A101" s="58"/>
      <c r="B101" s="59"/>
      <c r="C101" s="60"/>
      <c r="D101" s="18"/>
      <c r="E101" s="18" t="str">
        <f>IF($D101="","",COUNTIF(Heart!$G$3:$G109, $D101))</f>
        <v/>
      </c>
      <c r="F101" s="18" t="str">
        <f t="shared" si="1"/>
        <v/>
      </c>
      <c r="G101" s="18" t="str">
        <f>IF($D101="","",COUNTIFS(Heart!$H$2:$H109,"",Heart!$G$2:$G109,$D101,Heart!$K$2:$K109,FALSE))</f>
        <v/>
      </c>
      <c r="H101" s="36" t="str">
        <f t="shared" si="2"/>
        <v/>
      </c>
    </row>
    <row r="102">
      <c r="A102" s="58"/>
      <c r="B102" s="59"/>
      <c r="C102" s="60"/>
      <c r="D102" s="18"/>
      <c r="E102" s="18" t="str">
        <f>IF($D102="","",COUNTIF(Heart!$G$3:$G109, $D102))</f>
        <v/>
      </c>
      <c r="F102" s="18" t="str">
        <f t="shared" si="1"/>
        <v/>
      </c>
      <c r="G102" s="18" t="str">
        <f>IF($D102="","",COUNTIFS(Heart!$H$2:$H109,"",Heart!$G$2:$G109,$D102,Heart!$K$2:$K109,FALSE))</f>
        <v/>
      </c>
      <c r="H102" s="36" t="str">
        <f t="shared" si="2"/>
        <v/>
      </c>
    </row>
    <row r="103">
      <c r="A103" s="58"/>
      <c r="B103" s="59"/>
      <c r="C103" s="60"/>
      <c r="D103" s="18"/>
      <c r="E103" s="18" t="str">
        <f>IF($D103="","",COUNTIF(Heart!$G$3:$G109, $D103))</f>
        <v/>
      </c>
      <c r="F103" s="18" t="str">
        <f t="shared" si="1"/>
        <v/>
      </c>
      <c r="G103" s="18" t="str">
        <f>IF($D103="","",COUNTIFS(Heart!$H$2:$H109,"",Heart!$G$2:$G109,$D103,Heart!$K$2:$K109,FALSE))</f>
        <v/>
      </c>
      <c r="H103" s="36" t="str">
        <f t="shared" si="2"/>
        <v/>
      </c>
    </row>
    <row r="104">
      <c r="A104" s="49"/>
      <c r="B104" s="50"/>
      <c r="C104" s="51"/>
      <c r="D104" s="18"/>
      <c r="E104" s="18" t="str">
        <f>IF($D104="","",COUNTIF(Heart!$G$3:$G109, $D104))</f>
        <v/>
      </c>
      <c r="F104" s="18" t="str">
        <f t="shared" si="1"/>
        <v/>
      </c>
      <c r="G104" s="18" t="str">
        <f>IF($D104="","",COUNTIFS(Heart!$H$2:$H109,"",Heart!$G$2:$G109,$D104,Heart!$K$2:$K109,FALSE))</f>
        <v/>
      </c>
      <c r="H104" s="36" t="str">
        <f t="shared" si="2"/>
        <v/>
      </c>
    </row>
    <row r="105">
      <c r="A105" s="58"/>
      <c r="B105" s="59"/>
      <c r="C105" s="60"/>
      <c r="D105" s="18"/>
      <c r="E105" s="18" t="str">
        <f>IF($D105="","",COUNTIF(Heart!$G$3:$G109, $D105))</f>
        <v/>
      </c>
      <c r="F105" s="18" t="str">
        <f t="shared" si="1"/>
        <v/>
      </c>
      <c r="G105" s="18" t="str">
        <f>IF($D105="","",COUNTIFS(Heart!$H$2:$H109,"",Heart!$G$2:$G109,$D105,Heart!$K$2:$K109,FALSE))</f>
        <v/>
      </c>
      <c r="H105" s="36" t="str">
        <f t="shared" si="2"/>
        <v/>
      </c>
    </row>
    <row r="106">
      <c r="A106" s="58"/>
      <c r="B106" s="59"/>
      <c r="C106" s="60"/>
      <c r="D106" s="18"/>
      <c r="E106" s="18" t="str">
        <f>IF($D106="","",COUNTIF(Heart!$G$3:$G109, $D106))</f>
        <v/>
      </c>
      <c r="F106" s="18" t="str">
        <f t="shared" si="1"/>
        <v/>
      </c>
      <c r="G106" s="18" t="str">
        <f>IF($D106="","",COUNTIFS(Heart!$H$2:$H109,"",Heart!$G$2:$G109,$D106,Heart!$K$2:$K109,FALSE))</f>
        <v/>
      </c>
      <c r="H106" s="36" t="str">
        <f t="shared" si="2"/>
        <v/>
      </c>
    </row>
    <row r="107">
      <c r="A107" s="58"/>
      <c r="B107" s="59"/>
      <c r="C107" s="60"/>
      <c r="D107" s="18"/>
      <c r="E107" s="18" t="str">
        <f>IF($D107="","",COUNTIF(Heart!$G$3:$G109, $D107))</f>
        <v/>
      </c>
      <c r="F107" s="18" t="str">
        <f t="shared" si="1"/>
        <v/>
      </c>
      <c r="G107" s="18" t="str">
        <f>IF($D107="","",COUNTIFS(Heart!$H$2:$H109,"",Heart!$G$2:$G109,$D107,Heart!$K$2:$K109,FALSE))</f>
        <v/>
      </c>
      <c r="H107" s="36" t="str">
        <f t="shared" si="2"/>
        <v/>
      </c>
    </row>
    <row r="108">
      <c r="A108" s="58"/>
      <c r="B108" s="59"/>
      <c r="C108" s="60"/>
      <c r="D108" s="18"/>
      <c r="E108" s="18" t="str">
        <f>IF($D108="","",COUNTIF(Heart!$G$3:$G109, $D108))</f>
        <v/>
      </c>
      <c r="F108" s="18" t="str">
        <f t="shared" si="1"/>
        <v/>
      </c>
      <c r="G108" s="18" t="str">
        <f>IF($D108="","",COUNTIFS(Heart!$H$2:$H109,"",Heart!$G$2:$G109,$D108,Heart!$K$2:$K109,FALSE))</f>
        <v/>
      </c>
      <c r="H108" s="36" t="str">
        <f t="shared" si="2"/>
        <v/>
      </c>
    </row>
    <row r="109">
      <c r="A109" s="49"/>
      <c r="B109" s="50"/>
      <c r="C109" s="51"/>
      <c r="D109" s="18"/>
      <c r="E109" s="18"/>
      <c r="F109" s="18"/>
      <c r="G109" s="18"/>
      <c r="H109" s="36"/>
    </row>
  </sheetData>
  <mergeCells count="10">
    <mergeCell ref="A7:C9"/>
    <mergeCell ref="A10:C27"/>
    <mergeCell ref="A28:C28"/>
    <mergeCell ref="B1:C1"/>
    <mergeCell ref="D1:E1"/>
    <mergeCell ref="B2:C2"/>
    <mergeCell ref="D2:E2"/>
    <mergeCell ref="B3:C3"/>
    <mergeCell ref="D3:E3"/>
    <mergeCell ref="A4:H5"/>
  </mergeCells>
  <conditionalFormatting sqref="D8:G109">
    <cfRule type="expression" dxfId="2" priority="1">
      <formula>IF($D8="poi virtual garden",TRUE,FALSE)</formula>
    </cfRule>
  </conditionalFormatting>
  <conditionalFormatting sqref="D8:G109">
    <cfRule type="expression" dxfId="3" priority="2">
      <formula>IF($D8="timberwolf",TRUE,FALSE)</formula>
    </cfRule>
  </conditionalFormatting>
  <conditionalFormatting sqref="D8:G109">
    <cfRule type="expression" dxfId="4" priority="3">
      <formula>IF($D8="silver",TRUE,FALSE)</formula>
    </cfRule>
  </conditionalFormatting>
  <conditionalFormatting sqref="D8:G109">
    <cfRule type="expression" dxfId="5" priority="4">
      <formula>IF($D8="gray",TRUE,FALSE)</formula>
    </cfRule>
  </conditionalFormatting>
  <conditionalFormatting sqref="D8:G109">
    <cfRule type="expression" dxfId="6" priority="5">
      <formula>IF($D8="black",TRUE,FALSE)</formula>
    </cfRule>
  </conditionalFormatting>
  <conditionalFormatting sqref="D8:G109">
    <cfRule type="expression" dxfId="7" priority="6">
      <formula>IF($D8="orchid",TRUE,FALSE)</formula>
    </cfRule>
  </conditionalFormatting>
  <conditionalFormatting sqref="D8:G109">
    <cfRule type="expression" dxfId="8" priority="7">
      <formula>IF($D8="wisteria",TRUE,FALSE)</formula>
    </cfRule>
  </conditionalFormatting>
  <conditionalFormatting sqref="D8:G109">
    <cfRule type="expression" dxfId="9" priority="8">
      <formula>IF($D8="purple mountains majesty",TRUE,FALSE)</formula>
    </cfRule>
  </conditionalFormatting>
  <conditionalFormatting sqref="D8:G109">
    <cfRule type="expression" dxfId="10" priority="9">
      <formula>IF($D8="violet",TRUE,FALSE)</formula>
    </cfRule>
  </conditionalFormatting>
  <conditionalFormatting sqref="D8:G109">
    <cfRule type="expression" dxfId="11" priority="10">
      <formula>IF($D8="plum",TRUE,FALSE)</formula>
    </cfRule>
  </conditionalFormatting>
  <conditionalFormatting sqref="D8:G109">
    <cfRule type="expression" dxfId="12" priority="11">
      <formula>IF($D8="violet",TRUE,FALSE)</formula>
    </cfRule>
  </conditionalFormatting>
  <conditionalFormatting sqref="D8:G109">
    <cfRule type="expression" dxfId="13" priority="12">
      <formula>IF($D8="indigo",TRUE,FALSE)</formula>
    </cfRule>
  </conditionalFormatting>
  <conditionalFormatting sqref="D8:G109">
    <cfRule type="expression" dxfId="14" priority="13">
      <formula>IF($D8="blue",TRUE,FALSE)</formula>
    </cfRule>
  </conditionalFormatting>
  <conditionalFormatting sqref="D8:G109">
    <cfRule type="expression" dxfId="15" priority="14">
      <formula>IF($D8="cadet blue",TRUE,FALSE)</formula>
    </cfRule>
  </conditionalFormatting>
  <conditionalFormatting sqref="D8:G109">
    <cfRule type="expression" dxfId="16" priority="15">
      <formula>IF($D8="periwinkle",TRUE,FALSE)</formula>
    </cfRule>
  </conditionalFormatting>
  <conditionalFormatting sqref="D8:G109">
    <cfRule type="expression" dxfId="17" priority="16">
      <formula>IF($D8="cornflower",TRUE,FALSE)</formula>
    </cfRule>
  </conditionalFormatting>
  <conditionalFormatting sqref="D8:G109">
    <cfRule type="expression" dxfId="18" priority="17">
      <formula>IF($D8="blue green",TRUE,FALSE)</formula>
    </cfRule>
  </conditionalFormatting>
  <conditionalFormatting sqref="D8:G109">
    <cfRule type="expression" dxfId="19" priority="18">
      <formula>IF($D8="pacific blue",TRUE,FALSE)</formula>
    </cfRule>
  </conditionalFormatting>
  <conditionalFormatting sqref="D8:G109">
    <cfRule type="expression" dxfId="20" priority="19">
      <formula>IF($D8="cerulean",TRUE,FALSE)</formula>
    </cfRule>
  </conditionalFormatting>
  <conditionalFormatting sqref="D8:G109">
    <cfRule type="expression" dxfId="21" priority="20">
      <formula>IF($D8="robin egg blue",TRUE,FALSE)</formula>
    </cfRule>
  </conditionalFormatting>
  <conditionalFormatting sqref="D8:G109">
    <cfRule type="expression" dxfId="22" priority="21">
      <formula>IF($D8="turquoise blue",TRUE,FALSE)</formula>
    </cfRule>
  </conditionalFormatting>
  <conditionalFormatting sqref="D8:G109">
    <cfRule type="expression" dxfId="23" priority="22">
      <formula>IF($D8="sea green",TRUE,FALSE)</formula>
    </cfRule>
  </conditionalFormatting>
  <conditionalFormatting sqref="D8:G109">
    <cfRule type="expression" dxfId="24" priority="23">
      <formula>IF($D8="granny smith apple",TRUE,FALSE)</formula>
    </cfRule>
  </conditionalFormatting>
  <conditionalFormatting sqref="D8:G109">
    <cfRule type="expression" dxfId="25" priority="24">
      <formula>IF($D8="green",TRUE,FALSE)</formula>
    </cfRule>
  </conditionalFormatting>
  <conditionalFormatting sqref="D8:G109">
    <cfRule type="expression" dxfId="25" priority="25">
      <formula>IF($D8="green",TRUE,FALSE)</formula>
    </cfRule>
  </conditionalFormatting>
  <conditionalFormatting sqref="D8:G109">
    <cfRule type="expression" dxfId="26" priority="26">
      <formula>IF($D8="forest green",TRUE,FALSE)</formula>
    </cfRule>
  </conditionalFormatting>
  <conditionalFormatting sqref="D8:G109">
    <cfRule type="expression" dxfId="27" priority="27">
      <formula>IF($D8="asparagus",TRUE,FALSE)</formula>
    </cfRule>
  </conditionalFormatting>
  <conditionalFormatting sqref="D8:G109">
    <cfRule type="expression" dxfId="28" priority="28">
      <formula>IF($D8="olive green",TRUE,FALSE)</formula>
    </cfRule>
  </conditionalFormatting>
  <conditionalFormatting sqref="D8:G109">
    <cfRule type="expression" dxfId="29" priority="29">
      <formula>IF($D8="yellow green",TRUE,FALSE)</formula>
    </cfRule>
  </conditionalFormatting>
  <conditionalFormatting sqref="D8:G109">
    <cfRule type="expression" dxfId="30" priority="30">
      <formula>IF($D8="green yellow",TRUE,FALSE)</formula>
    </cfRule>
  </conditionalFormatting>
  <conditionalFormatting sqref="D8:G109">
    <cfRule type="expression" dxfId="31" priority="31">
      <formula>IF($D8="spring green",TRUE,FALSE)</formula>
    </cfRule>
  </conditionalFormatting>
  <conditionalFormatting sqref="D8:G109">
    <cfRule type="expression" dxfId="32" priority="32">
      <formula>IF($D8="gold",TRUE,FALSE)</formula>
    </cfRule>
  </conditionalFormatting>
  <conditionalFormatting sqref="D8:G109">
    <cfRule type="expression" dxfId="33" priority="33">
      <formula>IF($D8="yellow",TRUE,FALSE)</formula>
    </cfRule>
  </conditionalFormatting>
  <conditionalFormatting sqref="D8:G109">
    <cfRule type="expression" dxfId="34" priority="34">
      <formula>IF($D8="goldenrod",TRUE,FALSE)</formula>
    </cfRule>
  </conditionalFormatting>
  <conditionalFormatting sqref="D8:G109">
    <cfRule type="expression" dxfId="35" priority="35">
      <formula>IF($D8="dandelion",TRUE,FALSE)</formula>
    </cfRule>
  </conditionalFormatting>
  <conditionalFormatting sqref="D8:G109">
    <cfRule type="expression" dxfId="36" priority="36">
      <formula>IF($D8="burnt orange",TRUE,FALSE)</formula>
    </cfRule>
  </conditionalFormatting>
  <conditionalFormatting sqref="D8:G109">
    <cfRule type="expression" dxfId="37" priority="37">
      <formula>IF($D8="orange",TRUE,FALSE)</formula>
    </cfRule>
  </conditionalFormatting>
  <conditionalFormatting sqref="D8:G109">
    <cfRule type="expression" dxfId="38" priority="38">
      <formula>IF($D8="melon",TRUE,FALSE)</formula>
    </cfRule>
  </conditionalFormatting>
  <conditionalFormatting sqref="D8:G109">
    <cfRule type="expression" dxfId="39" priority="39">
      <formula>IF($D8="pink",TRUE,FALSE)</formula>
    </cfRule>
  </conditionalFormatting>
  <conditionalFormatting sqref="D8:G109">
    <cfRule type="expression" dxfId="40" priority="40">
      <formula>IF($D8="carnation pink",TRUE,FALSE)</formula>
    </cfRule>
  </conditionalFormatting>
  <conditionalFormatting sqref="D8:G109">
    <cfRule type="expression" dxfId="41" priority="41">
      <formula>IF($D8="mauvelous",TRUE,FALSE)</formula>
    </cfRule>
  </conditionalFormatting>
  <conditionalFormatting sqref="D8:G109">
    <cfRule type="expression" dxfId="42" priority="42">
      <formula>IF($D8="salmon",TRUE,FALSE)</formula>
    </cfRule>
  </conditionalFormatting>
  <conditionalFormatting sqref="D8:G109">
    <cfRule type="expression" dxfId="43" priority="43">
      <formula>IF($D8="tickle me pink",TRUE,FALSE)</formula>
    </cfRule>
  </conditionalFormatting>
  <conditionalFormatting sqref="D8:G109">
    <cfRule type="expression" dxfId="43" priority="44">
      <formula>IF($D8="tickle me pink",TRUE,FALSE)</formula>
    </cfRule>
  </conditionalFormatting>
  <conditionalFormatting sqref="D8:G109">
    <cfRule type="expression" dxfId="44" priority="45">
      <formula>IF($D8="magenta",TRUE,FALSE)</formula>
    </cfRule>
  </conditionalFormatting>
  <conditionalFormatting sqref="D8:G109">
    <cfRule type="expression" dxfId="45" priority="46">
      <formula>IF($D8="wild strawberry",TRUE,FALSE)</formula>
    </cfRule>
  </conditionalFormatting>
  <conditionalFormatting sqref="D8:G109">
    <cfRule type="expression" dxfId="46" priority="47">
      <formula>IF($D8="violet red",TRUE,FALSE)</formula>
    </cfRule>
  </conditionalFormatting>
  <conditionalFormatting sqref="D8:G109">
    <cfRule type="expression" dxfId="47" priority="48">
      <formula>IF($D8="red violet",TRUE,FALSE)</formula>
    </cfRule>
  </conditionalFormatting>
  <conditionalFormatting sqref="D8:G109">
    <cfRule type="expression" dxfId="48" priority="49">
      <formula>IF($D8="apricot",TRUE,FALSE)</formula>
    </cfRule>
  </conditionalFormatting>
  <conditionalFormatting sqref="D8:G109">
    <cfRule type="expression" dxfId="49" priority="50">
      <formula>IF($D8="peach",TRUE,FALSE)</formula>
    </cfRule>
  </conditionalFormatting>
  <conditionalFormatting sqref="D8:G109">
    <cfRule type="expression" dxfId="50" priority="51">
      <formula>IF($D8="macaroni and cheese",TRUE,FALSE)</formula>
    </cfRule>
  </conditionalFormatting>
  <conditionalFormatting sqref="D8:G109">
    <cfRule type="expression" dxfId="51" priority="52">
      <formula>IF($D8="tan",TRUE,FALSE)</formula>
    </cfRule>
  </conditionalFormatting>
  <conditionalFormatting sqref="D8:G109">
    <cfRule type="expression" dxfId="52" priority="53">
      <formula>IF($D8="burnt sienna",TRUE,FALSE)</formula>
    </cfRule>
  </conditionalFormatting>
  <conditionalFormatting sqref="D8:G109">
    <cfRule type="expression" dxfId="53" priority="54">
      <formula>IF($D8="bittersweet",TRUE,FALSE)</formula>
    </cfRule>
  </conditionalFormatting>
  <conditionalFormatting sqref="D8:G109">
    <cfRule type="expression" dxfId="54" priority="55">
      <formula>IF($D8="red orange",TRUE,FALSE)</formula>
    </cfRule>
  </conditionalFormatting>
  <conditionalFormatting sqref="D8:G109">
    <cfRule type="expression" dxfId="55" priority="56">
      <formula>IF($D8="scarlet",TRUE,FALSE)</formula>
    </cfRule>
  </conditionalFormatting>
  <conditionalFormatting sqref="D8:G109">
    <cfRule type="expression" dxfId="56" priority="57">
      <formula>IF($D8="red",TRUE,FALSE)</formula>
    </cfRule>
  </conditionalFormatting>
  <conditionalFormatting sqref="D8:G109">
    <cfRule type="expression" dxfId="57" priority="58">
      <formula>IF($D8="brick red",TRUE,FALSE)</formula>
    </cfRule>
  </conditionalFormatting>
  <conditionalFormatting sqref="D8:G109">
    <cfRule type="expression" dxfId="58" priority="59">
      <formula>IF($D8="mahogany",TRUE,FALSE)</formula>
    </cfRule>
  </conditionalFormatting>
  <conditionalFormatting sqref="D8:G109">
    <cfRule type="expression" dxfId="59" priority="60">
      <formula>IF($D8="chestnut",TRUE,FALSE)</formula>
    </cfRule>
  </conditionalFormatting>
  <conditionalFormatting sqref="D8:G109">
    <cfRule type="expression" dxfId="60" priority="61">
      <formula>IF($D8="tumbleweed",TRUE,FALSE)</formula>
    </cfRule>
  </conditionalFormatting>
  <conditionalFormatting sqref="D8:G109">
    <cfRule type="expression" dxfId="61" priority="62">
      <formula>IF($D8="raw sienna",TRUE,FALSE)</formula>
    </cfRule>
  </conditionalFormatting>
  <conditionalFormatting sqref="D8:G109">
    <cfRule type="expression" dxfId="62" priority="63">
      <formula>IF($D8="brown",TRUE,FALSE)</formula>
    </cfRule>
  </conditionalFormatting>
  <conditionalFormatting sqref="D8:G109">
    <cfRule type="expression" dxfId="63" priority="64">
      <formula>IF($D8="carrot",TRUE,FALSE)</formula>
    </cfRule>
  </conditionalFormatting>
  <conditionalFormatting sqref="D8:G109">
    <cfRule type="expression" dxfId="64" priority="65">
      <formula>IF($D8="peas",TRUE,FALSE)</formula>
    </cfRule>
  </conditionalFormatting>
  <conditionalFormatting sqref="D8:G109">
    <cfRule type="expression" dxfId="65" priority="66">
      <formula>IF($D8="championshiphorse",TRUE,FALSE)</formula>
    </cfRule>
  </conditionalFormatting>
  <conditionalFormatting sqref="D8:G109">
    <cfRule type="expression" dxfId="66" priority="67">
      <formula>IF($D8="eggs",TRUE,FALSE)</formula>
    </cfRule>
  </conditionalFormatting>
  <conditionalFormatting sqref="D8:G109">
    <cfRule type="expression" dxfId="67" priority="68">
      <formula>IF($D8="family",TRUE,FALSE)</formula>
    </cfRule>
  </conditionalFormatting>
  <conditionalFormatting sqref="D8:G109">
    <cfRule type="expression" dxfId="68" priority="69">
      <formula>IF($D8="field",TRUE,FALSE)</formula>
    </cfRule>
  </conditionalFormatting>
  <conditionalFormatting sqref="H6 H8:H109">
    <cfRule type="cellIs" dxfId="72" priority="70" operator="greaterThanOrEqual">
      <formula>0.8</formula>
    </cfRule>
  </conditionalFormatting>
  <conditionalFormatting sqref="H6 H8:H109">
    <cfRule type="cellIs" dxfId="73" priority="71" operator="greaterThanOrEqual">
      <formula>0.6</formula>
    </cfRule>
  </conditionalFormatting>
  <conditionalFormatting sqref="H6 H8:H109">
    <cfRule type="cellIs" dxfId="74" priority="72" operator="greaterThanOrEqual">
      <formula>0.4</formula>
    </cfRule>
  </conditionalFormatting>
  <conditionalFormatting sqref="H6 H8:H109">
    <cfRule type="cellIs" dxfId="75" priority="73" operator="greaterThanOrEqual">
      <formula>0.2</formula>
    </cfRule>
  </conditionalFormatting>
  <conditionalFormatting sqref="H6 H8:H109">
    <cfRule type="cellIs" dxfId="76" priority="74" operator="lessThan">
      <formula>0.2</formula>
    </cfRule>
  </conditionalFormatting>
  <conditionalFormatting sqref="D8:G109">
    <cfRule type="expression" dxfId="71" priority="75">
      <formula>IF($D8="onyx",TRUE,FALSE)</formula>
    </cfRule>
  </conditionalFormatting>
  <dataValidations>
    <dataValidation type="custom" allowBlank="1" showDropDown="1" showErrorMessage="1" sqref="D2:D3">
      <formula1>IFERROR(ISURL(D2), true)</formula1>
    </dataValidation>
    <dataValidation type="decimal" operator="greaterThanOrEqual" allowBlank="1" showDropDown="1" showInputMessage="1" showErrorMessage="1" prompt="Enter a number greater than or equal to 5" sqref="D1">
      <formula1>5.0</formula1>
    </dataValidation>
  </dataValidations>
  <hyperlinks>
    <hyperlink r:id="rId1" ref="D2"/>
    <hyperlink r:id="rId2" ref="D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7" width="2.75"/>
  </cols>
  <sheetData>
    <row r="1">
      <c r="A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C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D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I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J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K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P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Q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2">
      <c r="A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C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D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J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P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Q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3">
      <c r="A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C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D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P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Q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4">
      <c r="A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C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D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P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Q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5">
      <c r="A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B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C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D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P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Q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</row>
    <row r="6">
      <c r="A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B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C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D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P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Q6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</row>
    <row r="7">
      <c r="A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C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D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P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Q7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8">
      <c r="A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C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D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P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Q8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9">
      <c r="A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C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D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P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Q9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10">
      <c r="A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C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D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E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O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P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Q10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11">
      <c r="A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C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D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E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F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N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O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P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Q11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12">
      <c r="A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C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D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E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F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G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M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N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O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P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Q12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13">
      <c r="A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C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D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E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F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G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H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L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M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N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O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P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Q13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14">
      <c r="A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C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D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E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F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G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H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I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K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L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M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N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O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P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Q14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  <row r="15">
      <c r="A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B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C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D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E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F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G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H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I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FALSE)="""",""R"",""D"")))),"""")"),"F")</f>
        <v>F</v>
      </c>
      <c r="J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K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L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M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N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O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P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  <c r="Q15" s="18" t="str">
        <f>IFERROR(__xludf.DUMMYFUNCTION("IFERROR(IF(QUERY(Heart!$B$2:$K15,""select K where B = ""&amp;ROW()&amp;"" and C = ""&amp;COLUMN(), FALSE)=TRUE,""F"",IF(QUERY(Heart!$B$2:$H15,""select H where B = ""&amp;ROW()&amp;"" and C = ""&amp;COLUMN(), FALSE)="""",""A"",IF(QUERY(Heart!$B$2:$J15,""select J where B = ""&amp;ROW("&amp;")&amp;"" and C = ""&amp;COLUMN())=""SANDBOX"",""X"",IF(QUERY(Heart!$B$2:$I15,""select I where B = ""&amp;ROW()&amp;"" and C = ""&amp;COLUMN(), FALSE)="""",""R"",""D"")))),"""")"),"")</f>
        <v/>
      </c>
    </row>
  </sheetData>
  <conditionalFormatting sqref="A1:Q15">
    <cfRule type="cellIs" dxfId="72" priority="1" operator="equal">
      <formula>"F"</formula>
    </cfRule>
  </conditionalFormatting>
  <conditionalFormatting sqref="A1:Q15">
    <cfRule type="cellIs" dxfId="77" priority="2" operator="equal">
      <formula>"A"</formula>
    </cfRule>
  </conditionalFormatting>
  <conditionalFormatting sqref="A1:Q15">
    <cfRule type="cellIs" dxfId="78" priority="3" operator="equal">
      <formula>"R"</formula>
    </cfRule>
  </conditionalFormatting>
  <conditionalFormatting sqref="A1:Q15">
    <cfRule type="cellIs" dxfId="76" priority="4" operator="equal">
      <formula>"D"</formula>
    </cfRule>
  </conditionalFormatting>
  <conditionalFormatting sqref="A1:Q15">
    <cfRule type="cellIs" dxfId="79" priority="5" operator="equal">
      <formula>"X"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hidden="1" min="2" max="2" width="4.25"/>
    <col customWidth="1" hidden="1" min="3" max="3" width="6.75"/>
    <col customWidth="1" hidden="1" min="4" max="5" width="19.38"/>
    <col customWidth="1" min="6" max="6" width="18.38"/>
    <col hidden="1" min="7" max="9" width="12.63"/>
    <col customWidth="1" min="10" max="10" width="19.25"/>
    <col customWidth="1" min="11" max="11" width="50.13"/>
    <col customWidth="1" min="12" max="12" width="6.88"/>
  </cols>
  <sheetData>
    <row r="1">
      <c r="A1" s="61" t="s">
        <v>293</v>
      </c>
      <c r="B1" s="61" t="s">
        <v>1</v>
      </c>
      <c r="C1" s="61" t="s">
        <v>2</v>
      </c>
      <c r="D1" s="62" t="s">
        <v>3</v>
      </c>
      <c r="E1" s="62" t="s">
        <v>4</v>
      </c>
      <c r="F1" s="61" t="s">
        <v>5</v>
      </c>
      <c r="G1" s="61" t="s">
        <v>294</v>
      </c>
      <c r="H1" s="61" t="s">
        <v>7</v>
      </c>
      <c r="I1" s="61" t="s">
        <v>8</v>
      </c>
      <c r="J1" s="63" t="s">
        <v>9</v>
      </c>
      <c r="K1" s="61" t="s">
        <v>11</v>
      </c>
      <c r="L1" s="61" t="s">
        <v>295</v>
      </c>
    </row>
    <row r="2">
      <c r="A2" s="64" t="str">
        <f>IFERROR(__xludf.DUMMYFUNCTION("IFERROR(QUERY(Heart!$A3:M538,""SELECT A,B,C,D,E,F,G,H,I WHERE H != '' AND K != ""&amp;TRUE&amp;"" ORDER BY I DESC, A"",FALSE),""No deploys to verify at this time"")"),"No deploys to verify at this time")</f>
        <v>No deploys to verify at this time</v>
      </c>
      <c r="B2" s="64"/>
      <c r="C2" s="64"/>
      <c r="D2" s="64"/>
      <c r="E2" s="64"/>
      <c r="F2" s="64"/>
      <c r="G2" s="64"/>
      <c r="H2" s="64"/>
      <c r="I2" s="64"/>
      <c r="J2" s="64" t="str">
        <f t="shared" ref="J2:J26" si="1">IF(OR($A2="",$A2="No deploys to verify at this time"),"",HYPERLINK("https://www.munzee.com/m/"&amp;$H2&amp;"/"&amp;IF($I2="","undeploys/",$I2&amp;"/map/?lat="&amp;$D2&amp;"&amp;lon="&amp;$E2&amp;"&amp;type="&amp;$F2&amp;"&amp;name="&amp;SUBSTITUTE($A2,"#","%23")),$H2&amp;IF($I2="","","/"&amp;$I2)))</f>
        <v/>
      </c>
      <c r="K2" s="64" t="str">
        <f>IF(OR($A2="",$A2="No deploys to verify at this time"),"",VLOOKUP($A2,Heart!$A$3:$L538,12))</f>
        <v/>
      </c>
      <c r="L2" s="64" t="str">
        <f>IF(OR($A2="",$A2="No deploys to verify at this time"),"",VLOOKUP($A2,Heart!$A$3:$M538,13))</f>
        <v/>
      </c>
    </row>
    <row r="3">
      <c r="A3" s="64"/>
      <c r="B3" s="64"/>
      <c r="C3" s="64"/>
      <c r="D3" s="64"/>
      <c r="E3" s="64"/>
      <c r="F3" s="64"/>
      <c r="G3" s="64"/>
      <c r="H3" s="64"/>
      <c r="I3" s="64"/>
      <c r="J3" s="64" t="str">
        <f t="shared" si="1"/>
        <v/>
      </c>
      <c r="K3" s="64" t="str">
        <f>IF(OR($A3="",$A3="No deploys to verify at this time"),"",VLOOKUP($A3,Heart!$A$3:$L538,12))</f>
        <v/>
      </c>
      <c r="L3" s="64" t="str">
        <f>IF(OR($A3="",$A3="No deploys to verify at this time"),"",VLOOKUP($A3,Heart!$A$3:$M538,13))</f>
        <v/>
      </c>
    </row>
    <row r="4">
      <c r="A4" s="64"/>
      <c r="B4" s="64"/>
      <c r="C4" s="64"/>
      <c r="D4" s="64"/>
      <c r="E4" s="64"/>
      <c r="F4" s="64"/>
      <c r="G4" s="64"/>
      <c r="H4" s="64"/>
      <c r="I4" s="64"/>
      <c r="J4" s="64" t="str">
        <f t="shared" si="1"/>
        <v/>
      </c>
      <c r="K4" s="64" t="str">
        <f>IF(OR($A4="",$A4="No deploys to verify at this time"),"",VLOOKUP($A4,Heart!$A$3:$L538,12))</f>
        <v/>
      </c>
      <c r="L4" s="64" t="str">
        <f>IF(OR($A4="",$A4="No deploys to verify at this time"),"",VLOOKUP($A4,Heart!$A$3:$M538,13))</f>
        <v/>
      </c>
    </row>
    <row r="5">
      <c r="A5" s="64"/>
      <c r="B5" s="64"/>
      <c r="C5" s="64"/>
      <c r="D5" s="64"/>
      <c r="E5" s="64"/>
      <c r="F5" s="64"/>
      <c r="G5" s="64"/>
      <c r="H5" s="64"/>
      <c r="I5" s="64"/>
      <c r="J5" s="64" t="str">
        <f t="shared" si="1"/>
        <v/>
      </c>
      <c r="K5" s="64" t="str">
        <f>IF(OR($A5="",$A5="No deploys to verify at this time"),"",VLOOKUP($A5,Heart!$A$3:$L538,12))</f>
        <v/>
      </c>
      <c r="L5" s="64" t="str">
        <f>IF(OR($A5="",$A5="No deploys to verify at this time"),"",VLOOKUP($A5,Heart!$A$3:$M538,13))</f>
        <v/>
      </c>
    </row>
    <row r="6">
      <c r="A6" s="64"/>
      <c r="B6" s="64"/>
      <c r="C6" s="64"/>
      <c r="D6" s="64"/>
      <c r="E6" s="64"/>
      <c r="F6" s="64"/>
      <c r="G6" s="64"/>
      <c r="H6" s="64"/>
      <c r="I6" s="64"/>
      <c r="J6" s="64" t="str">
        <f t="shared" si="1"/>
        <v/>
      </c>
      <c r="K6" s="64" t="str">
        <f>IF(OR($A6="",$A6="No deploys to verify at this time"),"",VLOOKUP($A6,Heart!$A$3:$L538,12))</f>
        <v/>
      </c>
      <c r="L6" s="64" t="str">
        <f>IF(OR($A6="",$A6="No deploys to verify at this time"),"",VLOOKUP($A6,Heart!$A$3:$M538,13))</f>
        <v/>
      </c>
    </row>
    <row r="7">
      <c r="A7" s="64"/>
      <c r="B7" s="64"/>
      <c r="C7" s="64"/>
      <c r="D7" s="64"/>
      <c r="E7" s="64"/>
      <c r="F7" s="64"/>
      <c r="G7" s="64"/>
      <c r="H7" s="64"/>
      <c r="I7" s="64"/>
      <c r="J7" s="64" t="str">
        <f t="shared" si="1"/>
        <v/>
      </c>
      <c r="K7" s="64" t="str">
        <f>IF(OR($A7="",$A7="No deploys to verify at this time"),"",VLOOKUP($A7,Heart!$A$3:$L538,12))</f>
        <v/>
      </c>
      <c r="L7" s="64" t="str">
        <f>IF(OR($A7="",$A7="No deploys to verify at this time"),"",VLOOKUP($A7,Heart!$A$3:$M538,13))</f>
        <v/>
      </c>
    </row>
    <row r="8">
      <c r="A8" s="64"/>
      <c r="B8" s="64"/>
      <c r="C8" s="64"/>
      <c r="D8" s="64"/>
      <c r="E8" s="64"/>
      <c r="F8" s="64"/>
      <c r="G8" s="64"/>
      <c r="H8" s="64"/>
      <c r="I8" s="64"/>
      <c r="J8" s="64" t="str">
        <f t="shared" si="1"/>
        <v/>
      </c>
      <c r="K8" s="64" t="str">
        <f>IF(OR($A8="",$A8="No deploys to verify at this time"),"",VLOOKUP($A8,Heart!$A$3:$L538,12))</f>
        <v/>
      </c>
      <c r="L8" s="64" t="str">
        <f>IF(OR($A8="",$A8="No deploys to verify at this time"),"",VLOOKUP($A8,Heart!$A$3:$M538,13))</f>
        <v/>
      </c>
    </row>
    <row r="9">
      <c r="A9" s="64"/>
      <c r="B9" s="64"/>
      <c r="C9" s="64"/>
      <c r="D9" s="64"/>
      <c r="E9" s="64"/>
      <c r="F9" s="64"/>
      <c r="G9" s="64"/>
      <c r="H9" s="64"/>
      <c r="I9" s="64"/>
      <c r="J9" s="64" t="str">
        <f t="shared" si="1"/>
        <v/>
      </c>
      <c r="K9" s="64" t="str">
        <f>IF(OR($A9="",$A9="No deploys to verify at this time"),"",VLOOKUP($A9,Heart!$A$3:$L538,12))</f>
        <v/>
      </c>
      <c r="L9" s="64" t="str">
        <f>IF(OR($A9="",$A9="No deploys to verify at this time"),"",VLOOKUP($A9,Heart!$A$3:$M538,13))</f>
        <v/>
      </c>
    </row>
    <row r="10">
      <c r="A10" s="64"/>
      <c r="B10" s="64"/>
      <c r="C10" s="64"/>
      <c r="D10" s="64"/>
      <c r="E10" s="64"/>
      <c r="F10" s="64"/>
      <c r="G10" s="64"/>
      <c r="H10" s="64"/>
      <c r="I10" s="64"/>
      <c r="J10" s="64" t="str">
        <f t="shared" si="1"/>
        <v/>
      </c>
      <c r="K10" s="64" t="str">
        <f>IF(OR($A10="",$A10="No deploys to verify at this time"),"",VLOOKUP($A10,Heart!$A$3:$L538,12))</f>
        <v/>
      </c>
      <c r="L10" s="64" t="str">
        <f>IF(OR($A10="",$A10="No deploys to verify at this time"),"",VLOOKUP($A10,Heart!$A$3:$M538,13))</f>
        <v/>
      </c>
    </row>
    <row r="11">
      <c r="A11" s="64"/>
      <c r="B11" s="64"/>
      <c r="C11" s="64"/>
      <c r="D11" s="64"/>
      <c r="E11" s="64"/>
      <c r="F11" s="64"/>
      <c r="G11" s="64"/>
      <c r="H11" s="64"/>
      <c r="I11" s="64"/>
      <c r="J11" s="64" t="str">
        <f t="shared" si="1"/>
        <v/>
      </c>
      <c r="K11" s="64" t="str">
        <f>IF(OR($A11="",$A11="No deploys to verify at this time"),"",VLOOKUP($A11,Heart!$A$3:$L538,12))</f>
        <v/>
      </c>
      <c r="L11" s="64" t="str">
        <f>IF(OR($A11="",$A11="No deploys to verify at this time"),"",VLOOKUP($A11,Heart!$A$3:$M538,13))</f>
        <v/>
      </c>
    </row>
    <row r="12">
      <c r="A12" s="64"/>
      <c r="B12" s="64"/>
      <c r="C12" s="64"/>
      <c r="D12" s="64"/>
      <c r="E12" s="64"/>
      <c r="F12" s="64"/>
      <c r="G12" s="64"/>
      <c r="H12" s="64"/>
      <c r="I12" s="64"/>
      <c r="J12" s="64" t="str">
        <f t="shared" si="1"/>
        <v/>
      </c>
      <c r="K12" s="64" t="str">
        <f>IF(OR($A12="",$A12="No deploys to verify at this time"),"",VLOOKUP($A12,Heart!$A$3:$L538,12))</f>
        <v/>
      </c>
      <c r="L12" s="64" t="str">
        <f>IF(OR($A12="",$A12="No deploys to verify at this time"),"",VLOOKUP($A12,Heart!$A$3:$M538,13))</f>
        <v/>
      </c>
    </row>
    <row r="13">
      <c r="A13" s="64"/>
      <c r="B13" s="64"/>
      <c r="C13" s="64"/>
      <c r="D13" s="64"/>
      <c r="E13" s="64"/>
      <c r="F13" s="64"/>
      <c r="G13" s="64"/>
      <c r="H13" s="64"/>
      <c r="I13" s="64"/>
      <c r="J13" s="64" t="str">
        <f t="shared" si="1"/>
        <v/>
      </c>
      <c r="K13" s="64" t="str">
        <f>IF(OR($A13="",$A13="No deploys to verify at this time"),"",VLOOKUP($A13,Heart!$A$3:$L538,12))</f>
        <v/>
      </c>
      <c r="L13" s="64" t="str">
        <f>IF(OR($A13="",$A13="No deploys to verify at this time"),"",VLOOKUP($A13,Heart!$A$3:$M538,13))</f>
        <v/>
      </c>
    </row>
    <row r="14">
      <c r="A14" s="64"/>
      <c r="B14" s="64"/>
      <c r="C14" s="64"/>
      <c r="D14" s="64"/>
      <c r="E14" s="64"/>
      <c r="F14" s="64"/>
      <c r="G14" s="64"/>
      <c r="H14" s="64"/>
      <c r="I14" s="64"/>
      <c r="J14" s="64" t="str">
        <f t="shared" si="1"/>
        <v/>
      </c>
      <c r="K14" s="64" t="str">
        <f>IF(OR($A14="",$A14="No deploys to verify at this time"),"",VLOOKUP($A14,Heart!$A$3:$L538,12))</f>
        <v/>
      </c>
      <c r="L14" s="64" t="str">
        <f>IF(OR($A14="",$A14="No deploys to verify at this time"),"",VLOOKUP($A14,Heart!$A$3:$M538,13))</f>
        <v/>
      </c>
    </row>
    <row r="15">
      <c r="A15" s="64"/>
      <c r="B15" s="64"/>
      <c r="C15" s="64"/>
      <c r="D15" s="64"/>
      <c r="E15" s="64"/>
      <c r="F15" s="64"/>
      <c r="G15" s="64"/>
      <c r="H15" s="64"/>
      <c r="I15" s="64"/>
      <c r="J15" s="64" t="str">
        <f t="shared" si="1"/>
        <v/>
      </c>
      <c r="K15" s="64" t="str">
        <f>IF(OR($A15="",$A15="No deploys to verify at this time"),"",VLOOKUP($A15,Heart!$A$3:$L538,12))</f>
        <v/>
      </c>
      <c r="L15" s="64" t="str">
        <f>IF(OR($A15="",$A15="No deploys to verify at this time"),"",VLOOKUP($A15,Heart!$A$3:$M538,13))</f>
        <v/>
      </c>
    </row>
    <row r="16">
      <c r="A16" s="64"/>
      <c r="B16" s="64"/>
      <c r="C16" s="64"/>
      <c r="D16" s="64"/>
      <c r="E16" s="64"/>
      <c r="F16" s="64"/>
      <c r="G16" s="64"/>
      <c r="H16" s="64"/>
      <c r="I16" s="64"/>
      <c r="J16" s="64" t="str">
        <f t="shared" si="1"/>
        <v/>
      </c>
      <c r="K16" s="64" t="str">
        <f>IF(OR($A16="",$A16="No deploys to verify at this time"),"",VLOOKUP($A16,Heart!$A$3:$L538,12))</f>
        <v/>
      </c>
      <c r="L16" s="64" t="str">
        <f>IF(OR($A16="",$A16="No deploys to verify at this time"),"",VLOOKUP($A16,Heart!$A$3:$M538,13))</f>
        <v/>
      </c>
    </row>
    <row r="17">
      <c r="A17" s="64"/>
      <c r="B17" s="64"/>
      <c r="C17" s="64"/>
      <c r="D17" s="64"/>
      <c r="E17" s="64"/>
      <c r="F17" s="64"/>
      <c r="G17" s="64"/>
      <c r="H17" s="64"/>
      <c r="I17" s="64"/>
      <c r="J17" s="64" t="str">
        <f t="shared" si="1"/>
        <v/>
      </c>
      <c r="K17" s="64" t="str">
        <f>IF(OR($A17="",$A17="No deploys to verify at this time"),"",VLOOKUP($A17,Heart!$A$3:$L538,12))</f>
        <v/>
      </c>
      <c r="L17" s="64" t="str">
        <f>IF(OR($A17="",$A17="No deploys to verify at this time"),"",VLOOKUP($A17,Heart!$A$3:$M538,13))</f>
        <v/>
      </c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 t="str">
        <f t="shared" si="1"/>
        <v/>
      </c>
      <c r="K18" s="64" t="str">
        <f>IF(OR($A18="",$A18="No deploys to verify at this time"),"",VLOOKUP($A18,Heart!$A$3:$L538,12))</f>
        <v/>
      </c>
      <c r="L18" s="64" t="str">
        <f>IF(OR($A18="",$A18="No deploys to verify at this time"),"",VLOOKUP($A18,Heart!$A$3:$M538,13))</f>
        <v/>
      </c>
    </row>
    <row r="19">
      <c r="A19" s="64"/>
      <c r="B19" s="64"/>
      <c r="C19" s="64"/>
      <c r="D19" s="64"/>
      <c r="E19" s="64"/>
      <c r="F19" s="64"/>
      <c r="G19" s="64"/>
      <c r="H19" s="64"/>
      <c r="I19" s="64"/>
      <c r="J19" s="64" t="str">
        <f t="shared" si="1"/>
        <v/>
      </c>
      <c r="K19" s="64" t="str">
        <f>IF(OR($A19="",$A19="No deploys to verify at this time"),"",VLOOKUP($A19,Heart!$A$3:$L538,12))</f>
        <v/>
      </c>
      <c r="L19" s="64" t="str">
        <f>IF(OR($A19="",$A19="No deploys to verify at this time"),"",VLOOKUP($A19,Heart!$A$3:$M538,13))</f>
        <v/>
      </c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64" t="str">
        <f t="shared" si="1"/>
        <v/>
      </c>
      <c r="K20" s="64" t="str">
        <f>IF(OR($A20="",$A20="No deploys to verify at this time"),"",VLOOKUP($A20,Heart!$A$3:$L538,12))</f>
        <v/>
      </c>
      <c r="L20" s="64" t="str">
        <f>IF(OR($A20="",$A20="No deploys to verify at this time"),"",VLOOKUP($A20,Heart!$A$3:$M538,13))</f>
        <v/>
      </c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 t="str">
        <f t="shared" si="1"/>
        <v/>
      </c>
      <c r="K21" s="64" t="str">
        <f>IF(OR($A21="",$A21="No deploys to verify at this time"),"",VLOOKUP($A21,Heart!$A$3:$L538,12))</f>
        <v/>
      </c>
      <c r="L21" s="64" t="str">
        <f>IF(OR($A21="",$A21="No deploys to verify at this time"),"",VLOOKUP($A21,Heart!$A$3:$M538,13))</f>
        <v/>
      </c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4" t="str">
        <f t="shared" si="1"/>
        <v/>
      </c>
      <c r="K22" s="64" t="str">
        <f>IF(OR($A22="",$A22="No deploys to verify at this time"),"",VLOOKUP($A22,Heart!$A$3:$L538,12))</f>
        <v/>
      </c>
      <c r="L22" s="64" t="str">
        <f>IF(OR($A22="",$A22="No deploys to verify at this time"),"",VLOOKUP($A22,Heart!$A$3:$M538,13))</f>
        <v/>
      </c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 t="str">
        <f t="shared" si="1"/>
        <v/>
      </c>
      <c r="K23" s="64" t="str">
        <f>IF(OR($A23="",$A23="No deploys to verify at this time"),"",VLOOKUP($A23,Heart!$A$3:$L538,12))</f>
        <v/>
      </c>
      <c r="L23" s="64" t="str">
        <f>IF(OR($A23="",$A23="No deploys to verify at this time"),"",VLOOKUP($A23,Heart!$A$3:$M538,13))</f>
        <v/>
      </c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4" t="str">
        <f t="shared" si="1"/>
        <v/>
      </c>
      <c r="K24" s="64" t="str">
        <f>IF(OR($A24="",$A24="No deploys to verify at this time"),"",VLOOKUP($A24,Heart!$A$3:$L538,12))</f>
        <v/>
      </c>
      <c r="L24" s="64" t="str">
        <f>IF(OR($A24="",$A24="No deploys to verify at this time"),"",VLOOKUP($A24,Heart!$A$3:$M538,13))</f>
        <v/>
      </c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 t="str">
        <f t="shared" si="1"/>
        <v/>
      </c>
      <c r="K25" s="64" t="str">
        <f>IF(OR($A25="",$A25="No deploys to verify at this time"),"",VLOOKUP($A25,Heart!$A$3:$L538,12))</f>
        <v/>
      </c>
      <c r="L25" s="64" t="str">
        <f>IF(OR($A25="",$A25="No deploys to verify at this time"),"",VLOOKUP($A25,Heart!$A$3:$M538,13))</f>
        <v/>
      </c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 t="str">
        <f t="shared" si="1"/>
        <v/>
      </c>
      <c r="K26" s="64" t="str">
        <f>IF(OR($A26="",$A26="No deploys to verify at this time"),"",VLOOKUP($A26,Heart!$A$3:$L538,12))</f>
        <v/>
      </c>
      <c r="L26" s="64" t="str">
        <f>IF(OR($A26="",$A26="No deploys to verify at this time"),"",VLOOKUP($A26,Heart!$A$3:$M538,13))</f>
        <v/>
      </c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</row>
    <row r="3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</row>
    <row r="3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</row>
  </sheetData>
  <conditionalFormatting sqref="A2:L538">
    <cfRule type="expression" dxfId="70" priority="1">
      <formula>IF(AND($A2&lt;&gt;"",$A2&lt;&gt;"No deploys to verify at this time",$I2=""),TRUE,FALSE)</formula>
    </cfRule>
  </conditionalFormatting>
  <conditionalFormatting sqref="A2:L538">
    <cfRule type="expression" dxfId="80" priority="2">
      <formula>IF(OR($A2="",$A2="No deploys to verify at this time"),FALSE,TRUE)</formula>
    </cfRule>
  </conditionalFormatting>
  <conditionalFormatting sqref="A2:L538">
    <cfRule type="expression" dxfId="72" priority="3">
      <formula>IF($A$2="No deploys to verify at this time",TRUE,FALSE)</formula>
    </cfRule>
  </conditionalFormatting>
  <drawing r:id="rId1"/>
</worksheet>
</file>