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ndon" sheetId="1" r:id="rId3"/>
    <sheet state="visible" name="Information" sheetId="2" r:id="rId4"/>
    <sheet state="visible" name="To be checked" sheetId="3" r:id="rId5"/>
  </sheets>
  <definedNames>
    <definedName hidden="1" localSheetId="0" name="Z_8B79A280_ADB2_44C2_8C97_89521C9DB43F_.wvu.FilterData">Hendon!$A$1:$M$274</definedName>
  </definedNames>
  <calcPr/>
  <customWorkbookViews>
    <customWorkbookView activeSheetId="0" maximized="1" windowHeight="0" windowWidth="0" guid="{8B79A280-ADB2-44C2-8C97-89521C9DB43F}" name="To be checked"/>
  </customWorkbookViews>
</workbook>
</file>

<file path=xl/sharedStrings.xml><?xml version="1.0" encoding="utf-8"?>
<sst xmlns="http://schemas.openxmlformats.org/spreadsheetml/2006/main" count="1177" uniqueCount="562">
  <si>
    <t>Pin #</t>
  </si>
  <si>
    <t>Row</t>
  </si>
  <si>
    <t>Column</t>
  </si>
  <si>
    <t>Latitude</t>
  </si>
  <si>
    <t>Longitude</t>
  </si>
  <si>
    <t>Munzee</t>
  </si>
  <si>
    <t>Color</t>
  </si>
  <si>
    <t>Username</t>
  </si>
  <si>
    <t>Deploy #</t>
  </si>
  <si>
    <t>Checker Link</t>
  </si>
  <si>
    <t>Checked</t>
  </si>
  <si>
    <t>Comments</t>
  </si>
  <si>
    <t>Deployed</t>
  </si>
  <si>
    <t>Hendon #001</t>
  </si>
  <si>
    <t>Virtual Rainbow</t>
  </si>
  <si>
    <t>rainbow</t>
  </si>
  <si>
    <t>alexcarter</t>
  </si>
  <si>
    <t>https://www.munzee.com/m/alexcarter/904/</t>
  </si>
  <si>
    <t>Hendon #002</t>
  </si>
  <si>
    <t>Virtual Black</t>
  </si>
  <si>
    <t>black</t>
  </si>
  <si>
    <t>annabanana</t>
  </si>
  <si>
    <t>Hendon #003</t>
  </si>
  <si>
    <t>MrBarnard</t>
  </si>
  <si>
    <t>Hendon #004</t>
  </si>
  <si>
    <t>Air Mystery</t>
  </si>
  <si>
    <t>air mystery</t>
  </si>
  <si>
    <t>WinterCheetah</t>
  </si>
  <si>
    <t>Hendon #005</t>
  </si>
  <si>
    <t>Electric Mystery</t>
  </si>
  <si>
    <t>electric mystery</t>
  </si>
  <si>
    <t>munzeeprof</t>
  </si>
  <si>
    <t>Hendon #006</t>
  </si>
  <si>
    <t>Virtual Turquoise Blue</t>
  </si>
  <si>
    <t>turquoise blue</t>
  </si>
  <si>
    <t>rayannchick</t>
  </si>
  <si>
    <t>Hendon #007</t>
  </si>
  <si>
    <t>Yoshigirl</t>
  </si>
  <si>
    <t>Hendon #008</t>
  </si>
  <si>
    <t>Sir Prize Wheel</t>
  </si>
  <si>
    <t>sir prize wheel</t>
  </si>
  <si>
    <t>rgforsythe</t>
  </si>
  <si>
    <t>Actual: 45.626475626102, -122.65491363794109</t>
  </si>
  <si>
    <t>Hendon #009</t>
  </si>
  <si>
    <t>Surprise</t>
  </si>
  <si>
    <t>surprise</t>
  </si>
  <si>
    <t>Smith2190</t>
  </si>
  <si>
    <t>sirprizewheel != surprise</t>
  </si>
  <si>
    <t>Hendon #010</t>
  </si>
  <si>
    <t>OldFruits</t>
  </si>
  <si>
    <t>Hendon #011</t>
  </si>
  <si>
    <t>Virtual Onyx</t>
  </si>
  <si>
    <t>onyx</t>
  </si>
  <si>
    <t>TMac2</t>
  </si>
  <si>
    <t>Hendon #012</t>
  </si>
  <si>
    <t>SzymcioT</t>
  </si>
  <si>
    <t>Hendon #013</t>
  </si>
  <si>
    <t>technical13</t>
  </si>
  <si>
    <t>Hendon #014</t>
  </si>
  <si>
    <t>Naturelover</t>
  </si>
  <si>
    <t>Hendon #015</t>
  </si>
  <si>
    <t>Hendon #016</t>
  </si>
  <si>
    <t>Virtual Citrine</t>
  </si>
  <si>
    <t>citrine</t>
  </si>
  <si>
    <t>nuttynan</t>
  </si>
  <si>
    <t>Hendon #017</t>
  </si>
  <si>
    <t>twoleftknees</t>
  </si>
  <si>
    <t>Hendon #018</t>
  </si>
  <si>
    <t>bjktgdmb</t>
  </si>
  <si>
    <t>Hendon #019</t>
  </si>
  <si>
    <t>Catapult</t>
  </si>
  <si>
    <t>catapult</t>
  </si>
  <si>
    <t>MaryJaneKitty</t>
  </si>
  <si>
    <t>Hendon #020</t>
  </si>
  <si>
    <t>linusbi</t>
  </si>
  <si>
    <t>Hendon #021</t>
  </si>
  <si>
    <t>levesund</t>
  </si>
  <si>
    <t>Hendon #022</t>
  </si>
  <si>
    <t>Hendon #023</t>
  </si>
  <si>
    <t>fionails</t>
  </si>
  <si>
    <t>Hendon #024</t>
  </si>
  <si>
    <t>Virtual Sapphire</t>
  </si>
  <si>
    <t>sapphire</t>
  </si>
  <si>
    <t>Heathcote07</t>
  </si>
  <si>
    <t>Hendon #025</t>
  </si>
  <si>
    <t>Hendon #026</t>
  </si>
  <si>
    <t>Bambi5</t>
  </si>
  <si>
    <t>Hendon #027</t>
  </si>
  <si>
    <t>50' Error</t>
  </si>
  <si>
    <t>Blocked by Hendon #009 - wrong type</t>
  </si>
  <si>
    <t>Hendon #028</t>
  </si>
  <si>
    <t>Virtual Amethyst</t>
  </si>
  <si>
    <t>amethyst</t>
  </si>
  <si>
    <t>wally62</t>
  </si>
  <si>
    <t>Hendon #029</t>
  </si>
  <si>
    <t>munzeefarmor</t>
  </si>
  <si>
    <t>Hendon #030</t>
  </si>
  <si>
    <t>Virtual Mahogany</t>
  </si>
  <si>
    <t>mahogany</t>
  </si>
  <si>
    <t>Amadoreugen</t>
  </si>
  <si>
    <t>Hendon #031</t>
  </si>
  <si>
    <t>jacksparrow</t>
  </si>
  <si>
    <t>Hendon #032</t>
  </si>
  <si>
    <t>Hendon #033</t>
  </si>
  <si>
    <t>lanyasummer</t>
  </si>
  <si>
    <t>Hendon #034</t>
  </si>
  <si>
    <t>babyw</t>
  </si>
  <si>
    <t>Hendon #035</t>
  </si>
  <si>
    <t>teamsturms</t>
  </si>
  <si>
    <t>Hendon #036</t>
  </si>
  <si>
    <t>Hendon #037</t>
  </si>
  <si>
    <t>munzeemor</t>
  </si>
  <si>
    <t>Hendon #038</t>
  </si>
  <si>
    <t>kpcrystal07</t>
  </si>
  <si>
    <t>Hendon #039</t>
  </si>
  <si>
    <t>Hendon #040</t>
  </si>
  <si>
    <t>IggiePiggie</t>
  </si>
  <si>
    <t>Hendon #041</t>
  </si>
  <si>
    <t>monrose</t>
  </si>
  <si>
    <t>Hendon #042</t>
  </si>
  <si>
    <t>lonni</t>
  </si>
  <si>
    <t>Hendon #043</t>
  </si>
  <si>
    <t>Virtual Apricot</t>
  </si>
  <si>
    <t>apricot</t>
  </si>
  <si>
    <t>bazfum</t>
  </si>
  <si>
    <t>Hendon #044</t>
  </si>
  <si>
    <t>Virtual Blue Green</t>
  </si>
  <si>
    <t>blue green</t>
  </si>
  <si>
    <t>Attis</t>
  </si>
  <si>
    <t>Hendon #045</t>
  </si>
  <si>
    <t>raunas</t>
  </si>
  <si>
    <t>Hendon #046</t>
  </si>
  <si>
    <t>Safari Bus Evolution</t>
  </si>
  <si>
    <t>safari truck</t>
  </si>
  <si>
    <t>granitente</t>
  </si>
  <si>
    <t>Hendon #047</t>
  </si>
  <si>
    <t>Hendon #048</t>
  </si>
  <si>
    <t>Hendon #049</t>
  </si>
  <si>
    <t>superchucklez</t>
  </si>
  <si>
    <t>Hendon #050</t>
  </si>
  <si>
    <t>Virtual Green</t>
  </si>
  <si>
    <t>green</t>
  </si>
  <si>
    <t>georeyna</t>
  </si>
  <si>
    <t>Hendon #051</t>
  </si>
  <si>
    <t>FlatBlack</t>
  </si>
  <si>
    <t>Hendon #052</t>
  </si>
  <si>
    <t>Tinman1980</t>
  </si>
  <si>
    <t>Hendon #053</t>
  </si>
  <si>
    <t>Bisquick2</t>
  </si>
  <si>
    <t>Hendon #054</t>
  </si>
  <si>
    <t>xraybill</t>
  </si>
  <si>
    <t>Hendon #055</t>
  </si>
  <si>
    <t>Hendon #056</t>
  </si>
  <si>
    <t>Hendon #057</t>
  </si>
  <si>
    <t>Fossillady</t>
  </si>
  <si>
    <t>Hendon #058</t>
  </si>
  <si>
    <t>Virtual Burnt Orange</t>
  </si>
  <si>
    <t>burnt orange</t>
  </si>
  <si>
    <t>NikitaStolk</t>
  </si>
  <si>
    <t>Hendon #059</t>
  </si>
  <si>
    <t>Virtual Violet</t>
  </si>
  <si>
    <t>violet</t>
  </si>
  <si>
    <t>Clareppuccino</t>
  </si>
  <si>
    <t>Hendon #060</t>
  </si>
  <si>
    <t>Hendon #061</t>
  </si>
  <si>
    <t>Submarine Evolution</t>
  </si>
  <si>
    <t>canoe</t>
  </si>
  <si>
    <t>Hendon #062</t>
  </si>
  <si>
    <t>Hendon #063</t>
  </si>
  <si>
    <t>TTFNCachn</t>
  </si>
  <si>
    <t>Hendon #064</t>
  </si>
  <si>
    <t>klc1960</t>
  </si>
  <si>
    <t>Hendon #065</t>
  </si>
  <si>
    <t>Virtual Purple Mountains Majesty</t>
  </si>
  <si>
    <t>purple mountains majesty</t>
  </si>
  <si>
    <t>Actual: 51.5850956714007, -0.2173914069759</t>
  </si>
  <si>
    <t>Hendon #066</t>
  </si>
  <si>
    <t>kiitokurre</t>
  </si>
  <si>
    <t>Hendon #067</t>
  </si>
  <si>
    <t>WanderingAus</t>
  </si>
  <si>
    <t>Hendon #068</t>
  </si>
  <si>
    <t>Hendon #069</t>
  </si>
  <si>
    <t>halaszkiraly</t>
  </si>
  <si>
    <t>will deploy 26/8/2021</t>
  </si>
  <si>
    <t>Hendon #070</t>
  </si>
  <si>
    <t>Hendon #071</t>
  </si>
  <si>
    <t>nbtzyy2</t>
  </si>
  <si>
    <t>Hendon #072</t>
  </si>
  <si>
    <t>Hendon #073</t>
  </si>
  <si>
    <t>Moppett85</t>
  </si>
  <si>
    <t>Hendon #074</t>
  </si>
  <si>
    <t>92Supercoupe</t>
  </si>
  <si>
    <t>https://www.munzee.com/m/92Supercoupe/3629</t>
  </si>
  <si>
    <t>Hendon #075</t>
  </si>
  <si>
    <t>Hendon #076</t>
  </si>
  <si>
    <t>Hendon #077</t>
  </si>
  <si>
    <t>Family Evolution</t>
  </si>
  <si>
    <t>farmer</t>
  </si>
  <si>
    <t>iScreamBIue</t>
  </si>
  <si>
    <t>Hendon #078</t>
  </si>
  <si>
    <t>Horse Evolution</t>
  </si>
  <si>
    <t>colt</t>
  </si>
  <si>
    <t>Babydane</t>
  </si>
  <si>
    <t>Hendon #079</t>
  </si>
  <si>
    <t>heathcote07</t>
  </si>
  <si>
    <t>Hendon #080</t>
  </si>
  <si>
    <t>NYBOSS</t>
  </si>
  <si>
    <t>Hendon #081</t>
  </si>
  <si>
    <t>janzattic</t>
  </si>
  <si>
    <t>Hendon #082</t>
  </si>
  <si>
    <t>crazycolorado</t>
  </si>
  <si>
    <t>https://www.munzee.com/m/Crazycolorado/3578/</t>
  </si>
  <si>
    <t>Hendon #083</t>
  </si>
  <si>
    <t>Hendon #084</t>
  </si>
  <si>
    <t>KLC</t>
  </si>
  <si>
    <t>https://www.munzee.com/m/KLC/3659/</t>
  </si>
  <si>
    <t>Hendon #085</t>
  </si>
  <si>
    <t>Beermaven</t>
  </si>
  <si>
    <t>Munzee. 21st Century Scavenger Hunt. Munzee Details - Hendon #85 Citrine by Beermaven</t>
  </si>
  <si>
    <t>Hendon #086</t>
  </si>
  <si>
    <t>Hendon #087</t>
  </si>
  <si>
    <t>Cachelady</t>
  </si>
  <si>
    <t>Hendon #088</t>
  </si>
  <si>
    <t>ashthegeogenius</t>
  </si>
  <si>
    <t>Hendon #089</t>
  </si>
  <si>
    <t>Hendon #090</t>
  </si>
  <si>
    <t>JemmaJ1983</t>
  </si>
  <si>
    <t>Hendon #091</t>
  </si>
  <si>
    <t>Hendon #092</t>
  </si>
  <si>
    <t>DarbyJoan</t>
  </si>
  <si>
    <t>Hendon #093</t>
  </si>
  <si>
    <t>50 feet</t>
  </si>
  <si>
    <t>Hendon #094</t>
  </si>
  <si>
    <t>naturelover</t>
  </si>
  <si>
    <t>Hendon #095</t>
  </si>
  <si>
    <t>Eggs Evolution</t>
  </si>
  <si>
    <t>chick</t>
  </si>
  <si>
    <t>Hendon #096</t>
  </si>
  <si>
    <t>ivwarrior</t>
  </si>
  <si>
    <t>Hendon #097</t>
  </si>
  <si>
    <t>5Star</t>
  </si>
  <si>
    <t>Hendon #098</t>
  </si>
  <si>
    <t>Noisette</t>
  </si>
  <si>
    <t>Hendon #099</t>
  </si>
  <si>
    <t>Hendon #100</t>
  </si>
  <si>
    <t>fabiusz</t>
  </si>
  <si>
    <t>Hendon #101</t>
  </si>
  <si>
    <t>Hendon #102</t>
  </si>
  <si>
    <t>Hendon #103</t>
  </si>
  <si>
    <t>mossieman</t>
  </si>
  <si>
    <t>Hendon #104</t>
  </si>
  <si>
    <t>Hendon #105</t>
  </si>
  <si>
    <t>Hendon #106</t>
  </si>
  <si>
    <t>Hendon #107</t>
  </si>
  <si>
    <t>spdx2</t>
  </si>
  <si>
    <t>Hendon #108</t>
  </si>
  <si>
    <t>Hendon #109</t>
  </si>
  <si>
    <t>TeamTazmina</t>
  </si>
  <si>
    <t>Hendon #110</t>
  </si>
  <si>
    <t>mortonfox</t>
  </si>
  <si>
    <t>Hendon #111</t>
  </si>
  <si>
    <t>Hendon #112</t>
  </si>
  <si>
    <t>Peter1980</t>
  </si>
  <si>
    <t>Hendon #113</t>
  </si>
  <si>
    <t>SammIam</t>
  </si>
  <si>
    <t>Hendon #114</t>
  </si>
  <si>
    <t>ArchieRuby</t>
  </si>
  <si>
    <t>Hendon #115</t>
  </si>
  <si>
    <t>Carrot Evolution</t>
  </si>
  <si>
    <t>carrot seed</t>
  </si>
  <si>
    <t>Hendon #116</t>
  </si>
  <si>
    <t>Peas Evolution</t>
  </si>
  <si>
    <t>peas seed</t>
  </si>
  <si>
    <t>50ft error</t>
  </si>
  <si>
    <r>
      <rPr>
        <b/>
        <i/>
      </rPr>
      <t xml:space="preserve">Blocked by </t>
    </r>
    <r>
      <rPr>
        <b/>
        <i/>
        <u/>
      </rPr>
      <t>https://www.munzee.com/m/ShadowChasers/4863/</t>
    </r>
  </si>
  <si>
    <t>Hendon #117</t>
  </si>
  <si>
    <t>mding4gold</t>
  </si>
  <si>
    <t>https://www.munzee.com/m/mding4gold/4144</t>
  </si>
  <si>
    <t>Hendon #118</t>
  </si>
  <si>
    <t>Bungle</t>
  </si>
  <si>
    <t>Hendon #119</t>
  </si>
  <si>
    <t>Munzee. 21st Century Scavenger Hunt. Munzee Details - Hendon #119 Family by Beermaven</t>
  </si>
  <si>
    <t>Hendon #120</t>
  </si>
  <si>
    <t>shrekmiester</t>
  </si>
  <si>
    <t>Hendon #121</t>
  </si>
  <si>
    <t>newbee</t>
  </si>
  <si>
    <t>Hendon #122</t>
  </si>
  <si>
    <t>Lehmis</t>
  </si>
  <si>
    <t>Hendon #123</t>
  </si>
  <si>
    <t>flipperandco</t>
  </si>
  <si>
    <t>Hendon #124</t>
  </si>
  <si>
    <t>denali0407</t>
  </si>
  <si>
    <t>Hendon #125</t>
  </si>
  <si>
    <t>Hendon #126</t>
  </si>
  <si>
    <t>Hendon #127</t>
  </si>
  <si>
    <t>ruckus2012</t>
  </si>
  <si>
    <t>This pin just needs to be deployed!</t>
  </si>
  <si>
    <t>Hendon #128</t>
  </si>
  <si>
    <t>roughdraft</t>
  </si>
  <si>
    <t>Hendon #129</t>
  </si>
  <si>
    <t>NoahCache</t>
  </si>
  <si>
    <t>Hendon #130</t>
  </si>
  <si>
    <t>Hendon #131</t>
  </si>
  <si>
    <t>Hendon #132</t>
  </si>
  <si>
    <t>Newfruit</t>
  </si>
  <si>
    <t>Hendon #133</t>
  </si>
  <si>
    <t>Munzee. 21st Century Scavenger Hunt. Munzee Details - Hendon #133 Safari Bus by Beermaven</t>
  </si>
  <si>
    <t>Hendon #134</t>
  </si>
  <si>
    <t>Hendon #135</t>
  </si>
  <si>
    <t>Derlame</t>
  </si>
  <si>
    <t>Hendon #136</t>
  </si>
  <si>
    <t>Hendon #137</t>
  </si>
  <si>
    <t>POI Garden</t>
  </si>
  <si>
    <t>POI</t>
  </si>
  <si>
    <t>Hendon #138</t>
  </si>
  <si>
    <t>Blocked by https://www.munzee.com/m/ShadowChasers/4863/</t>
  </si>
  <si>
    <t>Hendon #139</t>
  </si>
  <si>
    <t>all0123</t>
  </si>
  <si>
    <t>Hendon #140</t>
  </si>
  <si>
    <t>taxi343</t>
  </si>
  <si>
    <t>Hendon #141</t>
  </si>
  <si>
    <t>Hendon #142</t>
  </si>
  <si>
    <t>WhatsItAllAbout</t>
  </si>
  <si>
    <t>https://www.munzee.com/m/WhatsItAllAbout/382/</t>
  </si>
  <si>
    <t>Hendon #143</t>
  </si>
  <si>
    <t>Tanzy</t>
  </si>
  <si>
    <t>Hendon #144</t>
  </si>
  <si>
    <t>Hendon #145</t>
  </si>
  <si>
    <t>Hendon #146</t>
  </si>
  <si>
    <t>cuttingcrew</t>
  </si>
  <si>
    <t>Hendon #147</t>
  </si>
  <si>
    <t>Hendon #148</t>
  </si>
  <si>
    <t>Hendon #149</t>
  </si>
  <si>
    <t>Humez</t>
  </si>
  <si>
    <t>Hendon #150</t>
  </si>
  <si>
    <t>geckofreund</t>
  </si>
  <si>
    <t>Hendon #151</t>
  </si>
  <si>
    <t>TheJenks7</t>
  </si>
  <si>
    <t>Hendon #152</t>
  </si>
  <si>
    <t>Hendon #153</t>
  </si>
  <si>
    <t>PelicanRouge</t>
  </si>
  <si>
    <t>Feb 3rd</t>
  </si>
  <si>
    <t>Hendon #154</t>
  </si>
  <si>
    <t>Actual: 51.5839458287466, -0.2183168703588</t>
  </si>
  <si>
    <t>Hendon #155</t>
  </si>
  <si>
    <t>sportytaxi</t>
  </si>
  <si>
    <t>Hendon #156</t>
  </si>
  <si>
    <t>Hendon #157</t>
  </si>
  <si>
    <t>Hendon #158</t>
  </si>
  <si>
    <t>ol0n0lo</t>
  </si>
  <si>
    <t>Hendon #159</t>
  </si>
  <si>
    <t>Hendon #160</t>
  </si>
  <si>
    <t>Hendon #161</t>
  </si>
  <si>
    <t>Hendon #162</t>
  </si>
  <si>
    <t>wanderingausl</t>
  </si>
  <si>
    <t>Hendon #163</t>
  </si>
  <si>
    <t>JaroslavKaas</t>
  </si>
  <si>
    <t>deploy on feb 3</t>
  </si>
  <si>
    <t>Hendon #164</t>
  </si>
  <si>
    <t>Maxi72</t>
  </si>
  <si>
    <t>Hendon #165</t>
  </si>
  <si>
    <t>Hendon #166</t>
  </si>
  <si>
    <t>Syrtene</t>
  </si>
  <si>
    <t>Hendon #167</t>
  </si>
  <si>
    <t>Hendon #168</t>
  </si>
  <si>
    <t>halizwein</t>
  </si>
  <si>
    <t>Hendon #169</t>
  </si>
  <si>
    <t>Hendon #170</t>
  </si>
  <si>
    <t>Munzee. 21st Century Scavenger Hunt. Munzee Details - Hendon #170 Surprise Munzee by Beermaven</t>
  </si>
  <si>
    <t>Hendon #171</t>
  </si>
  <si>
    <t>Hendon #172</t>
  </si>
  <si>
    <t>Actual: 51.5835146374104, -0.2183169406009</t>
  </si>
  <si>
    <t>Hendon #173</t>
  </si>
  <si>
    <t>JABIE28</t>
  </si>
  <si>
    <t>Hendon #174</t>
  </si>
  <si>
    <t>moonster</t>
  </si>
  <si>
    <t>Hendon #175</t>
  </si>
  <si>
    <t>Hendon #176</t>
  </si>
  <si>
    <t>CoffeeEater</t>
  </si>
  <si>
    <t>Hendon #177</t>
  </si>
  <si>
    <t>Maattmoo</t>
  </si>
  <si>
    <t>https://www.munzee.com/m/Maattmoo/1631/</t>
  </si>
  <si>
    <t>Hendon #178</t>
  </si>
  <si>
    <t>Hendon #179</t>
  </si>
  <si>
    <t>Unicorn55</t>
  </si>
  <si>
    <t>https://www.munzee.com/m/Unicorn55/2634/</t>
  </si>
  <si>
    <t>Hendon #180</t>
  </si>
  <si>
    <t>Sivontim</t>
  </si>
  <si>
    <t>Hendon #181</t>
  </si>
  <si>
    <t>Tornado</t>
  </si>
  <si>
    <t>https://www.munzee.com/m/Tornado/5360/</t>
  </si>
  <si>
    <t>Hendon #182</t>
  </si>
  <si>
    <t>Hendon #183</t>
  </si>
  <si>
    <t>JBurden</t>
  </si>
  <si>
    <t>Hendon #184</t>
  </si>
  <si>
    <t>barefootguru</t>
  </si>
  <si>
    <t>Hendon #185</t>
  </si>
  <si>
    <t>lnlevy01</t>
  </si>
  <si>
    <t>Hendon #186</t>
  </si>
  <si>
    <t>mihul</t>
  </si>
  <si>
    <t>Hendon #187</t>
  </si>
  <si>
    <t>redshark78</t>
  </si>
  <si>
    <t>Hendon #188</t>
  </si>
  <si>
    <t>szakica</t>
  </si>
  <si>
    <t>Hendon #189</t>
  </si>
  <si>
    <t>Hendon #190</t>
  </si>
  <si>
    <t>123xilef</t>
  </si>
  <si>
    <t>Hendon #191</t>
  </si>
  <si>
    <t>https://www.munzee.com/m/92Supercoupe/16046</t>
  </si>
  <si>
    <t>Hendon #192</t>
  </si>
  <si>
    <t>6048/</t>
  </si>
  <si>
    <t>Hendon #193</t>
  </si>
  <si>
    <t>https://www.munzee.com/m/Tornado/5169/</t>
  </si>
  <si>
    <t>Hendon #194</t>
  </si>
  <si>
    <t>kwd</t>
  </si>
  <si>
    <t>Hendon #195</t>
  </si>
  <si>
    <t>RangerTJ</t>
  </si>
  <si>
    <t>Hendon #196</t>
  </si>
  <si>
    <t>Leesap</t>
  </si>
  <si>
    <t>Hendon #197</t>
  </si>
  <si>
    <t xml:space="preserve">Derlame </t>
  </si>
  <si>
    <t>Hendon #198</t>
  </si>
  <si>
    <t>Hendon #199</t>
  </si>
  <si>
    <t>https://www.munzee.com/m/92Supercoupe/17587</t>
  </si>
  <si>
    <t>Hendon #200</t>
  </si>
  <si>
    <t>Hendon #201</t>
  </si>
  <si>
    <t>Kyrandia</t>
  </si>
  <si>
    <t>Hendon #202</t>
  </si>
  <si>
    <t>dazzaf</t>
  </si>
  <si>
    <t>Hendon #203</t>
  </si>
  <si>
    <t>BonnieB1</t>
  </si>
  <si>
    <t>Hendon #204</t>
  </si>
  <si>
    <t>Hendon #205</t>
  </si>
  <si>
    <t>WantingSnow</t>
  </si>
  <si>
    <t>Hendon #206</t>
  </si>
  <si>
    <t>Benotje</t>
  </si>
  <si>
    <t>Hendon #207</t>
  </si>
  <si>
    <t>Hendon #208</t>
  </si>
  <si>
    <t>Nierenstein</t>
  </si>
  <si>
    <t>Hendon #209</t>
  </si>
  <si>
    <t>MsGiggler</t>
  </si>
  <si>
    <t>https://www.munzee.com/m/MsGiggler/14845</t>
  </si>
  <si>
    <t>Hendon #210</t>
  </si>
  <si>
    <t>Quietriots</t>
  </si>
  <si>
    <t>deploy Aug 11th</t>
  </si>
  <si>
    <t>Hendon #211</t>
  </si>
  <si>
    <t>Hendon #212</t>
  </si>
  <si>
    <t>GMariusz</t>
  </si>
  <si>
    <t>Hendon #213</t>
  </si>
  <si>
    <t>Hendon #214</t>
  </si>
  <si>
    <t>Tonliluvsnow</t>
  </si>
  <si>
    <t>https://www.munzee.com/m/Tonliluvsnow/2110</t>
  </si>
  <si>
    <t>Hendon #215</t>
  </si>
  <si>
    <t>Hendon #216</t>
  </si>
  <si>
    <t>Hendon #217</t>
  </si>
  <si>
    <t>DABirds</t>
  </si>
  <si>
    <t>Hendon #218</t>
  </si>
  <si>
    <t>Hendon #219</t>
  </si>
  <si>
    <t>Actual: 51.583802097165, -0.2171603316208</t>
  </si>
  <si>
    <t>Hendon #220</t>
  </si>
  <si>
    <t>volki2000</t>
  </si>
  <si>
    <t>Deploy 0n Feb 3</t>
  </si>
  <si>
    <t>Hendon #221</t>
  </si>
  <si>
    <t>jldh</t>
  </si>
  <si>
    <t>Hendon #222</t>
  </si>
  <si>
    <t>wemissmo</t>
  </si>
  <si>
    <t>Hendon #223</t>
  </si>
  <si>
    <t>Hendon #224</t>
  </si>
  <si>
    <t>Chivasloyal</t>
  </si>
  <si>
    <t>Hendon #225</t>
  </si>
  <si>
    <t>jafo43</t>
  </si>
  <si>
    <t>Hendon #226</t>
  </si>
  <si>
    <t>lison55</t>
  </si>
  <si>
    <t>Hendon #227</t>
  </si>
  <si>
    <t>taska1981</t>
  </si>
  <si>
    <t>Hendon #228</t>
  </si>
  <si>
    <t>Hendon #229</t>
  </si>
  <si>
    <t>Hendon #230</t>
  </si>
  <si>
    <t>kwilhelm001</t>
  </si>
  <si>
    <t>Hendon #231</t>
  </si>
  <si>
    <t>Hendon #232</t>
  </si>
  <si>
    <t>Hendon #233</t>
  </si>
  <si>
    <t>Hendon #234</t>
  </si>
  <si>
    <t>destolkjes4ever</t>
  </si>
  <si>
    <t>Hendon #235</t>
  </si>
  <si>
    <t>SillyMooseMama</t>
  </si>
  <si>
    <t>Hendon #236</t>
  </si>
  <si>
    <t>Hendon #237</t>
  </si>
  <si>
    <t>Hendon #238</t>
  </si>
  <si>
    <t>Hendon #239</t>
  </si>
  <si>
    <t>einkilorind</t>
  </si>
  <si>
    <t>Hendon #240</t>
  </si>
  <si>
    <t>Hendon #241</t>
  </si>
  <si>
    <t>Hendon #242</t>
  </si>
  <si>
    <t>q22q17</t>
  </si>
  <si>
    <t>https://www.munzee.com/m/q22q17/21970/</t>
  </si>
  <si>
    <t>Hendon #243</t>
  </si>
  <si>
    <t>Hendon #244</t>
  </si>
  <si>
    <t>andyscorch</t>
  </si>
  <si>
    <t>Hendon #245</t>
  </si>
  <si>
    <t>Hendon #246</t>
  </si>
  <si>
    <t>StaceyZ</t>
  </si>
  <si>
    <t>https://www.munzee.com/m/StaceyZ/3783/</t>
  </si>
  <si>
    <t>Hendon #247</t>
  </si>
  <si>
    <t>Hendon #248</t>
  </si>
  <si>
    <t>Hendon #249</t>
  </si>
  <si>
    <t>Centern</t>
  </si>
  <si>
    <t>Hendon #250</t>
  </si>
  <si>
    <t>Lehmich</t>
  </si>
  <si>
    <t>Hendon #251</t>
  </si>
  <si>
    <t>Aniara</t>
  </si>
  <si>
    <t>Hendon #252</t>
  </si>
  <si>
    <t>Majsan</t>
  </si>
  <si>
    <t>Hendon #253</t>
  </si>
  <si>
    <t>Hendon #254</t>
  </si>
  <si>
    <t>Hendon #255</t>
  </si>
  <si>
    <t>Hendon #256</t>
  </si>
  <si>
    <t>Hendon #257</t>
  </si>
  <si>
    <t>CarlisleCachers</t>
  </si>
  <si>
    <t>Hendon #258</t>
  </si>
  <si>
    <t>Hendon #259</t>
  </si>
  <si>
    <t>leesap</t>
  </si>
  <si>
    <t>https://www.munzee.com/m/Leesap/2829/</t>
  </si>
  <si>
    <t>Hendon #260</t>
  </si>
  <si>
    <t xml:space="preserve">WanderingAus </t>
  </si>
  <si>
    <t>Hendon #261</t>
  </si>
  <si>
    <t>https://www.munzee.com/m/Syrtene/3732/</t>
  </si>
  <si>
    <t>Hendon #262</t>
  </si>
  <si>
    <t>Hendon #263</t>
  </si>
  <si>
    <t>https://www.munzee.com/m/geckofreund/4513/</t>
  </si>
  <si>
    <t>Hendon #264</t>
  </si>
  <si>
    <t>MetteS</t>
  </si>
  <si>
    <t>Hendon #265</t>
  </si>
  <si>
    <t>BoMS</t>
  </si>
  <si>
    <t>Hendon #266</t>
  </si>
  <si>
    <t>Hendon #267</t>
  </si>
  <si>
    <t>Hendon #268</t>
  </si>
  <si>
    <t>https://www.munzee.com/m/georeyna/9942/</t>
  </si>
  <si>
    <t>Hendon #269</t>
  </si>
  <si>
    <t>Hendon #270</t>
  </si>
  <si>
    <t>Hendon #271</t>
  </si>
  <si>
    <t>https://www.munzee.com/m/StaceyZ/6565/</t>
  </si>
  <si>
    <t>Hendon #272</t>
  </si>
  <si>
    <t>gatefan</t>
  </si>
  <si>
    <t>Hendon #273</t>
  </si>
  <si>
    <t>&lt;-- HIDE ROW ONCE SET --&gt;</t>
  </si>
  <si>
    <t>Number of top contributors to show:</t>
  </si>
  <si>
    <t>Coordination chat URL:</t>
  </si>
  <si>
    <t>https://discord.me/Munzee</t>
  </si>
  <si>
    <t>Map link URL:</t>
  </si>
  <si>
    <t>https://www.munzee.com/map/gcpv7n8t5/17</t>
  </si>
  <si>
    <t>Hendon Circle, London, England</t>
  </si>
  <si>
    <t>TOTAL</t>
  </si>
  <si>
    <t>Variety circle in Hendon, London, England.</t>
  </si>
  <si>
    <t>Virual color</t>
  </si>
  <si>
    <t>Amount</t>
  </si>
  <si>
    <t>Available</t>
  </si>
  <si>
    <t>% done</t>
  </si>
  <si>
    <t>Insert screenshot from VGP
with no crosshairs as a drawing here.</t>
  </si>
  <si>
    <t>Pin Name</t>
  </si>
  <si>
    <t>Type</t>
  </si>
  <si>
    <t>Deploys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</si>
</sst>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"/>
  </numFmts>
  <fonts count="30">
    <font>
      <sz val="10.0"/>
      <color rgb="FF000000"/>
      <name val="Arial"/>
    </font>
    <font>
      <b/>
      <sz val="12.0"/>
      <name val="Arial"/>
    </font>
    <font/>
    <font>
      <u/>
      <color rgb="FF0000FF"/>
    </font>
    <font>
      <u/>
      <color rgb="FF0000FF"/>
    </font>
    <font>
      <u/>
    </font>
    <font>
      <b/>
      <i/>
    </font>
    <font>
      <i/>
    </font>
    <font>
      <u/>
      <color rgb="FF0000FF"/>
    </font>
    <font>
      <name val="Roboto"/>
    </font>
    <font>
      <u/>
      <color rgb="FF0000FF"/>
    </font>
    <font>
      <sz val="11.0"/>
      <name val="Calibri"/>
    </font>
    <font>
      <b/>
      <i/>
      <u/>
      <color rgb="FF0000FF"/>
    </font>
    <font>
      <sz val="11.0"/>
      <name val="&quot;Helvetica Neue&quot;"/>
    </font>
    <font>
      <sz val="11.0"/>
    </font>
    <font>
      <u/>
      <color rgb="FF0000FF"/>
    </font>
    <font>
      <u/>
      <color rgb="FF0000FF"/>
    </font>
    <font>
      <b/>
      <sz val="18.0"/>
    </font>
    <font>
      <b/>
      <u/>
      <sz val="14.0"/>
      <color rgb="FF0000FF"/>
    </font>
    <font>
      <b/>
      <sz val="14.0"/>
      <name val="Arial"/>
    </font>
    <font>
      <b/>
      <i/>
      <sz val="14.0"/>
      <color rgb="FFFFFFFF"/>
      <name val="Arial"/>
    </font>
    <font>
      <b/>
      <sz val="18.0"/>
      <name val="Arial"/>
    </font>
    <font>
      <b/>
      <sz val="18.0"/>
      <name val="Oxygen"/>
    </font>
    <font>
      <b/>
      <sz val="11.0"/>
      <name val="Oxygen"/>
    </font>
    <font>
      <b/>
      <name val="Oxygen"/>
    </font>
    <font>
      <b/>
      <color rgb="FFFFFFFF"/>
      <name val="Oxygen"/>
    </font>
    <font>
      <name val="Arial"/>
    </font>
    <font>
      <b/>
      <sz val="11.0"/>
      <name val="Calibri"/>
    </font>
    <font>
      <b/>
    </font>
    <font>
      <b/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3">
    <border/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164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shrinkToFit="0" vertical="center" wrapText="0"/>
    </xf>
    <xf borderId="0" fillId="0" fontId="11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15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vertical="center"/>
    </xf>
    <xf borderId="0" fillId="0" fontId="16" numFmtId="0" xfId="0" applyAlignment="1" applyFont="1">
      <alignment horizontal="left" readingOrder="0" vertical="center"/>
    </xf>
    <xf borderId="0" fillId="0" fontId="17" numFmtId="0" xfId="0" applyAlignment="1" applyFont="1">
      <alignment horizontal="center" readingOrder="0" vertical="center"/>
    </xf>
    <xf borderId="0" fillId="0" fontId="18" numFmtId="0" xfId="0" applyAlignment="1" applyFont="1">
      <alignment horizontal="center" vertical="center"/>
    </xf>
    <xf borderId="2" fillId="2" fontId="19" numFmtId="0" xfId="0" applyAlignment="1" applyBorder="1" applyFill="1" applyFont="1">
      <alignment horizontal="center" vertical="bottom"/>
    </xf>
    <xf borderId="3" fillId="0" fontId="19" numFmtId="3" xfId="0" applyAlignment="1" applyBorder="1" applyFont="1" applyNumberFormat="1">
      <alignment horizontal="center" vertical="bottom"/>
    </xf>
    <xf borderId="3" fillId="3" fontId="20" numFmtId="10" xfId="0" applyAlignment="1" applyBorder="1" applyFill="1" applyFont="1" applyNumberFormat="1">
      <alignment horizontal="center" vertical="bottom"/>
    </xf>
    <xf borderId="4" fillId="2" fontId="21" numFmtId="0" xfId="0" applyAlignment="1" applyBorder="1" applyFont="1">
      <alignment horizontal="center" vertical="center"/>
    </xf>
    <xf borderId="5" fillId="2" fontId="21" numFmtId="0" xfId="0" applyAlignment="1" applyBorder="1" applyFont="1">
      <alignment horizontal="center" vertical="center"/>
    </xf>
    <xf borderId="0" fillId="0" fontId="2" numFmtId="10" xfId="0" applyAlignment="1" applyFont="1" applyNumberFormat="1">
      <alignment horizontal="center" vertical="center"/>
    </xf>
    <xf borderId="1" fillId="0" fontId="2" numFmtId="0" xfId="0" applyBorder="1" applyFont="1"/>
    <xf borderId="6" fillId="0" fontId="22" numFmtId="0" xfId="0" applyAlignment="1" applyBorder="1" applyFont="1">
      <alignment horizontal="center" vertical="center"/>
    </xf>
    <xf borderId="7" fillId="0" fontId="2" numFmtId="0" xfId="0" applyBorder="1" applyFont="1"/>
    <xf borderId="8" fillId="0" fontId="23" numFmtId="0" xfId="0" applyAlignment="1" applyBorder="1" applyFont="1">
      <alignment horizontal="center" vertical="center"/>
    </xf>
    <xf borderId="9" fillId="0" fontId="24" numFmtId="0" xfId="0" applyAlignment="1" applyBorder="1" applyFont="1">
      <alignment horizontal="center" vertical="center"/>
    </xf>
    <xf borderId="10" fillId="0" fontId="24" numFmtId="0" xfId="0" applyAlignment="1" applyBorder="1" applyFont="1">
      <alignment horizontal="center" vertical="center"/>
    </xf>
    <xf borderId="11" fillId="4" fontId="25" numFmtId="0" xfId="0" applyAlignment="1" applyBorder="1" applyFill="1" applyFont="1">
      <alignment horizontal="center" vertical="center"/>
    </xf>
    <xf borderId="0" fillId="4" fontId="25" numFmtId="0" xfId="0" applyAlignment="1" applyFont="1">
      <alignment horizontal="center" vertical="center"/>
    </xf>
    <xf borderId="12" fillId="4" fontId="25" numFmtId="0" xfId="0" applyAlignment="1" applyBorder="1" applyFont="1">
      <alignment horizontal="center" vertical="center"/>
    </xf>
    <xf borderId="11" fillId="3" fontId="25" numFmtId="0" xfId="0" applyAlignment="1" applyBorder="1" applyFont="1">
      <alignment horizontal="center" vertical="center"/>
    </xf>
    <xf borderId="0" fillId="3" fontId="25" numFmtId="0" xfId="0" applyAlignment="1" applyFont="1">
      <alignment horizontal="center" vertical="center"/>
    </xf>
    <xf borderId="12" fillId="3" fontId="25" numFmtId="0" xfId="0" applyAlignment="1" applyBorder="1" applyFont="1">
      <alignment horizontal="center" vertical="center"/>
    </xf>
    <xf borderId="11" fillId="5" fontId="24" numFmtId="0" xfId="0" applyAlignment="1" applyBorder="1" applyFill="1" applyFont="1">
      <alignment horizontal="center" vertical="center"/>
    </xf>
    <xf borderId="0" fillId="5" fontId="24" numFmtId="0" xfId="0" applyAlignment="1" applyFont="1">
      <alignment horizontal="center" vertical="center"/>
    </xf>
    <xf borderId="12" fillId="5" fontId="24" numFmtId="0" xfId="0" applyAlignment="1" applyBorder="1" applyFont="1">
      <alignment horizontal="center" vertical="center"/>
    </xf>
    <xf borderId="11" fillId="6" fontId="26" numFmtId="0" xfId="0" applyAlignment="1" applyBorder="1" applyFill="1" applyFont="1">
      <alignment horizontal="center" vertical="center"/>
    </xf>
    <xf borderId="0" fillId="6" fontId="26" numFmtId="0" xfId="0" applyAlignment="1" applyFont="1">
      <alignment horizontal="center" vertical="center"/>
    </xf>
    <xf borderId="12" fillId="6" fontId="26" numFmtId="0" xfId="0" applyAlignment="1" applyBorder="1" applyFont="1">
      <alignment horizontal="center" vertical="center"/>
    </xf>
    <xf borderId="11" fillId="7" fontId="26" numFmtId="0" xfId="0" applyAlignment="1" applyBorder="1" applyFill="1" applyFont="1">
      <alignment horizontal="center" vertical="center"/>
    </xf>
    <xf borderId="0" fillId="7" fontId="26" numFmtId="0" xfId="0" applyAlignment="1" applyFont="1">
      <alignment horizontal="center" vertical="center"/>
    </xf>
    <xf borderId="12" fillId="7" fontId="26" numFmtId="0" xfId="0" applyAlignment="1" applyBorder="1" applyFont="1">
      <alignment horizontal="center" vertical="center"/>
    </xf>
    <xf borderId="11" fillId="0" fontId="26" numFmtId="0" xfId="0" applyAlignment="1" applyBorder="1" applyFont="1">
      <alignment horizontal="center" vertical="center"/>
    </xf>
    <xf borderId="0" fillId="0" fontId="26" numFmtId="0" xfId="0" applyAlignment="1" applyFont="1">
      <alignment horizontal="center" vertical="center"/>
    </xf>
    <xf borderId="12" fillId="0" fontId="26" numFmtId="0" xfId="0" applyAlignment="1" applyBorder="1" applyFont="1">
      <alignment horizontal="center" vertical="center"/>
    </xf>
    <xf borderId="0" fillId="0" fontId="27" numFmtId="0" xfId="0" applyAlignment="1" applyFont="1">
      <alignment horizontal="center" vertical="center"/>
    </xf>
    <xf borderId="0" fillId="0" fontId="27" numFmtId="164" xfId="0" applyAlignment="1" applyFont="1" applyNumberFormat="1">
      <alignment horizontal="center" vertical="center"/>
    </xf>
    <xf borderId="0" fillId="0" fontId="27" numFmtId="0" xfId="0" applyAlignment="1" applyFont="1">
      <alignment horizontal="center" readingOrder="0" vertical="center"/>
    </xf>
    <xf borderId="0" fillId="0" fontId="28" numFmtId="0" xfId="0" applyAlignment="1" applyFont="1">
      <alignment horizontal="center" vertical="center"/>
    </xf>
    <xf borderId="0" fillId="0" fontId="29" numFmtId="0" xfId="0" applyAlignment="1" applyFont="1">
      <alignment horizontal="center" vertical="center"/>
    </xf>
  </cellXfs>
  <cellStyles count="1">
    <cellStyle xfId="0" name="Normal" builtinId="0"/>
  </cellStyles>
  <dxfs count="85">
    <dxf>
      <font>
        <b/>
        <color rgb="FFFFFF00"/>
      </font>
      <fill>
        <patternFill patternType="solid">
          <fgColor rgb="FFFF0000"/>
          <bgColor rgb="FFFF0000"/>
        </patternFill>
      </fill>
      <border/>
    </dxf>
    <dxf>
      <font>
        <b/>
        <strike/>
      </font>
      <fill>
        <patternFill patternType="solid">
          <fgColor rgb="FF00FF00"/>
          <bgColor rgb="FF00FF00"/>
        </patternFill>
      </fill>
      <border/>
    </dxf>
    <dxf>
      <font>
        <b/>
        <color rgb="FFFDD9B5"/>
      </font>
      <fill>
        <patternFill patternType="solid">
          <fgColor rgb="FF783F04"/>
          <bgColor rgb="FF783F04"/>
        </patternFill>
      </fill>
      <border/>
    </dxf>
    <dxf>
      <font/>
      <fill>
        <patternFill patternType="solid">
          <fgColor rgb="FFDBD7D2"/>
          <bgColor rgb="FFDBD7D2"/>
        </patternFill>
      </fill>
      <border/>
    </dxf>
    <dxf>
      <font/>
      <fill>
        <patternFill patternType="solid">
          <fgColor rgb="FFCDC5C2"/>
          <bgColor rgb="FFCDC5C2"/>
        </patternFill>
      </fill>
      <border/>
    </dxf>
    <dxf>
      <font/>
      <fill>
        <patternFill patternType="solid">
          <fgColor rgb="FF95918C"/>
          <bgColor rgb="FF95918C"/>
        </patternFill>
      </fill>
      <border/>
    </dxf>
    <dxf>
      <font>
        <color rgb="FFFFFFFF"/>
      </font>
      <fill>
        <patternFill patternType="solid">
          <fgColor rgb="FF232323"/>
          <bgColor rgb="FF232323"/>
        </patternFill>
      </fill>
      <border/>
    </dxf>
    <dxf>
      <font>
        <color rgb="FF000000"/>
      </font>
      <fill>
        <patternFill patternType="solid">
          <fgColor rgb="FFE6A8D7"/>
          <bgColor rgb="FFE6A8D7"/>
        </patternFill>
      </fill>
      <border/>
    </dxf>
    <dxf>
      <font>
        <color rgb="FF000000"/>
      </font>
      <fill>
        <patternFill patternType="solid">
          <fgColor rgb="FFCDA4DE"/>
          <bgColor rgb="FFCDA4DE"/>
        </patternFill>
      </fill>
      <border/>
    </dxf>
    <dxf>
      <font>
        <color rgb="FFFFFFFF"/>
      </font>
      <fill>
        <patternFill patternType="solid">
          <fgColor rgb="FF9D81BA"/>
          <bgColor rgb="FF9D81BA"/>
        </patternFill>
      </fill>
      <border/>
    </dxf>
    <dxf>
      <font>
        <color rgb="FFFFFFFF"/>
      </font>
      <fill>
        <patternFill patternType="solid">
          <fgColor rgb="FF926EAE"/>
          <bgColor rgb="FF926EAE"/>
        </patternFill>
      </fill>
      <border/>
    </dxf>
    <dxf>
      <font>
        <color rgb="FFFFFFFF"/>
      </font>
      <fill>
        <patternFill patternType="solid">
          <fgColor rgb="FF8E4585"/>
          <bgColor rgb="FF8E4585"/>
        </patternFill>
      </fill>
      <border/>
    </dxf>
    <dxf>
      <font>
        <color rgb="FFFFFFFF"/>
      </font>
      <fill>
        <patternFill patternType="solid">
          <fgColor rgb="FF7366BD"/>
          <bgColor rgb="FF7366BD"/>
        </patternFill>
      </fill>
      <border/>
    </dxf>
    <dxf>
      <font>
        <color rgb="FFFFFFFF"/>
      </font>
      <fill>
        <patternFill patternType="solid">
          <fgColor rgb="FF5D76CB"/>
          <bgColor rgb="FF5D76CB"/>
        </patternFill>
      </fill>
      <border/>
    </dxf>
    <dxf>
      <font>
        <color rgb="FFFFFFFF"/>
      </font>
      <fill>
        <patternFill patternType="solid">
          <fgColor rgb="FF1F75FE"/>
          <bgColor rgb="FF1F75FE"/>
        </patternFill>
      </fill>
      <border/>
    </dxf>
    <dxf>
      <font/>
      <fill>
        <patternFill patternType="solid">
          <fgColor rgb="FFB0B7C6"/>
          <bgColor rgb="FFB0B7C6"/>
        </patternFill>
      </fill>
      <border/>
    </dxf>
    <dxf>
      <font/>
      <fill>
        <patternFill patternType="solid">
          <fgColor rgb="FFC5D0E6"/>
          <bgColor rgb="FFC5D0E6"/>
        </patternFill>
      </fill>
      <border/>
    </dxf>
    <dxf>
      <font/>
      <fill>
        <patternFill patternType="solid">
          <fgColor rgb="FF9ACEEB"/>
          <bgColor rgb="FF9ACEEB"/>
        </patternFill>
      </fill>
      <border/>
    </dxf>
    <dxf>
      <font/>
      <fill>
        <patternFill patternType="solid">
          <fgColor rgb="FF199EBD"/>
          <bgColor rgb="FF199EBD"/>
        </patternFill>
      </fill>
      <border/>
    </dxf>
    <dxf>
      <font/>
      <fill>
        <patternFill patternType="solid">
          <fgColor rgb="FF1CA9C9"/>
          <bgColor rgb="FF1CA9C9"/>
        </patternFill>
      </fill>
      <border/>
    </dxf>
    <dxf>
      <font/>
      <fill>
        <patternFill patternType="solid">
          <fgColor rgb="FF1DACD6"/>
          <bgColor rgb="FF1DACD6"/>
        </patternFill>
      </fill>
      <border/>
    </dxf>
    <dxf>
      <font/>
      <fill>
        <patternFill patternType="solid">
          <fgColor rgb="FF1FCECB"/>
          <bgColor rgb="FF1FCECB"/>
        </patternFill>
      </fill>
      <border/>
    </dxf>
    <dxf>
      <font/>
      <fill>
        <patternFill patternType="solid">
          <fgColor rgb="FF77DDE7"/>
          <bgColor rgb="FF77DDE7"/>
        </patternFill>
      </fill>
      <border/>
    </dxf>
    <dxf>
      <font/>
      <fill>
        <patternFill patternType="solid">
          <fgColor rgb="FF9FE2BF"/>
          <bgColor rgb="FF9FE2BF"/>
        </patternFill>
      </fill>
      <border/>
    </dxf>
    <dxf>
      <font/>
      <fill>
        <patternFill patternType="solid">
          <fgColor rgb="FFA8E4A0"/>
          <bgColor rgb="FFA8E4A0"/>
        </patternFill>
      </fill>
      <border/>
    </dxf>
    <dxf>
      <font/>
      <fill>
        <patternFill patternType="solid">
          <fgColor rgb="FF1CAC78"/>
          <bgColor rgb="FF1CAC78"/>
        </patternFill>
      </fill>
      <border/>
    </dxf>
    <dxf>
      <font>
        <color rgb="FFFFFFFF"/>
      </font>
      <fill>
        <patternFill patternType="solid">
          <fgColor rgb="FF235437"/>
          <bgColor rgb="FF235437"/>
        </patternFill>
      </fill>
      <border/>
    </dxf>
    <dxf>
      <font/>
      <fill>
        <patternFill patternType="solid">
          <fgColor rgb="FF87A96B"/>
          <bgColor rgb="FF87A96B"/>
        </patternFill>
      </fill>
      <border/>
    </dxf>
    <dxf>
      <font/>
      <fill>
        <patternFill patternType="solid">
          <fgColor rgb="FFBAB86C"/>
          <bgColor rgb="FFBAB86C"/>
        </patternFill>
      </fill>
      <border/>
    </dxf>
    <dxf>
      <font/>
      <fill>
        <patternFill patternType="solid">
          <fgColor rgb="FFC5E384"/>
          <bgColor rgb="FFC5E384"/>
        </patternFill>
      </fill>
      <border/>
    </dxf>
    <dxf>
      <font/>
      <fill>
        <patternFill patternType="solid">
          <fgColor rgb="FFF0E891"/>
          <bgColor rgb="FFF0E891"/>
        </patternFill>
      </fill>
      <border/>
    </dxf>
    <dxf>
      <font/>
      <fill>
        <patternFill patternType="solid">
          <fgColor rgb="FFECEABE"/>
          <bgColor rgb="FFECEABE"/>
        </patternFill>
      </fill>
      <border/>
    </dxf>
    <dxf>
      <font/>
      <fill>
        <patternFill patternType="solid">
          <fgColor rgb="FFE7C697"/>
          <bgColor rgb="FFE7C697"/>
        </patternFill>
      </fill>
      <border/>
    </dxf>
    <dxf>
      <font/>
      <fill>
        <patternFill patternType="solid">
          <fgColor rgb="FFFCE883"/>
          <bgColor rgb="FFFCE883"/>
        </patternFill>
      </fill>
      <border/>
    </dxf>
    <dxf>
      <font/>
      <fill>
        <patternFill patternType="solid">
          <fgColor rgb="FFFFD975"/>
          <bgColor rgb="FFFFD975"/>
        </patternFill>
      </fill>
      <border/>
    </dxf>
    <dxf>
      <font/>
      <fill>
        <patternFill patternType="solid">
          <fgColor rgb="FFFDDB6D"/>
          <bgColor rgb="FFFDDB6D"/>
        </patternFill>
      </fill>
      <border/>
    </dxf>
    <dxf>
      <font/>
      <fill>
        <patternFill patternType="solid">
          <fgColor rgb="FFFF7F49"/>
          <bgColor rgb="FFFF7F49"/>
        </patternFill>
      </fill>
      <border/>
    </dxf>
    <dxf>
      <font/>
      <fill>
        <patternFill patternType="solid">
          <fgColor rgb="FFFFB653"/>
          <bgColor rgb="FFFFB653"/>
        </patternFill>
      </fill>
      <border/>
    </dxf>
    <dxf>
      <font/>
      <fill>
        <patternFill patternType="solid">
          <fgColor rgb="FFFDBCB4"/>
          <bgColor rgb="FFFDBCB4"/>
        </patternFill>
      </fill>
      <border/>
    </dxf>
    <dxf>
      <font/>
      <fill>
        <patternFill patternType="solid">
          <fgColor rgb="FFFCB3D5"/>
          <bgColor rgb="FFFCB3D5"/>
        </patternFill>
      </fill>
      <border/>
    </dxf>
    <dxf>
      <font/>
      <fill>
        <patternFill patternType="solid">
          <fgColor rgb="FFFFAACC"/>
          <bgColor rgb="FFFFAACC"/>
        </patternFill>
      </fill>
      <border/>
    </dxf>
    <dxf>
      <font/>
      <fill>
        <patternFill patternType="solid">
          <fgColor rgb="FFEF98AA"/>
          <bgColor rgb="FFEF98AA"/>
        </patternFill>
      </fill>
      <border/>
    </dxf>
    <dxf>
      <font/>
      <fill>
        <patternFill patternType="solid">
          <fgColor rgb="FFFF9BAA"/>
          <bgColor rgb="FFFF9BAA"/>
        </patternFill>
      </fill>
      <border/>
    </dxf>
    <dxf>
      <font/>
      <fill>
        <patternFill patternType="solid">
          <fgColor rgb="FFFC89AC"/>
          <bgColor rgb="FFFC89AC"/>
        </patternFill>
      </fill>
      <border/>
    </dxf>
    <dxf>
      <font/>
      <fill>
        <patternFill patternType="solid">
          <fgColor rgb="FFF664AF"/>
          <bgColor rgb="FFF664AF"/>
        </patternFill>
      </fill>
      <border/>
    </dxf>
    <dxf>
      <font/>
      <fill>
        <patternFill patternType="solid">
          <fgColor rgb="FFFF43A4"/>
          <bgColor rgb="FFFF43A4"/>
        </patternFill>
      </fill>
      <border/>
    </dxf>
    <dxf>
      <font/>
      <fill>
        <patternFill patternType="solid">
          <fgColor rgb="FFF75394"/>
          <bgColor rgb="FFF75394"/>
        </patternFill>
      </fill>
      <border/>
    </dxf>
    <dxf>
      <font/>
      <fill>
        <patternFill patternType="solid">
          <fgColor rgb="FFC0448F"/>
          <bgColor rgb="FFC0448F"/>
        </patternFill>
      </fill>
      <border/>
    </dxf>
    <dxf>
      <font/>
      <fill>
        <patternFill patternType="solid">
          <fgColor rgb="FFFDD9B5"/>
          <bgColor rgb="FFFDD9B5"/>
        </patternFill>
      </fill>
      <border/>
    </dxf>
    <dxf>
      <font/>
      <fill>
        <patternFill patternType="solid">
          <fgColor rgb="FFFFCFAB"/>
          <bgColor rgb="FFFFCFAB"/>
        </patternFill>
      </fill>
      <border/>
    </dxf>
    <dxf>
      <font/>
      <fill>
        <patternFill patternType="solid">
          <fgColor rgb="FFFFBD88"/>
          <bgColor rgb="FFFFBD88"/>
        </patternFill>
      </fill>
      <border/>
    </dxf>
    <dxf>
      <font/>
      <fill>
        <patternFill patternType="solid">
          <fgColor rgb="FFFAA76C"/>
          <bgColor rgb="FFFAA76C"/>
        </patternFill>
      </fill>
      <border/>
    </dxf>
    <dxf>
      <font/>
      <fill>
        <patternFill patternType="solid">
          <fgColor rgb="FFEA7E5D"/>
          <bgColor rgb="FFEA7E5D"/>
        </patternFill>
      </fill>
      <border/>
    </dxf>
    <dxf>
      <font/>
      <fill>
        <patternFill patternType="solid">
          <fgColor rgb="FFFD7C6E"/>
          <bgColor rgb="FFFD7C6E"/>
        </patternFill>
      </fill>
      <border/>
    </dxf>
    <dxf>
      <font/>
      <fill>
        <patternFill patternType="solid">
          <fgColor rgb="FFFF5349"/>
          <bgColor rgb="FFFF5349"/>
        </patternFill>
      </fill>
      <border/>
    </dxf>
    <dxf>
      <font/>
      <fill>
        <patternFill patternType="solid">
          <fgColor rgb="FFF22847"/>
          <bgColor rgb="FFF22847"/>
        </patternFill>
      </fill>
      <border/>
    </dxf>
    <dxf>
      <font/>
      <fill>
        <patternFill patternType="solid">
          <fgColor rgb="FFEE204D"/>
          <bgColor rgb="FFEE204D"/>
        </patternFill>
      </fill>
      <border/>
    </dxf>
    <dxf>
      <font/>
      <fill>
        <patternFill patternType="solid">
          <fgColor rgb="FFCB4154"/>
          <bgColor rgb="FFCB4154"/>
        </patternFill>
      </fill>
      <border/>
    </dxf>
    <dxf>
      <font/>
      <fill>
        <patternFill patternType="solid">
          <fgColor rgb="FFCD4A4A"/>
          <bgColor rgb="FFCD4A4A"/>
        </patternFill>
      </fill>
      <border/>
    </dxf>
    <dxf>
      <font/>
      <fill>
        <patternFill patternType="solid">
          <fgColor rgb="FFBC5D58"/>
          <bgColor rgb="FFBC5D58"/>
        </patternFill>
      </fill>
      <border/>
    </dxf>
    <dxf>
      <font/>
      <fill>
        <patternFill patternType="solid">
          <fgColor rgb="FFDEAA88"/>
          <bgColor rgb="FFDEAA88"/>
        </patternFill>
      </fill>
      <border/>
    </dxf>
    <dxf>
      <font/>
      <fill>
        <patternFill patternType="solid">
          <fgColor rgb="FFD68A59"/>
          <bgColor rgb="FFD68A59"/>
        </patternFill>
      </fill>
      <border/>
    </dxf>
    <dxf>
      <font/>
      <fill>
        <patternFill patternType="solid">
          <fgColor rgb="FFB4674D"/>
          <bgColor rgb="FFB4674D"/>
        </patternFill>
      </fill>
      <border/>
    </dxf>
    <dxf>
      <font>
        <b/>
        <i/>
      </font>
      <fill>
        <patternFill patternType="solid">
          <fgColor rgb="FFFF7538"/>
          <bgColor rgb="FFFF7538"/>
        </patternFill>
      </fill>
      <border/>
    </dxf>
    <dxf>
      <font>
        <b/>
        <i/>
        <color rgb="FFFFFFFF"/>
      </font>
      <fill>
        <patternFill patternType="solid">
          <fgColor rgb="FF1CAC78"/>
          <bgColor rgb="FF1CAC78"/>
        </patternFill>
      </fill>
      <border/>
    </dxf>
    <dxf>
      <font>
        <b/>
        <i/>
        <color rgb="FFFFFFFF"/>
      </font>
      <fill>
        <patternFill patternType="solid">
          <fgColor rgb="FFB4674D"/>
          <bgColor rgb="FFB4674D"/>
        </patternFill>
      </fill>
      <border/>
    </dxf>
    <dxf>
      <font>
        <b/>
        <i/>
        <color rgb="FF000000"/>
      </font>
      <fill>
        <patternFill patternType="solid">
          <fgColor rgb="FFFCE883"/>
          <bgColor rgb="FFFCE883"/>
        </patternFill>
      </fill>
      <border/>
    </dxf>
    <dxf>
      <font>
        <b/>
        <i/>
        <color rgb="FF000000"/>
      </font>
      <fill>
        <patternFill patternType="solid">
          <fgColor rgb="FFFF5349"/>
          <bgColor rgb="FFFF5349"/>
        </patternFill>
      </fill>
      <border/>
    </dxf>
    <dxf>
      <font>
        <b/>
        <i/>
        <color rgb="FFFFFFFF"/>
      </font>
      <fill>
        <patternFill patternType="solid">
          <fgColor rgb="FFBC5D58"/>
          <bgColor rgb="FFBC5D58"/>
        </patternFill>
      </fill>
      <border/>
    </dxf>
    <dxf>
      <font>
        <b/>
        <color rgb="FFFFFFFF"/>
      </font>
      <fill>
        <patternFill patternType="solid">
          <fgColor rgb="FF5B0F00"/>
          <bgColor rgb="FF5B0F00"/>
        </patternFill>
      </fill>
      <border/>
    </dxf>
    <dxf>
      <font>
        <b/>
        <i/>
      </font>
      <fill>
        <patternFill patternType="solid">
          <fgColor rgb="FFFFFF00"/>
          <bgColor rgb="FFFFFF00"/>
        </patternFill>
      </fill>
      <border/>
    </dxf>
    <dxf>
      <font>
        <b/>
        <color rgb="FFFFFFFF"/>
      </font>
      <fill>
        <patternFill patternType="solid">
          <fgColor rgb="FF232323"/>
          <bgColor rgb="FF232323"/>
        </patternFill>
      </fill>
      <border/>
    </dxf>
    <dxf>
      <font>
        <b/>
      </font>
      <fill>
        <patternFill patternType="solid">
          <fgColor rgb="FFFF7538"/>
          <bgColor rgb="FFFF7538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>
        <b/>
        <color rgb="FFFFFFFF"/>
      </font>
      <fill>
        <patternFill patternType="solid">
          <fgColor rgb="FF20124D"/>
          <bgColor rgb="FF20124D"/>
        </patternFill>
      </fill>
      <border/>
    </dxf>
    <dxf>
      <font>
        <b/>
      </font>
      <fill>
        <patternFill patternType="solid">
          <fgColor rgb="FF00FFFF"/>
          <bgColor rgb="FF00FFFF"/>
        </patternFill>
      </fill>
      <border/>
    </dxf>
    <dxf>
      <font>
        <b/>
      </font>
      <fill>
        <patternFill patternType="solid">
          <fgColor rgb="FFD5A6BD"/>
          <bgColor rgb="FFD5A6BD"/>
        </patternFill>
      </fill>
      <border/>
    </dxf>
    <dxf>
      <font>
        <b/>
        <color rgb="FF7F6000"/>
      </font>
      <fill>
        <patternFill patternType="none"/>
      </fill>
      <border/>
    </dxf>
    <dxf>
      <font>
        <b/>
        <color rgb="FF7F6000"/>
      </font>
      <fill>
        <patternFill patternType="solid">
          <fgColor rgb="FFE7C697"/>
          <bgColor rgb="FFE7C697"/>
        </patternFill>
      </fill>
      <border/>
    </dxf>
    <dxf>
      <font/>
      <fill>
        <patternFill patternType="solid">
          <fgColor rgb="FFEA692A"/>
          <bgColor rgb="FFEA692A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9900"/>
          <bgColor rgb="FFFF9900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  <color rgb="FFFFFFFF"/>
      </font>
      <fill>
        <patternFill patternType="solid">
          <fgColor rgb="FF980000"/>
          <bgColor rgb="FF980000"/>
        </patternFill>
      </fill>
      <border/>
    </dxf>
    <dxf>
      <font>
        <b/>
        <u/>
        <color rgb="FFFFFFFF"/>
      </font>
      <fill>
        <patternFill patternType="solid">
          <fgColor rgb="FF980000"/>
          <bgColor rgb="FF98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9</xdr:row>
      <xdr:rowOff>9525</xdr:rowOff>
    </xdr:from>
    <xdr:ext cx="3590925" cy="3543300"/>
    <xdr:grpSp>
      <xdr:nvGrpSpPr>
        <xdr:cNvPr id="2" name="Shape 2" title="Drawing"/>
        <xdr:cNvGrpSpPr/>
      </xdr:nvGrpSpPr>
      <xdr:grpSpPr>
        <a:xfrm>
          <a:off x="152400" y="152400"/>
          <a:ext cx="7093446" cy="7010401"/>
          <a:chOff x="152400" y="152400"/>
          <a:chExt cx="7093446" cy="7010401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093446" cy="701040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unzee.com/m/q22q17/21970/" TargetMode="External"/><Relationship Id="rId22" Type="http://schemas.openxmlformats.org/officeDocument/2006/relationships/hyperlink" Target="https://www.munzee.com/m/StaceyZ/3783/" TargetMode="External"/><Relationship Id="rId21" Type="http://schemas.openxmlformats.org/officeDocument/2006/relationships/hyperlink" Target="https://www.munzee.com/m/andyscorch/2402/admin/" TargetMode="External"/><Relationship Id="rId24" Type="http://schemas.openxmlformats.org/officeDocument/2006/relationships/hyperlink" Target="https://www.munzee.com/m/Syrtene/3732/" TargetMode="External"/><Relationship Id="rId23" Type="http://schemas.openxmlformats.org/officeDocument/2006/relationships/hyperlink" Target="https://www.munzee.com/m/Leesap/2829/" TargetMode="External"/><Relationship Id="rId1" Type="http://schemas.openxmlformats.org/officeDocument/2006/relationships/hyperlink" Target="https://www.munzee.com/m/alexcarter/904/" TargetMode="External"/><Relationship Id="rId2" Type="http://schemas.openxmlformats.org/officeDocument/2006/relationships/hyperlink" Target="https://www.munzee.com/m/92Supercoupe/3629" TargetMode="External"/><Relationship Id="rId3" Type="http://schemas.openxmlformats.org/officeDocument/2006/relationships/hyperlink" Target="https://www.munzee.com/m/Crazycolorado/3578/" TargetMode="External"/><Relationship Id="rId4" Type="http://schemas.openxmlformats.org/officeDocument/2006/relationships/hyperlink" Target="https://www.munzee.com/m/KLC/3659/" TargetMode="External"/><Relationship Id="rId9" Type="http://schemas.openxmlformats.org/officeDocument/2006/relationships/hyperlink" Target="https://www.munzee.com/m/Beermaven/3062/" TargetMode="External"/><Relationship Id="rId26" Type="http://schemas.openxmlformats.org/officeDocument/2006/relationships/hyperlink" Target="https://www.munzee.com/m/georeyna/9942/" TargetMode="External"/><Relationship Id="rId25" Type="http://schemas.openxmlformats.org/officeDocument/2006/relationships/hyperlink" Target="https://www.munzee.com/m/geckofreund/4513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munzee.com/m/StaceyZ/6565/" TargetMode="External"/><Relationship Id="rId5" Type="http://schemas.openxmlformats.org/officeDocument/2006/relationships/hyperlink" Target="https://www.munzee.com/m/Beermaven/2990/" TargetMode="External"/><Relationship Id="rId6" Type="http://schemas.openxmlformats.org/officeDocument/2006/relationships/hyperlink" Target="https://www.munzee.com/m/ShadowChasers/4863/" TargetMode="External"/><Relationship Id="rId7" Type="http://schemas.openxmlformats.org/officeDocument/2006/relationships/hyperlink" Target="https://www.munzee.com/m/mding4gold/4144" TargetMode="External"/><Relationship Id="rId8" Type="http://schemas.openxmlformats.org/officeDocument/2006/relationships/hyperlink" Target="https://www.munzee.com/m/Beermaven/2649/" TargetMode="External"/><Relationship Id="rId11" Type="http://schemas.openxmlformats.org/officeDocument/2006/relationships/hyperlink" Target="https://www.munzee.com/m/Beermaven/3077/" TargetMode="External"/><Relationship Id="rId10" Type="http://schemas.openxmlformats.org/officeDocument/2006/relationships/hyperlink" Target="https://www.munzee.com/m/WhatsItAllAbout/382/" TargetMode="External"/><Relationship Id="rId13" Type="http://schemas.openxmlformats.org/officeDocument/2006/relationships/hyperlink" Target="https://www.munzee.com/m/Unicorn55/2634/" TargetMode="External"/><Relationship Id="rId12" Type="http://schemas.openxmlformats.org/officeDocument/2006/relationships/hyperlink" Target="https://www.munzee.com/m/Maattmoo/1631/" TargetMode="External"/><Relationship Id="rId15" Type="http://schemas.openxmlformats.org/officeDocument/2006/relationships/hyperlink" Target="https://www.munzee.com/m/92Supercoupe/16046" TargetMode="External"/><Relationship Id="rId14" Type="http://schemas.openxmlformats.org/officeDocument/2006/relationships/hyperlink" Target="https://www.munzee.com/m/Tornado/5360/" TargetMode="External"/><Relationship Id="rId17" Type="http://schemas.openxmlformats.org/officeDocument/2006/relationships/hyperlink" Target="https://www.munzee.com/m/92Supercoupe/17587" TargetMode="External"/><Relationship Id="rId16" Type="http://schemas.openxmlformats.org/officeDocument/2006/relationships/hyperlink" Target="https://www.munzee.com/m/Tornado/5169/" TargetMode="External"/><Relationship Id="rId19" Type="http://schemas.openxmlformats.org/officeDocument/2006/relationships/hyperlink" Target="https://www.munzee.com/m/Tonliluvsnow/2110" TargetMode="External"/><Relationship Id="rId18" Type="http://schemas.openxmlformats.org/officeDocument/2006/relationships/hyperlink" Target="https://www.munzee.com/m/MsGiggler/1484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me/Munzee" TargetMode="External"/><Relationship Id="rId2" Type="http://schemas.openxmlformats.org/officeDocument/2006/relationships/hyperlink" Target="https://www.munzee.com/map/gcpv7n8t5/17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38"/>
    <col customWidth="1" min="2" max="2" width="5.13"/>
    <col customWidth="1" min="3" max="3" width="8.25"/>
    <col customWidth="1" min="4" max="4" width="15.0"/>
    <col customWidth="1" min="5" max="5" width="15.63"/>
    <col customWidth="1" min="6" max="6" width="25.0"/>
    <col customWidth="1" hidden="1" min="7" max="7" width="19.63"/>
    <col customWidth="1" min="8" max="8" width="14.5"/>
    <col customWidth="1" min="9" max="9" width="11.63"/>
    <col customWidth="1" min="10" max="10" width="18.5"/>
    <col customWidth="1" min="11" max="11" width="9.13"/>
    <col customWidth="1" min="12" max="12" width="63.75"/>
    <col customWidth="1" min="13" max="13" width="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3">
        <v>1.0</v>
      </c>
      <c r="C2" s="3">
        <v>10.0</v>
      </c>
      <c r="D2" s="4">
        <v>51.5858143252193</v>
      </c>
      <c r="E2" s="4">
        <v>-0.219010533982</v>
      </c>
      <c r="F2" s="3" t="s">
        <v>14</v>
      </c>
      <c r="G2" s="3" t="s">
        <v>15</v>
      </c>
      <c r="H2" s="5" t="s">
        <v>16</v>
      </c>
      <c r="I2" s="6">
        <v>904.0</v>
      </c>
      <c r="J2" s="7" t="str">
        <f>IFERROR(__xludf.DUMMYFUNCTION("IF(AND(REGEXMATCH($H2,""50( ?['fF]([oO]{2})?[tT]?)?( ?[eE][rR]{2}[oO][rR])"")=FALSE,$H2&lt;&gt;"""",$I2&lt;&gt;""""),HYPERLINK(""https://www.munzee.com/m/""&amp;$H2&amp;""/""&amp;$I2&amp;""/map/?lat=""&amp;$D2&amp;""&amp;lon=""&amp;$E2&amp;""&amp;type=""&amp;$F2&amp;""&amp;name=""&amp;SUBSTITUTE($A2,""#"",""%23""),$H2&amp;""/"&amp;"""&amp;$I2),IF($H2&lt;&gt;"""",IF(REGEXMATCH($H2,""50( ?['fF]([oO]{2})?[tT]?)?( ?[eE][rR]{2}[oO][rR])""),HYPERLINK(""https://www.munzee.com/map/?sandbox=1&amp;lat=""&amp;$D2&amp;""&amp;lon=""&amp;$E2&amp;""&amp;name=""&amp;SUBSTITUTE($A2,""#"",""%23""),""SANDBOX""),HYPERLINK(""https://www.munzee."&amp;"com/m/""&amp;$H2&amp;""/deploys/0/type/""&amp;IFNA(VLOOKUP($F2,IMPORTRANGE(""https://docs.google.com/spreadsheets/d/1DliIGyDywdzxhd4svtjaewR0p9Y5UBTMNMQ2PcXsqss"",""type data!E2:F""),2,FALSE),$F2)&amp;""/"",$H2)),""""))"),"alexcarter/904")</f>
        <v>alexcarter/904</v>
      </c>
      <c r="K2" s="6"/>
      <c r="L2" s="8" t="s">
        <v>17</v>
      </c>
      <c r="M2" s="9">
        <f t="shared" ref="M2:M274" si="1">IF($H2="","",COUNTIFS($H$2:$H274,"="&amp;$H2,$K$2:$K274,TRUE))</f>
        <v>0</v>
      </c>
    </row>
    <row r="3">
      <c r="A3" s="3" t="s">
        <v>18</v>
      </c>
      <c r="B3" s="3">
        <v>1.0</v>
      </c>
      <c r="C3" s="3">
        <v>11.0</v>
      </c>
      <c r="D3" s="4">
        <v>51.585814324992</v>
      </c>
      <c r="E3" s="4">
        <v>-0.2187792113074</v>
      </c>
      <c r="F3" s="3" t="s">
        <v>19</v>
      </c>
      <c r="G3" s="3" t="s">
        <v>20</v>
      </c>
      <c r="H3" s="6" t="s">
        <v>21</v>
      </c>
      <c r="I3" s="6">
        <v>19291.0</v>
      </c>
      <c r="J3" s="7" t="str">
        <f>IFERROR(__xludf.DUMMYFUNCTION("IF(AND(REGEXMATCH($H3,""50( ?['fF]([oO]{2})?[tT]?)?( ?[eE][rR]{2}[oO][rR])"")=FALSE,$H3&lt;&gt;"""",$I3&lt;&gt;""""),HYPERLINK(""https://www.munzee.com/m/""&amp;$H3&amp;""/""&amp;$I3&amp;""/map/?lat=""&amp;$D3&amp;""&amp;lon=""&amp;$E3&amp;""&amp;type=""&amp;$F3&amp;""&amp;name=""&amp;SUBSTITUTE($A3,""#"",""%23""),$H3&amp;""/"&amp;"""&amp;$I3),IF($H3&lt;&gt;"""",IF(REGEXMATCH($H3,""50( ?['fF]([oO]{2})?[tT]?)?( ?[eE][rR]{2}[oO][rR])""),HYPERLINK(""https://www.munzee.com/map/?sandbox=1&amp;lat=""&amp;$D3&amp;""&amp;lon=""&amp;$E3&amp;""&amp;name=""&amp;SUBSTITUTE($A3,""#"",""%23""),""SANDBOX""),HYPERLINK(""https://www.munzee."&amp;"com/m/""&amp;$H3&amp;""/deploys/0/type/""&amp;IFNA(VLOOKUP($F3,IMPORTRANGE(""https://docs.google.com/spreadsheets/d/1DliIGyDywdzxhd4svtjaewR0p9Y5UBTMNMQ2PcXsqss"",""type data!E2:F""),2,FALSE),$F3)&amp;""/"",$H3)),""""))"),"annabanana/19291")</f>
        <v>annabanana/19291</v>
      </c>
      <c r="K3" s="6" t="b">
        <v>1</v>
      </c>
      <c r="L3" s="10"/>
      <c r="M3" s="9">
        <f t="shared" si="1"/>
        <v>1</v>
      </c>
    </row>
    <row r="4">
      <c r="A4" s="3" t="s">
        <v>22</v>
      </c>
      <c r="B4" s="3">
        <v>1.0</v>
      </c>
      <c r="C4" s="3">
        <v>12.0</v>
      </c>
      <c r="D4" s="4">
        <v>51.5858143247647</v>
      </c>
      <c r="E4" s="4">
        <v>-0.2185478886328</v>
      </c>
      <c r="F4" s="3" t="s">
        <v>14</v>
      </c>
      <c r="G4" s="3" t="s">
        <v>15</v>
      </c>
      <c r="H4" s="6" t="s">
        <v>23</v>
      </c>
      <c r="I4" s="6">
        <v>351.0</v>
      </c>
      <c r="J4" s="7" t="str">
        <f>IFERROR(__xludf.DUMMYFUNCTION("IF(AND(REGEXMATCH($H4,""50( ?['fF]([oO]{2})?[tT]?)?( ?[eE][rR]{2}[oO][rR])"")=FALSE,$H4&lt;&gt;"""",$I4&lt;&gt;""""),HYPERLINK(""https://www.munzee.com/m/""&amp;$H4&amp;""/""&amp;$I4&amp;""/map/?lat=""&amp;$D4&amp;""&amp;lon=""&amp;$E4&amp;""&amp;type=""&amp;$F4&amp;""&amp;name=""&amp;SUBSTITUTE($A4,""#"",""%23""),$H4&amp;""/"&amp;"""&amp;$I4),IF($H4&lt;&gt;"""",IF(REGEXMATCH($H4,""50( ?['fF]([oO]{2})?[tT]?)?( ?[eE][rR]{2}[oO][rR])""),HYPERLINK(""https://www.munzee.com/map/?sandbox=1&amp;lat=""&amp;$D4&amp;""&amp;lon=""&amp;$E4&amp;""&amp;name=""&amp;SUBSTITUTE($A4,""#"",""%23""),""SANDBOX""),HYPERLINK(""https://www.munzee."&amp;"com/m/""&amp;$H4&amp;""/deploys/0/type/""&amp;IFNA(VLOOKUP($F4,IMPORTRANGE(""https://docs.google.com/spreadsheets/d/1DliIGyDywdzxhd4svtjaewR0p9Y5UBTMNMQ2PcXsqss"",""type data!E2:F""),2,FALSE),$F4)&amp;""/"",$H4)),""""))"),"MrBarnard/351")</f>
        <v>MrBarnard/351</v>
      </c>
      <c r="K4" s="6" t="b">
        <v>1</v>
      </c>
      <c r="L4" s="9"/>
      <c r="M4" s="9">
        <f t="shared" si="1"/>
        <v>2</v>
      </c>
    </row>
    <row r="5">
      <c r="A5" s="3" t="s">
        <v>24</v>
      </c>
      <c r="B5" s="3">
        <v>2.0</v>
      </c>
      <c r="C5" s="3">
        <v>9.0</v>
      </c>
      <c r="D5" s="4">
        <v>51.5856705950012</v>
      </c>
      <c r="E5" s="4">
        <v>-0.2192418771471</v>
      </c>
      <c r="F5" s="3" t="s">
        <v>25</v>
      </c>
      <c r="G5" s="3" t="s">
        <v>26</v>
      </c>
      <c r="H5" s="6" t="s">
        <v>27</v>
      </c>
      <c r="I5" s="6">
        <v>864.0</v>
      </c>
      <c r="J5" s="7" t="str">
        <f>IFERROR(__xludf.DUMMYFUNCTION("IF(AND(REGEXMATCH($H5,""50( ?['fF]([oO]{2})?[tT]?)?( ?[eE][rR]{2}[oO][rR])"")=FALSE,$H5&lt;&gt;"""",$I5&lt;&gt;""""),HYPERLINK(""https://www.munzee.com/m/""&amp;$H5&amp;""/""&amp;$I5&amp;""/map/?lat=""&amp;$D5&amp;""&amp;lon=""&amp;$E5&amp;""&amp;type=""&amp;$F5&amp;""&amp;name=""&amp;SUBSTITUTE($A5,""#"",""%23""),$H5&amp;""/"&amp;"""&amp;$I5),IF($H5&lt;&gt;"""",IF(REGEXMATCH($H5,""50( ?['fF]([oO]{2})?[tT]?)?( ?[eE][rR]{2}[oO][rR])""),HYPERLINK(""https://www.munzee.com/map/?sandbox=1&amp;lat=""&amp;$D5&amp;""&amp;lon=""&amp;$E5&amp;""&amp;name=""&amp;SUBSTITUTE($A5,""#"",""%23""),""SANDBOX""),HYPERLINK(""https://www.munzee."&amp;"com/m/""&amp;$H5&amp;""/deploys/0/type/""&amp;IFNA(VLOOKUP($F5,IMPORTRANGE(""https://docs.google.com/spreadsheets/d/1DliIGyDywdzxhd4svtjaewR0p9Y5UBTMNMQ2PcXsqss"",""type data!E2:F""),2,FALSE),$F5)&amp;""/"",$H5)),""""))"),"WinterCheetah/864")</f>
        <v>WinterCheetah/864</v>
      </c>
      <c r="K5" s="6" t="b">
        <v>1</v>
      </c>
      <c r="L5" s="10"/>
      <c r="M5" s="9">
        <f t="shared" si="1"/>
        <v>3</v>
      </c>
    </row>
    <row r="6">
      <c r="A6" s="3" t="s">
        <v>28</v>
      </c>
      <c r="B6" s="3">
        <v>2.0</v>
      </c>
      <c r="C6" s="3">
        <v>10.0</v>
      </c>
      <c r="D6" s="4">
        <v>51.5856705947739</v>
      </c>
      <c r="E6" s="4">
        <v>-0.2190105552042</v>
      </c>
      <c r="F6" s="3" t="s">
        <v>29</v>
      </c>
      <c r="G6" s="3" t="s">
        <v>30</v>
      </c>
      <c r="H6" s="6" t="s">
        <v>31</v>
      </c>
      <c r="I6" s="6">
        <v>9979.0</v>
      </c>
      <c r="J6" s="7" t="str">
        <f>IFERROR(__xludf.DUMMYFUNCTION("IF(AND(REGEXMATCH($H6,""50( ?['fF]([oO]{2})?[tT]?)?( ?[eE][rR]{2}[oO][rR])"")=FALSE,$H6&lt;&gt;"""",$I6&lt;&gt;""""),HYPERLINK(""https://www.munzee.com/m/""&amp;$H6&amp;""/""&amp;$I6&amp;""/map/?lat=""&amp;$D6&amp;""&amp;lon=""&amp;$E6&amp;""&amp;type=""&amp;$F6&amp;""&amp;name=""&amp;SUBSTITUTE($A6,""#"",""%23""),$H6&amp;""/"&amp;"""&amp;$I6),IF($H6&lt;&gt;"""",IF(REGEXMATCH($H6,""50( ?['fF]([oO]{2})?[tT]?)?( ?[eE][rR]{2}[oO][rR])""),HYPERLINK(""https://www.munzee.com/map/?sandbox=1&amp;lat=""&amp;$D6&amp;""&amp;lon=""&amp;$E6&amp;""&amp;name=""&amp;SUBSTITUTE($A6,""#"",""%23""),""SANDBOX""),HYPERLINK(""https://www.munzee."&amp;"com/m/""&amp;$H6&amp;""/deploys/0/type/""&amp;IFNA(VLOOKUP($F6,IMPORTRANGE(""https://docs.google.com/spreadsheets/d/1DliIGyDywdzxhd4svtjaewR0p9Y5UBTMNMQ2PcXsqss"",""type data!E2:F""),2,FALSE),$F6)&amp;""/"",$H6)),""""))"),"munzeeprof/9979")</f>
        <v>munzeeprof/9979</v>
      </c>
      <c r="K6" s="6" t="b">
        <v>1</v>
      </c>
      <c r="L6" s="3"/>
      <c r="M6" s="9">
        <f t="shared" si="1"/>
        <v>3</v>
      </c>
    </row>
    <row r="7">
      <c r="A7" s="3" t="s">
        <v>32</v>
      </c>
      <c r="B7" s="3">
        <v>2.0</v>
      </c>
      <c r="C7" s="3">
        <v>11.0</v>
      </c>
      <c r="D7" s="4">
        <v>51.5856705945465</v>
      </c>
      <c r="E7" s="4">
        <v>-0.2187792332614</v>
      </c>
      <c r="F7" s="3" t="s">
        <v>33</v>
      </c>
      <c r="G7" s="3" t="s">
        <v>34</v>
      </c>
      <c r="H7" s="6" t="s">
        <v>35</v>
      </c>
      <c r="I7" s="6">
        <v>224.0</v>
      </c>
      <c r="J7" s="7" t="str">
        <f>IFERROR(__xludf.DUMMYFUNCTION("IF(AND(REGEXMATCH($H7,""50( ?['fF]([oO]{2})?[tT]?)?( ?[eE][rR]{2}[oO][rR])"")=FALSE,$H7&lt;&gt;"""",$I7&lt;&gt;""""),HYPERLINK(""https://www.munzee.com/m/""&amp;$H7&amp;""/""&amp;$I7&amp;""/map/?lat=""&amp;$D7&amp;""&amp;lon=""&amp;$E7&amp;""&amp;type=""&amp;$F7&amp;""&amp;name=""&amp;SUBSTITUTE($A7,""#"",""%23""),$H7&amp;""/"&amp;"""&amp;$I7),IF($H7&lt;&gt;"""",IF(REGEXMATCH($H7,""50( ?['fF]([oO]{2})?[tT]?)?( ?[eE][rR]{2}[oO][rR])""),HYPERLINK(""https://www.munzee.com/map/?sandbox=1&amp;lat=""&amp;$D7&amp;""&amp;lon=""&amp;$E7&amp;""&amp;name=""&amp;SUBSTITUTE($A7,""#"",""%23""),""SANDBOX""),HYPERLINK(""https://www.munzee."&amp;"com/m/""&amp;$H7&amp;""/deploys/0/type/""&amp;IFNA(VLOOKUP($F7,IMPORTRANGE(""https://docs.google.com/spreadsheets/d/1DliIGyDywdzxhd4svtjaewR0p9Y5UBTMNMQ2PcXsqss"",""type data!E2:F""),2,FALSE),$F7)&amp;""/"",$H7)),""""))"),"rayannchick/224")</f>
        <v>rayannchick/224</v>
      </c>
      <c r="K7" s="6" t="b">
        <v>1</v>
      </c>
      <c r="L7" s="6"/>
      <c r="M7" s="9">
        <f t="shared" si="1"/>
        <v>1</v>
      </c>
    </row>
    <row r="8">
      <c r="A8" s="3" t="s">
        <v>36</v>
      </c>
      <c r="B8" s="3">
        <v>2.0</v>
      </c>
      <c r="C8" s="3">
        <v>12.0</v>
      </c>
      <c r="D8" s="4">
        <v>51.5856705943192</v>
      </c>
      <c r="E8" s="4">
        <v>-0.2185479113186</v>
      </c>
      <c r="F8" s="3" t="s">
        <v>29</v>
      </c>
      <c r="G8" s="3" t="s">
        <v>30</v>
      </c>
      <c r="H8" s="6" t="s">
        <v>37</v>
      </c>
      <c r="I8" s="6">
        <v>35.0</v>
      </c>
      <c r="J8" s="7" t="str">
        <f>IFERROR(__xludf.DUMMYFUNCTION("IF(AND(REGEXMATCH($H8,""50( ?['fF]([oO]{2})?[tT]?)?( ?[eE][rR]{2}[oO][rR])"")=FALSE,$H8&lt;&gt;"""",$I8&lt;&gt;""""),HYPERLINK(""https://www.munzee.com/m/""&amp;$H8&amp;""/""&amp;$I8&amp;""/map/?lat=""&amp;$D8&amp;""&amp;lon=""&amp;$E8&amp;""&amp;type=""&amp;$F8&amp;""&amp;name=""&amp;SUBSTITUTE($A8,""#"",""%23""),$H8&amp;""/"&amp;"""&amp;$I8),IF($H8&lt;&gt;"""",IF(REGEXMATCH($H8,""50( ?['fF]([oO]{2})?[tT]?)?( ?[eE][rR]{2}[oO][rR])""),HYPERLINK(""https://www.munzee.com/map/?sandbox=1&amp;lat=""&amp;$D8&amp;""&amp;lon=""&amp;$E8&amp;""&amp;name=""&amp;SUBSTITUTE($A8,""#"",""%23""),""SANDBOX""),HYPERLINK(""https://www.munzee."&amp;"com/m/""&amp;$H8&amp;""/deploys/0/type/""&amp;IFNA(VLOOKUP($F8,IMPORTRANGE(""https://docs.google.com/spreadsheets/d/1DliIGyDywdzxhd4svtjaewR0p9Y5UBTMNMQ2PcXsqss"",""type data!E2:F""),2,FALSE),$F8)&amp;""/"",$H8)),""""))"),"Yoshigirl/35")</f>
        <v>Yoshigirl/35</v>
      </c>
      <c r="K8" s="6" t="b">
        <v>1</v>
      </c>
      <c r="L8" s="6"/>
      <c r="M8" s="9">
        <f t="shared" si="1"/>
        <v>2</v>
      </c>
    </row>
    <row r="9">
      <c r="A9" s="3" t="s">
        <v>38</v>
      </c>
      <c r="B9" s="3">
        <v>2.0</v>
      </c>
      <c r="C9" s="3">
        <v>13.0</v>
      </c>
      <c r="D9" s="4">
        <v>51.5856705940919</v>
      </c>
      <c r="E9" s="4">
        <v>-0.2183165893758</v>
      </c>
      <c r="F9" s="3" t="s">
        <v>39</v>
      </c>
      <c r="G9" s="3" t="s">
        <v>40</v>
      </c>
      <c r="H9" s="6" t="s">
        <v>41</v>
      </c>
      <c r="I9" s="6">
        <v>8402.0</v>
      </c>
      <c r="J9" s="7" t="str">
        <f>IFERROR(__xludf.DUMMYFUNCTION("IF(AND(REGEXMATCH($H9,""50( ?['fF]([oO]{2})?[tT]?)?( ?[eE][rR]{2}[oO][rR])"")=FALSE,$H9&lt;&gt;"""",$I9&lt;&gt;""""),HYPERLINK(""https://www.munzee.com/m/""&amp;$H9&amp;""/""&amp;$I9&amp;""/map/?lat=""&amp;$D9&amp;""&amp;lon=""&amp;$E9&amp;""&amp;type=""&amp;$F9&amp;""&amp;name=""&amp;SUBSTITUTE($A9,""#"",""%23""),$H9&amp;""/"&amp;"""&amp;$I9),IF($H9&lt;&gt;"""",IF(REGEXMATCH($H9,""50( ?['fF]([oO]{2})?[tT]?)?( ?[eE][rR]{2}[oO][rR])""),HYPERLINK(""https://www.munzee.com/map/?sandbox=1&amp;lat=""&amp;$D9&amp;""&amp;lon=""&amp;$E9&amp;""&amp;name=""&amp;SUBSTITUTE($A9,""#"",""%23""),""SANDBOX""),HYPERLINK(""https://www.munzee."&amp;"com/m/""&amp;$H9&amp;""/deploys/0/type/""&amp;IFNA(VLOOKUP($F9,IMPORTRANGE(""https://docs.google.com/spreadsheets/d/1DliIGyDywdzxhd4svtjaewR0p9Y5UBTMNMQ2PcXsqss"",""type data!E2:F""),2,FALSE),$F9)&amp;""/"",$H9)),""""))"),"rgforsythe/8402")</f>
        <v>rgforsythe/8402</v>
      </c>
      <c r="K9" s="6"/>
      <c r="L9" s="6" t="s">
        <v>42</v>
      </c>
      <c r="M9" s="9">
        <f t="shared" si="1"/>
        <v>1</v>
      </c>
    </row>
    <row r="10">
      <c r="A10" s="3" t="s">
        <v>43</v>
      </c>
      <c r="B10" s="3">
        <v>3.0</v>
      </c>
      <c r="C10" s="3">
        <v>8.0</v>
      </c>
      <c r="D10" s="4">
        <v>51.5855268647831</v>
      </c>
      <c r="E10" s="4">
        <v>-0.2194732188482</v>
      </c>
      <c r="F10" s="3" t="s">
        <v>44</v>
      </c>
      <c r="G10" s="3" t="s">
        <v>45</v>
      </c>
      <c r="H10" s="6" t="s">
        <v>46</v>
      </c>
      <c r="I10" s="6">
        <v>797.0</v>
      </c>
      <c r="J10" s="7" t="str">
        <f>IFERROR(__xludf.DUMMYFUNCTION("IF(AND(REGEXMATCH($H10,""50( ?['fF]([oO]{2})?[tT]?)?( ?[eE][rR]{2}[oO][rR])"")=FALSE,$H10&lt;&gt;"""",$I10&lt;&gt;""""),HYPERLINK(""https://www.munzee.com/m/""&amp;$H10&amp;""/""&amp;$I10&amp;""/map/?lat=""&amp;$D10&amp;""&amp;lon=""&amp;$E10&amp;""&amp;type=""&amp;$F10&amp;""&amp;name=""&amp;SUBSTITUTE($A10,""#"",""%23"""&amp;"),$H10&amp;""/""&amp;$I10),IF($H10&lt;&gt;"""",IF(REGEXMATCH($H10,""50( ?['fF]([oO]{2})?[tT]?)?( ?[eE][rR]{2}[oO][rR])""),HYPERLINK(""https://www.munzee.com/map/?sandbox=1&amp;lat=""&amp;$D10&amp;""&amp;lon=""&amp;$E10&amp;""&amp;name=""&amp;SUBSTITUTE($A10,""#"",""%23""),""SANDBOX""),HYPERLINK(""htt"&amp;"ps://www.munzee.com/m/""&amp;$H10&amp;""/deploys/0/type/""&amp;IFNA(VLOOKUP($F10,IMPORTRANGE(""https://docs.google.com/spreadsheets/d/1DliIGyDywdzxhd4svtjaewR0p9Y5UBTMNMQ2PcXsqss"",""type data!E2:F""),2,FALSE),$F10)&amp;""/"",$H10)),""""))"),"Smith2190/797")</f>
        <v>Smith2190/797</v>
      </c>
      <c r="K10" s="9"/>
      <c r="L10" s="6" t="s">
        <v>47</v>
      </c>
      <c r="M10" s="9">
        <f t="shared" si="1"/>
        <v>1</v>
      </c>
    </row>
    <row r="11">
      <c r="A11" s="3" t="s">
        <v>48</v>
      </c>
      <c r="B11" s="3">
        <v>3.0</v>
      </c>
      <c r="C11" s="3">
        <v>9.0</v>
      </c>
      <c r="D11" s="4">
        <v>51.5855268645558</v>
      </c>
      <c r="E11" s="4">
        <v>-0.2192418976372</v>
      </c>
      <c r="F11" s="3" t="s">
        <v>44</v>
      </c>
      <c r="G11" s="3" t="s">
        <v>45</v>
      </c>
      <c r="H11" s="6" t="s">
        <v>49</v>
      </c>
      <c r="I11" s="6">
        <v>4676.0</v>
      </c>
      <c r="J11" s="7" t="str">
        <f>IFERROR(__xludf.DUMMYFUNCTION("IF(AND(REGEXMATCH($H11,""50( ?['fF]([oO]{2})?[tT]?)?( ?[eE][rR]{2}[oO][rR])"")=FALSE,$H11&lt;&gt;"""",$I11&lt;&gt;""""),HYPERLINK(""https://www.munzee.com/m/""&amp;$H11&amp;""/""&amp;$I11&amp;""/map/?lat=""&amp;$D11&amp;""&amp;lon=""&amp;$E11&amp;""&amp;type=""&amp;$F11&amp;""&amp;name=""&amp;SUBSTITUTE($A11,""#"",""%23"""&amp;"),$H11&amp;""/""&amp;$I11),IF($H11&lt;&gt;"""",IF(REGEXMATCH($H11,""50( ?['fF]([oO]{2})?[tT]?)?( ?[eE][rR]{2}[oO][rR])""),HYPERLINK(""https://www.munzee.com/map/?sandbox=1&amp;lat=""&amp;$D11&amp;""&amp;lon=""&amp;$E11&amp;""&amp;name=""&amp;SUBSTITUTE($A11,""#"",""%23""),""SANDBOX""),HYPERLINK(""htt"&amp;"ps://www.munzee.com/m/""&amp;$H11&amp;""/deploys/0/type/""&amp;IFNA(VLOOKUP($F11,IMPORTRANGE(""https://docs.google.com/spreadsheets/d/1DliIGyDywdzxhd4svtjaewR0p9Y5UBTMNMQ2PcXsqss"",""type data!E2:F""),2,FALSE),$F11)&amp;""/"",$H11)),""""))"),"OldFruits/4676")</f>
        <v>OldFruits/4676</v>
      </c>
      <c r="K11" s="6" t="b">
        <v>1</v>
      </c>
      <c r="L11" s="9"/>
      <c r="M11" s="9">
        <f t="shared" si="1"/>
        <v>1</v>
      </c>
    </row>
    <row r="12">
      <c r="A12" s="3" t="s">
        <v>50</v>
      </c>
      <c r="B12" s="3">
        <v>3.0</v>
      </c>
      <c r="C12" s="3">
        <v>10.0</v>
      </c>
      <c r="D12" s="4">
        <v>51.5855268643284</v>
      </c>
      <c r="E12" s="4">
        <v>-0.2190105764262</v>
      </c>
      <c r="F12" s="3" t="s">
        <v>51</v>
      </c>
      <c r="G12" s="3" t="s">
        <v>52</v>
      </c>
      <c r="H12" s="6" t="s">
        <v>53</v>
      </c>
      <c r="I12" s="6">
        <v>836.0</v>
      </c>
      <c r="J12" s="7" t="str">
        <f>IFERROR(__xludf.DUMMYFUNCTION("IF(AND(REGEXMATCH($H12,""50( ?['fF]([oO]{2})?[tT]?)?( ?[eE][rR]{2}[oO][rR])"")=FALSE,$H12&lt;&gt;"""",$I12&lt;&gt;""""),HYPERLINK(""https://www.munzee.com/m/""&amp;$H12&amp;""/""&amp;$I12&amp;""/map/?lat=""&amp;$D12&amp;""&amp;lon=""&amp;$E12&amp;""&amp;type=""&amp;$F12&amp;""&amp;name=""&amp;SUBSTITUTE($A12,""#"",""%23"""&amp;"),$H12&amp;""/""&amp;$I12),IF($H12&lt;&gt;"""",IF(REGEXMATCH($H12,""50( ?['fF]([oO]{2})?[tT]?)?( ?[eE][rR]{2}[oO][rR])""),HYPERLINK(""https://www.munzee.com/map/?sandbox=1&amp;lat=""&amp;$D12&amp;""&amp;lon=""&amp;$E12&amp;""&amp;name=""&amp;SUBSTITUTE($A12,""#"",""%23""),""SANDBOX""),HYPERLINK(""htt"&amp;"ps://www.munzee.com/m/""&amp;$H12&amp;""/deploys/0/type/""&amp;IFNA(VLOOKUP($F12,IMPORTRANGE(""https://docs.google.com/spreadsheets/d/1DliIGyDywdzxhd4svtjaewR0p9Y5UBTMNMQ2PcXsqss"",""type data!E2:F""),2,FALSE),$F12)&amp;""/"",$H12)),""""))"),"TMac2/836")</f>
        <v>TMac2/836</v>
      </c>
      <c r="K12" s="6" t="b">
        <v>1</v>
      </c>
      <c r="L12" s="9"/>
      <c r="M12" s="9">
        <f t="shared" si="1"/>
        <v>6</v>
      </c>
    </row>
    <row r="13">
      <c r="A13" s="3" t="s">
        <v>54</v>
      </c>
      <c r="B13" s="3">
        <v>3.0</v>
      </c>
      <c r="C13" s="3">
        <v>11.0</v>
      </c>
      <c r="D13" s="4">
        <v>51.5855268641011</v>
      </c>
      <c r="E13" s="4">
        <v>-0.2187792552152</v>
      </c>
      <c r="F13" s="3" t="s">
        <v>51</v>
      </c>
      <c r="G13" s="3" t="s">
        <v>52</v>
      </c>
      <c r="H13" s="6" t="s">
        <v>55</v>
      </c>
      <c r="I13" s="6">
        <v>726.0</v>
      </c>
      <c r="J13" s="7" t="str">
        <f>IFERROR(__xludf.DUMMYFUNCTION("IF(AND(REGEXMATCH($H13,""50( ?['fF]([oO]{2})?[tT]?)?( ?[eE][rR]{2}[oO][rR])"")=FALSE,$H13&lt;&gt;"""",$I13&lt;&gt;""""),HYPERLINK(""https://www.munzee.com/m/""&amp;$H13&amp;""/""&amp;$I13&amp;""/map/?lat=""&amp;$D13&amp;""&amp;lon=""&amp;$E13&amp;""&amp;type=""&amp;$F13&amp;""&amp;name=""&amp;SUBSTITUTE($A13,""#"",""%23"""&amp;"),$H13&amp;""/""&amp;$I13),IF($H13&lt;&gt;"""",IF(REGEXMATCH($H13,""50( ?['fF]([oO]{2})?[tT]?)?( ?[eE][rR]{2}[oO][rR])""),HYPERLINK(""https://www.munzee.com/map/?sandbox=1&amp;lat=""&amp;$D13&amp;""&amp;lon=""&amp;$E13&amp;""&amp;name=""&amp;SUBSTITUTE($A13,""#"",""%23""),""SANDBOX""),HYPERLINK(""htt"&amp;"ps://www.munzee.com/m/""&amp;$H13&amp;""/deploys/0/type/""&amp;IFNA(VLOOKUP($F13,IMPORTRANGE(""https://docs.google.com/spreadsheets/d/1DliIGyDywdzxhd4svtjaewR0p9Y5UBTMNMQ2PcXsqss"",""type data!E2:F""),2,FALSE),$F13)&amp;""/"",$H13)),""""))"),"SzymcioT/726")</f>
        <v>SzymcioT/726</v>
      </c>
      <c r="K13" s="6" t="b">
        <v>1</v>
      </c>
      <c r="L13" s="9"/>
      <c r="M13" s="9">
        <f t="shared" si="1"/>
        <v>6</v>
      </c>
    </row>
    <row r="14">
      <c r="A14" s="3" t="s">
        <v>56</v>
      </c>
      <c r="B14" s="3">
        <v>3.0</v>
      </c>
      <c r="C14" s="3">
        <v>12.0</v>
      </c>
      <c r="D14" s="4">
        <v>51.5855268638738</v>
      </c>
      <c r="E14" s="4">
        <v>-0.2185479340042</v>
      </c>
      <c r="F14" s="3" t="s">
        <v>51</v>
      </c>
      <c r="G14" s="3" t="s">
        <v>52</v>
      </c>
      <c r="H14" s="6" t="s">
        <v>57</v>
      </c>
      <c r="I14" s="6">
        <v>2202.0</v>
      </c>
      <c r="J14" s="7" t="str">
        <f>IFERROR(__xludf.DUMMYFUNCTION("IF(AND(REGEXMATCH($H14,""50( ?['fF]([oO]{2})?[tT]?)?( ?[eE][rR]{2}[oO][rR])"")=FALSE,$H14&lt;&gt;"""",$I14&lt;&gt;""""),HYPERLINK(""https://www.munzee.com/m/""&amp;$H14&amp;""/""&amp;$I14&amp;""/map/?lat=""&amp;$D14&amp;""&amp;lon=""&amp;$E14&amp;""&amp;type=""&amp;$F14&amp;""&amp;name=""&amp;SUBSTITUTE($A14,""#"",""%23"""&amp;"),$H14&amp;""/""&amp;$I14),IF($H14&lt;&gt;"""",IF(REGEXMATCH($H14,""50( ?['fF]([oO]{2})?[tT]?)?( ?[eE][rR]{2}[oO][rR])""),HYPERLINK(""https://www.munzee.com/map/?sandbox=1&amp;lat=""&amp;$D14&amp;""&amp;lon=""&amp;$E14&amp;""&amp;name=""&amp;SUBSTITUTE($A14,""#"",""%23""),""SANDBOX""),HYPERLINK(""htt"&amp;"ps://www.munzee.com/m/""&amp;$H14&amp;""/deploys/0/type/""&amp;IFNA(VLOOKUP($F14,IMPORTRANGE(""https://docs.google.com/spreadsheets/d/1DliIGyDywdzxhd4svtjaewR0p9Y5UBTMNMQ2PcXsqss"",""type data!E2:F""),2,FALSE),$F14)&amp;""/"",$H14)),""""))"),"technical13/2202")</f>
        <v>technical13/2202</v>
      </c>
      <c r="K14" s="6" t="b">
        <v>1</v>
      </c>
      <c r="L14" s="6"/>
      <c r="M14" s="9">
        <f t="shared" si="1"/>
        <v>5</v>
      </c>
    </row>
    <row r="15">
      <c r="A15" s="3" t="s">
        <v>58</v>
      </c>
      <c r="B15" s="3">
        <v>3.0</v>
      </c>
      <c r="C15" s="3">
        <v>13.0</v>
      </c>
      <c r="D15" s="4">
        <v>51.5855268636464</v>
      </c>
      <c r="E15" s="4">
        <v>-0.2183166127932</v>
      </c>
      <c r="F15" s="3" t="s">
        <v>44</v>
      </c>
      <c r="G15" s="3" t="s">
        <v>45</v>
      </c>
      <c r="H15" s="6" t="s">
        <v>59</v>
      </c>
      <c r="I15" s="11">
        <v>4371.0</v>
      </c>
      <c r="J15" s="7" t="str">
        <f>IFERROR(__xludf.DUMMYFUNCTION("IF(AND(REGEXMATCH($H15,""50( ?['fF]([oO]{2})?[tT]?)?( ?[eE][rR]{2}[oO][rR])"")=FALSE,$H15&lt;&gt;"""",$I15&lt;&gt;""""),HYPERLINK(""https://www.munzee.com/m/""&amp;$H15&amp;""/""&amp;$I15&amp;""/map/?lat=""&amp;$D15&amp;""&amp;lon=""&amp;$E15&amp;""&amp;type=""&amp;$F15&amp;""&amp;name=""&amp;SUBSTITUTE($A15,""#"",""%23"""&amp;"),$H15&amp;""/""&amp;$I15),IF($H15&lt;&gt;"""",IF(REGEXMATCH($H15,""50( ?['fF]([oO]{2})?[tT]?)?( ?[eE][rR]{2}[oO][rR])""),HYPERLINK(""https://www.munzee.com/map/?sandbox=1&amp;lat=""&amp;$D15&amp;""&amp;lon=""&amp;$E15&amp;""&amp;name=""&amp;SUBSTITUTE($A15,""#"",""%23""),""SANDBOX""),HYPERLINK(""htt"&amp;"ps://www.munzee.com/m/""&amp;$H15&amp;""/deploys/0/type/""&amp;IFNA(VLOOKUP($F15,IMPORTRANGE(""https://docs.google.com/spreadsheets/d/1DliIGyDywdzxhd4svtjaewR0p9Y5UBTMNMQ2PcXsqss"",""type data!E2:F""),2,FALSE),$F15)&amp;""/"",$H15)),""""))"),"Naturelover/4371")</f>
        <v>Naturelover/4371</v>
      </c>
      <c r="K15" s="6" t="b">
        <v>1</v>
      </c>
      <c r="L15" s="9"/>
      <c r="M15" s="9">
        <f t="shared" si="1"/>
        <v>2</v>
      </c>
    </row>
    <row r="16">
      <c r="A16" s="3" t="s">
        <v>60</v>
      </c>
      <c r="B16" s="3">
        <v>3.0</v>
      </c>
      <c r="C16" s="3">
        <v>14.0</v>
      </c>
      <c r="D16" s="4">
        <v>51.5855268634191</v>
      </c>
      <c r="E16" s="4">
        <v>-0.2180852915822</v>
      </c>
      <c r="F16" s="3" t="s">
        <v>44</v>
      </c>
      <c r="G16" s="3" t="s">
        <v>45</v>
      </c>
      <c r="H16" s="6" t="s">
        <v>46</v>
      </c>
      <c r="I16" s="6">
        <v>791.0</v>
      </c>
      <c r="J16" s="7" t="str">
        <f>IFERROR(__xludf.DUMMYFUNCTION("IF(AND(REGEXMATCH($H16,""50( ?['fF]([oO]{2})?[tT]?)?( ?[eE][rR]{2}[oO][rR])"")=FALSE,$H16&lt;&gt;"""",$I16&lt;&gt;""""),HYPERLINK(""https://www.munzee.com/m/""&amp;$H16&amp;""/""&amp;$I16&amp;""/map/?lat=""&amp;$D16&amp;""&amp;lon=""&amp;$E16&amp;""&amp;type=""&amp;$F16&amp;""&amp;name=""&amp;SUBSTITUTE($A16,""#"",""%23"""&amp;"),$H16&amp;""/""&amp;$I16),IF($H16&lt;&gt;"""",IF(REGEXMATCH($H16,""50( ?['fF]([oO]{2})?[tT]?)?( ?[eE][rR]{2}[oO][rR])""),HYPERLINK(""https://www.munzee.com/map/?sandbox=1&amp;lat=""&amp;$D16&amp;""&amp;lon=""&amp;$E16&amp;""&amp;name=""&amp;SUBSTITUTE($A16,""#"",""%23""),""SANDBOX""),HYPERLINK(""htt"&amp;"ps://www.munzee.com/m/""&amp;$H16&amp;""/deploys/0/type/""&amp;IFNA(VLOOKUP($F16,IMPORTRANGE(""https://docs.google.com/spreadsheets/d/1DliIGyDywdzxhd4svtjaewR0p9Y5UBTMNMQ2PcXsqss"",""type data!E2:F""),2,FALSE),$F16)&amp;""/"",$H16)),""""))"),"Smith2190/791")</f>
        <v>Smith2190/791</v>
      </c>
      <c r="K16" s="6" t="b">
        <v>1</v>
      </c>
      <c r="L16" s="9"/>
      <c r="M16" s="9">
        <f t="shared" si="1"/>
        <v>1</v>
      </c>
    </row>
    <row r="17">
      <c r="A17" s="3" t="s">
        <v>61</v>
      </c>
      <c r="B17" s="3">
        <v>4.0</v>
      </c>
      <c r="C17" s="3">
        <v>6.0</v>
      </c>
      <c r="D17" s="4">
        <v>51.5853831347923</v>
      </c>
      <c r="E17" s="4">
        <v>-0.2199358795627</v>
      </c>
      <c r="F17" s="3" t="s">
        <v>62</v>
      </c>
      <c r="G17" s="3" t="s">
        <v>63</v>
      </c>
      <c r="H17" s="6" t="s">
        <v>64</v>
      </c>
      <c r="I17" s="6">
        <v>12806.0</v>
      </c>
      <c r="J17" s="7" t="str">
        <f>IFERROR(__xludf.DUMMYFUNCTION("IF(AND(REGEXMATCH($H17,""50( ?['fF]([oO]{2})?[tT]?)?( ?[eE][rR]{2}[oO][rR])"")=FALSE,$H17&lt;&gt;"""",$I17&lt;&gt;""""),HYPERLINK(""https://www.munzee.com/m/""&amp;$H17&amp;""/""&amp;$I17&amp;""/map/?lat=""&amp;$D17&amp;""&amp;lon=""&amp;$E17&amp;""&amp;type=""&amp;$F17&amp;""&amp;name=""&amp;SUBSTITUTE($A17,""#"",""%23"""&amp;"),$H17&amp;""/""&amp;$I17),IF($H17&lt;&gt;"""",IF(REGEXMATCH($H17,""50( ?['fF]([oO]{2})?[tT]?)?( ?[eE][rR]{2}[oO][rR])""),HYPERLINK(""https://www.munzee.com/map/?sandbox=1&amp;lat=""&amp;$D17&amp;""&amp;lon=""&amp;$E17&amp;""&amp;name=""&amp;SUBSTITUTE($A17,""#"",""%23""),""SANDBOX""),HYPERLINK(""htt"&amp;"ps://www.munzee.com/m/""&amp;$H17&amp;""/deploys/0/type/""&amp;IFNA(VLOOKUP($F17,IMPORTRANGE(""https://docs.google.com/spreadsheets/d/1DliIGyDywdzxhd4svtjaewR0p9Y5UBTMNMQ2PcXsqss"",""type data!E2:F""),2,FALSE),$F17)&amp;""/"",$H17)),""""))"),"nuttynan/12806")</f>
        <v>nuttynan/12806</v>
      </c>
      <c r="K17" s="6" t="b">
        <v>1</v>
      </c>
      <c r="L17" s="12"/>
      <c r="M17" s="9">
        <f t="shared" si="1"/>
        <v>2</v>
      </c>
    </row>
    <row r="18">
      <c r="A18" s="3" t="s">
        <v>65</v>
      </c>
      <c r="B18" s="3">
        <v>4.0</v>
      </c>
      <c r="C18" s="3">
        <v>7.0</v>
      </c>
      <c r="D18" s="4">
        <v>51.585383134565</v>
      </c>
      <c r="E18" s="4">
        <v>-0.2197045590834</v>
      </c>
      <c r="F18" s="3" t="s">
        <v>62</v>
      </c>
      <c r="G18" s="3" t="s">
        <v>63</v>
      </c>
      <c r="H18" s="6" t="s">
        <v>66</v>
      </c>
      <c r="I18" s="6">
        <v>4039.0</v>
      </c>
      <c r="J18" s="7" t="str">
        <f>IFERROR(__xludf.DUMMYFUNCTION("IF(AND(REGEXMATCH($H18,""50( ?['fF]([oO]{2})?[tT]?)?( ?[eE][rR]{2}[oO][rR])"")=FALSE,$H18&lt;&gt;"""",$I18&lt;&gt;""""),HYPERLINK(""https://www.munzee.com/m/""&amp;$H18&amp;""/""&amp;$I18&amp;""/map/?lat=""&amp;$D18&amp;""&amp;lon=""&amp;$E18&amp;""&amp;type=""&amp;$F18&amp;""&amp;name=""&amp;SUBSTITUTE($A18,""#"",""%23"""&amp;"),$H18&amp;""/""&amp;$I18),IF($H18&lt;&gt;"""",IF(REGEXMATCH($H18,""50( ?['fF]([oO]{2})?[tT]?)?( ?[eE][rR]{2}[oO][rR])""),HYPERLINK(""https://www.munzee.com/map/?sandbox=1&amp;lat=""&amp;$D18&amp;""&amp;lon=""&amp;$E18&amp;""&amp;name=""&amp;SUBSTITUTE($A18,""#"",""%23""),""SANDBOX""),HYPERLINK(""htt"&amp;"ps://www.munzee.com/m/""&amp;$H18&amp;""/deploys/0/type/""&amp;IFNA(VLOOKUP($F18,IMPORTRANGE(""https://docs.google.com/spreadsheets/d/1DliIGyDywdzxhd4svtjaewR0p9Y5UBTMNMQ2PcXsqss"",""type data!E2:F""),2,FALSE),$F18)&amp;""/"",$H18)),""""))"),"twoleftknees/4039")</f>
        <v>twoleftknees/4039</v>
      </c>
      <c r="K18" s="6" t="b">
        <v>1</v>
      </c>
      <c r="L18" s="6"/>
      <c r="M18" s="9">
        <f t="shared" si="1"/>
        <v>1</v>
      </c>
    </row>
    <row r="19">
      <c r="A19" s="3" t="s">
        <v>67</v>
      </c>
      <c r="B19" s="3">
        <v>4.0</v>
      </c>
      <c r="C19" s="3">
        <v>8.0</v>
      </c>
      <c r="D19" s="4">
        <v>51.5853831343377</v>
      </c>
      <c r="E19" s="4">
        <v>-0.2194732386041</v>
      </c>
      <c r="F19" s="3" t="s">
        <v>62</v>
      </c>
      <c r="G19" s="3" t="s">
        <v>63</v>
      </c>
      <c r="H19" s="6" t="s">
        <v>68</v>
      </c>
      <c r="I19" s="3">
        <v>2920.0</v>
      </c>
      <c r="J19" s="7" t="str">
        <f>IFERROR(__xludf.DUMMYFUNCTION("IF(AND(REGEXMATCH($H19,""50( ?['fF]([oO]{2})?[tT]?)?( ?[eE][rR]{2}[oO][rR])"")=FALSE,$H19&lt;&gt;"""",$I19&lt;&gt;""""),HYPERLINK(""https://www.munzee.com/m/""&amp;$H19&amp;""/""&amp;$I19&amp;""/map/?lat=""&amp;$D19&amp;""&amp;lon=""&amp;$E19&amp;""&amp;type=""&amp;$F19&amp;""&amp;name=""&amp;SUBSTITUTE($A19,""#"",""%23"""&amp;"),$H19&amp;""/""&amp;$I19),IF($H19&lt;&gt;"""",IF(REGEXMATCH($H19,""50( ?['fF]([oO]{2})?[tT]?)?( ?[eE][rR]{2}[oO][rR])""),HYPERLINK(""https://www.munzee.com/map/?sandbox=1&amp;lat=""&amp;$D19&amp;""&amp;lon=""&amp;$E19&amp;""&amp;name=""&amp;SUBSTITUTE($A19,""#"",""%23""),""SANDBOX""),HYPERLINK(""htt"&amp;"ps://www.munzee.com/m/""&amp;$H19&amp;""/deploys/0/type/""&amp;IFNA(VLOOKUP($F19,IMPORTRANGE(""https://docs.google.com/spreadsheets/d/1DliIGyDywdzxhd4svtjaewR0p9Y5UBTMNMQ2PcXsqss"",""type data!E2:F""),2,FALSE),$F19)&amp;""/"",$H19)),""""))"),"bjktgdmb/2920")</f>
        <v>bjktgdmb/2920</v>
      </c>
      <c r="K19" s="6" t="b">
        <v>1</v>
      </c>
      <c r="L19" s="6"/>
      <c r="M19" s="9">
        <f t="shared" si="1"/>
        <v>1</v>
      </c>
    </row>
    <row r="20">
      <c r="A20" s="3" t="s">
        <v>69</v>
      </c>
      <c r="B20" s="3">
        <v>4.0</v>
      </c>
      <c r="C20" s="3">
        <v>9.0</v>
      </c>
      <c r="D20" s="4">
        <v>51.5853831341103</v>
      </c>
      <c r="E20" s="4">
        <v>-0.2192419181248</v>
      </c>
      <c r="F20" s="3" t="s">
        <v>70</v>
      </c>
      <c r="G20" s="3" t="s">
        <v>71</v>
      </c>
      <c r="H20" s="6" t="s">
        <v>72</v>
      </c>
      <c r="I20" s="6">
        <v>634.0</v>
      </c>
      <c r="J20" s="7" t="str">
        <f>IFERROR(__xludf.DUMMYFUNCTION("IF(AND(REGEXMATCH($H20,""50( ?['fF]([oO]{2})?[tT]?)?( ?[eE][rR]{2}[oO][rR])"")=FALSE,$H20&lt;&gt;"""",$I20&lt;&gt;""""),HYPERLINK(""https://www.munzee.com/m/""&amp;$H20&amp;""/""&amp;$I20&amp;""/map/?lat=""&amp;$D20&amp;""&amp;lon=""&amp;$E20&amp;""&amp;type=""&amp;$F20&amp;""&amp;name=""&amp;SUBSTITUTE($A20,""#"",""%23"""&amp;"),$H20&amp;""/""&amp;$I20),IF($H20&lt;&gt;"""",IF(REGEXMATCH($H20,""50( ?['fF]([oO]{2})?[tT]?)?( ?[eE][rR]{2}[oO][rR])""),HYPERLINK(""https://www.munzee.com/map/?sandbox=1&amp;lat=""&amp;$D20&amp;""&amp;lon=""&amp;$E20&amp;""&amp;name=""&amp;SUBSTITUTE($A20,""#"",""%23""),""SANDBOX""),HYPERLINK(""htt"&amp;"ps://www.munzee.com/m/""&amp;$H20&amp;""/deploys/0/type/""&amp;IFNA(VLOOKUP($F20,IMPORTRANGE(""https://docs.google.com/spreadsheets/d/1DliIGyDywdzxhd4svtjaewR0p9Y5UBTMNMQ2PcXsqss"",""type data!E2:F""),2,FALSE),$F20)&amp;""/"",$H20)),""""))"),"MaryJaneKitty/634")</f>
        <v>MaryJaneKitty/634</v>
      </c>
      <c r="K20" s="6" t="b">
        <v>1</v>
      </c>
      <c r="L20" s="9"/>
      <c r="M20" s="9">
        <f t="shared" si="1"/>
        <v>3</v>
      </c>
    </row>
    <row r="21">
      <c r="A21" s="3" t="s">
        <v>73</v>
      </c>
      <c r="B21" s="3">
        <v>4.0</v>
      </c>
      <c r="C21" s="3">
        <v>10.0</v>
      </c>
      <c r="D21" s="4">
        <v>51.585383133883</v>
      </c>
      <c r="E21" s="4">
        <v>-0.2190105976455</v>
      </c>
      <c r="F21" s="3" t="s">
        <v>70</v>
      </c>
      <c r="G21" s="3" t="s">
        <v>71</v>
      </c>
      <c r="H21" s="6" t="s">
        <v>74</v>
      </c>
      <c r="I21" s="13">
        <v>3068.0</v>
      </c>
      <c r="J21" s="7" t="str">
        <f>IFERROR(__xludf.DUMMYFUNCTION("IF(AND(REGEXMATCH($H21,""50( ?['fF]([oO]{2})?[tT]?)?( ?[eE][rR]{2}[oO][rR])"")=FALSE,$H21&lt;&gt;"""",$I21&lt;&gt;""""),HYPERLINK(""https://www.munzee.com/m/""&amp;$H21&amp;""/""&amp;$I21&amp;""/map/?lat=""&amp;$D21&amp;""&amp;lon=""&amp;$E21&amp;""&amp;type=""&amp;$F21&amp;""&amp;name=""&amp;SUBSTITUTE($A21,""#"",""%23"""&amp;"),$H21&amp;""/""&amp;$I21),IF($H21&lt;&gt;"""",IF(REGEXMATCH($H21,""50( ?['fF]([oO]{2})?[tT]?)?( ?[eE][rR]{2}[oO][rR])""),HYPERLINK(""https://www.munzee.com/map/?sandbox=1&amp;lat=""&amp;$D21&amp;""&amp;lon=""&amp;$E21&amp;""&amp;name=""&amp;SUBSTITUTE($A21,""#"",""%23""),""SANDBOX""),HYPERLINK(""htt"&amp;"ps://www.munzee.com/m/""&amp;$H21&amp;""/deploys/0/type/""&amp;IFNA(VLOOKUP($F21,IMPORTRANGE(""https://docs.google.com/spreadsheets/d/1DliIGyDywdzxhd4svtjaewR0p9Y5UBTMNMQ2PcXsqss"",""type data!E2:F""),2,FALSE),$F21)&amp;""/"",$H21)),""""))"),"linusbi/3068")</f>
        <v>linusbi/3068</v>
      </c>
      <c r="K21" s="6" t="b">
        <v>1</v>
      </c>
      <c r="L21" s="6"/>
      <c r="M21" s="9">
        <f t="shared" si="1"/>
        <v>1</v>
      </c>
    </row>
    <row r="22">
      <c r="A22" s="3" t="s">
        <v>75</v>
      </c>
      <c r="B22" s="3">
        <v>4.0</v>
      </c>
      <c r="C22" s="3">
        <v>11.0</v>
      </c>
      <c r="D22" s="4">
        <v>51.5853831336556</v>
      </c>
      <c r="E22" s="4">
        <v>-0.2187792771662</v>
      </c>
      <c r="F22" s="3" t="s">
        <v>70</v>
      </c>
      <c r="G22" s="3" t="s">
        <v>71</v>
      </c>
      <c r="H22" s="6" t="s">
        <v>76</v>
      </c>
      <c r="I22" s="13">
        <v>6855.0</v>
      </c>
      <c r="J22" s="7" t="str">
        <f>IFERROR(__xludf.DUMMYFUNCTION("IF(AND(REGEXMATCH($H22,""50( ?['fF]([oO]{2})?[tT]?)?( ?[eE][rR]{2}[oO][rR])"")=FALSE,$H22&lt;&gt;"""",$I22&lt;&gt;""""),HYPERLINK(""https://www.munzee.com/m/""&amp;$H22&amp;""/""&amp;$I22&amp;""/map/?lat=""&amp;$D22&amp;""&amp;lon=""&amp;$E22&amp;""&amp;type=""&amp;$F22&amp;""&amp;name=""&amp;SUBSTITUTE($A22,""#"",""%23"""&amp;"),$H22&amp;""/""&amp;$I22),IF($H22&lt;&gt;"""",IF(REGEXMATCH($H22,""50( ?['fF]([oO]{2})?[tT]?)?( ?[eE][rR]{2}[oO][rR])""),HYPERLINK(""https://www.munzee.com/map/?sandbox=1&amp;lat=""&amp;$D22&amp;""&amp;lon=""&amp;$E22&amp;""&amp;name=""&amp;SUBSTITUTE($A22,""#"",""%23""),""SANDBOX""),HYPERLINK(""htt"&amp;"ps://www.munzee.com/m/""&amp;$H22&amp;""/deploys/0/type/""&amp;IFNA(VLOOKUP($F22,IMPORTRANGE(""https://docs.google.com/spreadsheets/d/1DliIGyDywdzxhd4svtjaewR0p9Y5UBTMNMQ2PcXsqss"",""type data!E2:F""),2,FALSE),$F22)&amp;""/"",$H22)),""""))"),"levesund/6855")</f>
        <v>levesund/6855</v>
      </c>
      <c r="K22" s="6" t="b">
        <v>1</v>
      </c>
      <c r="L22" s="6"/>
      <c r="M22" s="9">
        <f t="shared" si="1"/>
        <v>1</v>
      </c>
    </row>
    <row r="23">
      <c r="A23" s="3" t="s">
        <v>77</v>
      </c>
      <c r="B23" s="3">
        <v>4.0</v>
      </c>
      <c r="C23" s="3">
        <v>12.0</v>
      </c>
      <c r="D23" s="4">
        <v>51.5853831334283</v>
      </c>
      <c r="E23" s="4">
        <v>-0.2185479566868</v>
      </c>
      <c r="F23" s="3" t="s">
        <v>70</v>
      </c>
      <c r="G23" s="3" t="s">
        <v>71</v>
      </c>
      <c r="H23" s="6" t="s">
        <v>72</v>
      </c>
      <c r="I23" s="6">
        <v>667.0</v>
      </c>
      <c r="J23" s="7" t="str">
        <f>IFERROR(__xludf.DUMMYFUNCTION("IF(AND(REGEXMATCH($H23,""50( ?['fF]([oO]{2})?[tT]?)?( ?[eE][rR]{2}[oO][rR])"")=FALSE,$H23&lt;&gt;"""",$I23&lt;&gt;""""),HYPERLINK(""https://www.munzee.com/m/""&amp;$H23&amp;""/""&amp;$I23&amp;""/map/?lat=""&amp;$D23&amp;""&amp;lon=""&amp;$E23&amp;""&amp;type=""&amp;$F23&amp;""&amp;name=""&amp;SUBSTITUTE($A23,""#"",""%23"""&amp;"),$H23&amp;""/""&amp;$I23),IF($H23&lt;&gt;"""",IF(REGEXMATCH($H23,""50( ?['fF]([oO]{2})?[tT]?)?( ?[eE][rR]{2}[oO][rR])""),HYPERLINK(""https://www.munzee.com/map/?sandbox=1&amp;lat=""&amp;$D23&amp;""&amp;lon=""&amp;$E23&amp;""&amp;name=""&amp;SUBSTITUTE($A23,""#"",""%23""),""SANDBOX""),HYPERLINK(""htt"&amp;"ps://www.munzee.com/m/""&amp;$H23&amp;""/deploys/0/type/""&amp;IFNA(VLOOKUP($F23,IMPORTRANGE(""https://docs.google.com/spreadsheets/d/1DliIGyDywdzxhd4svtjaewR0p9Y5UBTMNMQ2PcXsqss"",""type data!E2:F""),2,FALSE),$F23)&amp;""/"",$H23)),""""))"),"MaryJaneKitty/667")</f>
        <v>MaryJaneKitty/667</v>
      </c>
      <c r="K23" s="6" t="b">
        <v>1</v>
      </c>
      <c r="L23" s="6"/>
      <c r="M23" s="9">
        <f t="shared" si="1"/>
        <v>3</v>
      </c>
    </row>
    <row r="24">
      <c r="A24" s="3" t="s">
        <v>78</v>
      </c>
      <c r="B24" s="3">
        <v>4.0</v>
      </c>
      <c r="C24" s="3">
        <v>13.0</v>
      </c>
      <c r="D24" s="4">
        <v>51.585383133201</v>
      </c>
      <c r="E24" s="4">
        <v>-0.2183166362075</v>
      </c>
      <c r="F24" s="3" t="s">
        <v>70</v>
      </c>
      <c r="G24" s="3" t="s">
        <v>71</v>
      </c>
      <c r="H24" s="6" t="s">
        <v>79</v>
      </c>
      <c r="I24" s="13">
        <v>3511.0</v>
      </c>
      <c r="J24" s="7" t="str">
        <f>IFERROR(__xludf.DUMMYFUNCTION("IF(AND(REGEXMATCH($H24,""50( ?['fF]([oO]{2})?[tT]?)?( ?[eE][rR]{2}[oO][rR])"")=FALSE,$H24&lt;&gt;"""",$I24&lt;&gt;""""),HYPERLINK(""https://www.munzee.com/m/""&amp;$H24&amp;""/""&amp;$I24&amp;""/map/?lat=""&amp;$D24&amp;""&amp;lon=""&amp;$E24&amp;""&amp;type=""&amp;$F24&amp;""&amp;name=""&amp;SUBSTITUTE($A24,""#"",""%23"""&amp;"),$H24&amp;""/""&amp;$I24),IF($H24&lt;&gt;"""",IF(REGEXMATCH($H24,""50( ?['fF]([oO]{2})?[tT]?)?( ?[eE][rR]{2}[oO][rR])""),HYPERLINK(""https://www.munzee.com/map/?sandbox=1&amp;lat=""&amp;$D24&amp;""&amp;lon=""&amp;$E24&amp;""&amp;name=""&amp;SUBSTITUTE($A24,""#"",""%23""),""SANDBOX""),HYPERLINK(""htt"&amp;"ps://www.munzee.com/m/""&amp;$H24&amp;""/deploys/0/type/""&amp;IFNA(VLOOKUP($F24,IMPORTRANGE(""https://docs.google.com/spreadsheets/d/1DliIGyDywdzxhd4svtjaewR0p9Y5UBTMNMQ2PcXsqss"",""type data!E2:F""),2,FALSE),$F24)&amp;""/"",$H24)),""""))"),"fionails/3511")</f>
        <v>fionails/3511</v>
      </c>
      <c r="K24" s="6" t="b">
        <v>1</v>
      </c>
      <c r="L24" s="9"/>
      <c r="M24" s="9">
        <f t="shared" si="1"/>
        <v>1</v>
      </c>
    </row>
    <row r="25">
      <c r="A25" s="3" t="s">
        <v>80</v>
      </c>
      <c r="B25" s="3">
        <v>4.0</v>
      </c>
      <c r="C25" s="3">
        <v>14.0</v>
      </c>
      <c r="D25" s="4">
        <v>51.5853831329736</v>
      </c>
      <c r="E25" s="4">
        <v>-0.2180853157282</v>
      </c>
      <c r="F25" s="3" t="s">
        <v>81</v>
      </c>
      <c r="G25" s="3" t="s">
        <v>82</v>
      </c>
      <c r="H25" s="6" t="s">
        <v>83</v>
      </c>
      <c r="I25" s="6">
        <v>2939.0</v>
      </c>
      <c r="J25" s="7" t="str">
        <f>IFERROR(__xludf.DUMMYFUNCTION("IF(AND(REGEXMATCH($H25,""50( ?['fF]([oO]{2})?[tT]?)?( ?[eE][rR]{2}[oO][rR])"")=FALSE,$H25&lt;&gt;"""",$I25&lt;&gt;""""),HYPERLINK(""https://www.munzee.com/m/""&amp;$H25&amp;""/""&amp;$I25&amp;""/map/?lat=""&amp;$D25&amp;""&amp;lon=""&amp;$E25&amp;""&amp;type=""&amp;$F25&amp;""&amp;name=""&amp;SUBSTITUTE($A25,""#"",""%23"""&amp;"),$H25&amp;""/""&amp;$I25),IF($H25&lt;&gt;"""",IF(REGEXMATCH($H25,""50( ?['fF]([oO]{2})?[tT]?)?( ?[eE][rR]{2}[oO][rR])""),HYPERLINK(""https://www.munzee.com/map/?sandbox=1&amp;lat=""&amp;$D25&amp;""&amp;lon=""&amp;$E25&amp;""&amp;name=""&amp;SUBSTITUTE($A25,""#"",""%23""),""SANDBOX""),HYPERLINK(""htt"&amp;"ps://www.munzee.com/m/""&amp;$H25&amp;""/deploys/0/type/""&amp;IFNA(VLOOKUP($F25,IMPORTRANGE(""https://docs.google.com/spreadsheets/d/1DliIGyDywdzxhd4svtjaewR0p9Y5UBTMNMQ2PcXsqss"",""type data!E2:F""),2,FALSE),$F25)&amp;""/"",$H25)),""""))"),"Heathcote07/2939")</f>
        <v>Heathcote07/2939</v>
      </c>
      <c r="K25" s="6" t="b">
        <v>1</v>
      </c>
      <c r="L25" s="6"/>
      <c r="M25" s="9">
        <f t="shared" si="1"/>
        <v>2</v>
      </c>
    </row>
    <row r="26">
      <c r="A26" s="3" t="s">
        <v>84</v>
      </c>
      <c r="B26" s="3">
        <v>4.0</v>
      </c>
      <c r="C26" s="3">
        <v>15.0</v>
      </c>
      <c r="D26" s="4">
        <v>51.5853831327463</v>
      </c>
      <c r="E26" s="4">
        <v>-0.2178539952489</v>
      </c>
      <c r="F26" s="3" t="s">
        <v>81</v>
      </c>
      <c r="G26" s="3" t="s">
        <v>82</v>
      </c>
      <c r="H26" s="6" t="s">
        <v>72</v>
      </c>
      <c r="I26" s="6">
        <v>695.0</v>
      </c>
      <c r="J26" s="7" t="str">
        <f>IFERROR(__xludf.DUMMYFUNCTION("IF(AND(REGEXMATCH($H26,""50( ?['fF]([oO]{2})?[tT]?)?( ?[eE][rR]{2}[oO][rR])"")=FALSE,$H26&lt;&gt;"""",$I26&lt;&gt;""""),HYPERLINK(""https://www.munzee.com/m/""&amp;$H26&amp;""/""&amp;$I26&amp;""/map/?lat=""&amp;$D26&amp;""&amp;lon=""&amp;$E26&amp;""&amp;type=""&amp;$F26&amp;""&amp;name=""&amp;SUBSTITUTE($A26,""#"",""%23"""&amp;"),$H26&amp;""/""&amp;$I26),IF($H26&lt;&gt;"""",IF(REGEXMATCH($H26,""50( ?['fF]([oO]{2})?[tT]?)?( ?[eE][rR]{2}[oO][rR])""),HYPERLINK(""https://www.munzee.com/map/?sandbox=1&amp;lat=""&amp;$D26&amp;""&amp;lon=""&amp;$E26&amp;""&amp;name=""&amp;SUBSTITUTE($A26,""#"",""%23""),""SANDBOX""),HYPERLINK(""htt"&amp;"ps://www.munzee.com/m/""&amp;$H26&amp;""/deploys/0/type/""&amp;IFNA(VLOOKUP($F26,IMPORTRANGE(""https://docs.google.com/spreadsheets/d/1DliIGyDywdzxhd4svtjaewR0p9Y5UBTMNMQ2PcXsqss"",""type data!E2:F""),2,FALSE),$F26)&amp;""/"",$H26)),""""))"),"MaryJaneKitty/695")</f>
        <v>MaryJaneKitty/695</v>
      </c>
      <c r="K26" s="6" t="b">
        <v>1</v>
      </c>
      <c r="L26" s="9"/>
      <c r="M26" s="9">
        <f t="shared" si="1"/>
        <v>3</v>
      </c>
    </row>
    <row r="27">
      <c r="A27" s="3" t="s">
        <v>85</v>
      </c>
      <c r="B27" s="3">
        <v>4.0</v>
      </c>
      <c r="C27" s="3">
        <v>16.0</v>
      </c>
      <c r="D27" s="4">
        <v>51.585383132519</v>
      </c>
      <c r="E27" s="4">
        <v>-0.2176226747696</v>
      </c>
      <c r="F27" s="3" t="s">
        <v>81</v>
      </c>
      <c r="G27" s="3" t="s">
        <v>82</v>
      </c>
      <c r="H27" s="6" t="s">
        <v>86</v>
      </c>
      <c r="I27" s="6">
        <v>1793.0</v>
      </c>
      <c r="J27" s="7" t="str">
        <f>IFERROR(__xludf.DUMMYFUNCTION("IF(AND(REGEXMATCH($H27,""50( ?['fF]([oO]{2})?[tT]?)?( ?[eE][rR]{2}[oO][rR])"")=FALSE,$H27&lt;&gt;"""",$I27&lt;&gt;""""),HYPERLINK(""https://www.munzee.com/m/""&amp;$H27&amp;""/""&amp;$I27&amp;""/map/?lat=""&amp;$D27&amp;""&amp;lon=""&amp;$E27&amp;""&amp;type=""&amp;$F27&amp;""&amp;name=""&amp;SUBSTITUTE($A27,""#"",""%23"""&amp;"),$H27&amp;""/""&amp;$I27),IF($H27&lt;&gt;"""",IF(REGEXMATCH($H27,""50( ?['fF]([oO]{2})?[tT]?)?( ?[eE][rR]{2}[oO][rR])""),HYPERLINK(""https://www.munzee.com/map/?sandbox=1&amp;lat=""&amp;$D27&amp;""&amp;lon=""&amp;$E27&amp;""&amp;name=""&amp;SUBSTITUTE($A27,""#"",""%23""),""SANDBOX""),HYPERLINK(""htt"&amp;"ps://www.munzee.com/m/""&amp;$H27&amp;""/deploys/0/type/""&amp;IFNA(VLOOKUP($F27,IMPORTRANGE(""https://docs.google.com/spreadsheets/d/1DliIGyDywdzxhd4svtjaewR0p9Y5UBTMNMQ2PcXsqss"",""type data!E2:F""),2,FALSE),$F27)&amp;""/"",$H27)),""""))"),"Bambi5/1793")</f>
        <v>Bambi5/1793</v>
      </c>
      <c r="K27" s="6" t="b">
        <v>1</v>
      </c>
      <c r="L27" s="6"/>
      <c r="M27" s="9">
        <f t="shared" si="1"/>
        <v>1</v>
      </c>
    </row>
    <row r="28">
      <c r="A28" s="3" t="s">
        <v>87</v>
      </c>
      <c r="B28" s="3">
        <v>5.0</v>
      </c>
      <c r="C28" s="3">
        <v>5.0</v>
      </c>
      <c r="D28" s="4">
        <v>51.5852394045743</v>
      </c>
      <c r="E28" s="4">
        <v>-0.2201672176037</v>
      </c>
      <c r="F28" s="3" t="s">
        <v>39</v>
      </c>
      <c r="G28" s="3" t="s">
        <v>40</v>
      </c>
      <c r="H28" s="6" t="s">
        <v>88</v>
      </c>
      <c r="I28" s="11"/>
      <c r="J28" s="7" t="str">
        <f>IFERROR(__xludf.DUMMYFUNCTION("IF(AND(REGEXMATCH($H28,""50( ?['fF]([oO]{2})?[tT]?)?( ?[eE][rR]{2}[oO][rR])"")=FALSE,$H28&lt;&gt;"""",$I28&lt;&gt;""""),HYPERLINK(""https://www.munzee.com/m/""&amp;$H28&amp;""/""&amp;$I28&amp;""/map/?lat=""&amp;$D28&amp;""&amp;lon=""&amp;$E28&amp;""&amp;type=""&amp;$F28&amp;""&amp;name=""&amp;SUBSTITUTE($A28,""#"",""%23"""&amp;"),$H28&amp;""/""&amp;$I28),IF($H28&lt;&gt;"""",IF(REGEXMATCH($H28,""50( ?['fF]([oO]{2})?[tT]?)?( ?[eE][rR]{2}[oO][rR])""),HYPERLINK(""https://www.munzee.com/map/?sandbox=1&amp;lat=""&amp;$D28&amp;""&amp;lon=""&amp;$E28&amp;""&amp;name=""&amp;SUBSTITUTE($A28,""#"",""%23""),""SANDBOX""),HYPERLINK(""htt"&amp;"ps://www.munzee.com/m/""&amp;$H28&amp;""/deploys/0/type/""&amp;IFNA(VLOOKUP($F28,IMPORTRANGE(""https://docs.google.com/spreadsheets/d/1DliIGyDywdzxhd4svtjaewR0p9Y5UBTMNMQ2PcXsqss"",""type data!E2:F""),2,FALSE),$F28)&amp;""/"",$H28)),""""))"),"SANDBOX")</f>
        <v>SANDBOX</v>
      </c>
      <c r="K28" s="6"/>
      <c r="L28" s="6" t="s">
        <v>89</v>
      </c>
      <c r="M28" s="9">
        <f t="shared" si="1"/>
        <v>0</v>
      </c>
    </row>
    <row r="29">
      <c r="A29" s="3" t="s">
        <v>90</v>
      </c>
      <c r="B29" s="3">
        <v>5.0</v>
      </c>
      <c r="C29" s="3">
        <v>6.0</v>
      </c>
      <c r="D29" s="4">
        <v>51.5852394043469</v>
      </c>
      <c r="E29" s="4">
        <v>-0.2199358978562</v>
      </c>
      <c r="F29" s="3" t="s">
        <v>91</v>
      </c>
      <c r="G29" s="3" t="s">
        <v>92</v>
      </c>
      <c r="H29" s="6" t="s">
        <v>93</v>
      </c>
      <c r="I29" s="6">
        <v>3371.0</v>
      </c>
      <c r="J29" s="7" t="str">
        <f>IFERROR(__xludf.DUMMYFUNCTION("IF(AND(REGEXMATCH($H29,""50( ?['fF]([oO]{2})?[tT]?)?( ?[eE][rR]{2}[oO][rR])"")=FALSE,$H29&lt;&gt;"""",$I29&lt;&gt;""""),HYPERLINK(""https://www.munzee.com/m/""&amp;$H29&amp;""/""&amp;$I29&amp;""/map/?lat=""&amp;$D29&amp;""&amp;lon=""&amp;$E29&amp;""&amp;type=""&amp;$F29&amp;""&amp;name=""&amp;SUBSTITUTE($A29,""#"",""%23"""&amp;"),$H29&amp;""/""&amp;$I29),IF($H29&lt;&gt;"""",IF(REGEXMATCH($H29,""50( ?['fF]([oO]{2})?[tT]?)?( ?[eE][rR]{2}[oO][rR])""),HYPERLINK(""https://www.munzee.com/map/?sandbox=1&amp;lat=""&amp;$D29&amp;""&amp;lon=""&amp;$E29&amp;""&amp;name=""&amp;SUBSTITUTE($A29,""#"",""%23""),""SANDBOX""),HYPERLINK(""htt"&amp;"ps://www.munzee.com/m/""&amp;$H29&amp;""/deploys/0/type/""&amp;IFNA(VLOOKUP($F29,IMPORTRANGE(""https://docs.google.com/spreadsheets/d/1DliIGyDywdzxhd4svtjaewR0p9Y5UBTMNMQ2PcXsqss"",""type data!E2:F""),2,FALSE),$F29)&amp;""/"",$H29)),""""))"),"wally62/3371")</f>
        <v>wally62/3371</v>
      </c>
      <c r="K29" s="6" t="b">
        <v>1</v>
      </c>
      <c r="L29" s="9"/>
      <c r="M29" s="9">
        <f t="shared" si="1"/>
        <v>1</v>
      </c>
    </row>
    <row r="30">
      <c r="A30" s="3" t="s">
        <v>94</v>
      </c>
      <c r="B30" s="3">
        <v>5.0</v>
      </c>
      <c r="C30" s="3">
        <v>7.0</v>
      </c>
      <c r="D30" s="4">
        <v>51.5852394041196</v>
      </c>
      <c r="E30" s="4">
        <v>-0.2197045781087</v>
      </c>
      <c r="F30" s="3" t="s">
        <v>70</v>
      </c>
      <c r="G30" s="3" t="s">
        <v>71</v>
      </c>
      <c r="H30" s="6" t="s">
        <v>95</v>
      </c>
      <c r="I30" s="6">
        <v>1532.0</v>
      </c>
      <c r="J30" s="7" t="str">
        <f>IFERROR(__xludf.DUMMYFUNCTION("IF(AND(REGEXMATCH($H30,""50( ?['fF]([oO]{2})?[tT]?)?( ?[eE][rR]{2}[oO][rR])"")=FALSE,$H30&lt;&gt;"""",$I30&lt;&gt;""""),HYPERLINK(""https://www.munzee.com/m/""&amp;$H30&amp;""/""&amp;$I30&amp;""/map/?lat=""&amp;$D30&amp;""&amp;lon=""&amp;$E30&amp;""&amp;type=""&amp;$F30&amp;""&amp;name=""&amp;SUBSTITUTE($A30,""#"",""%23"""&amp;"),$H30&amp;""/""&amp;$I30),IF($H30&lt;&gt;"""",IF(REGEXMATCH($H30,""50( ?['fF]([oO]{2})?[tT]?)?( ?[eE][rR]{2}[oO][rR])""),HYPERLINK(""https://www.munzee.com/map/?sandbox=1&amp;lat=""&amp;$D30&amp;""&amp;lon=""&amp;$E30&amp;""&amp;name=""&amp;SUBSTITUTE($A30,""#"",""%23""),""SANDBOX""),HYPERLINK(""htt"&amp;"ps://www.munzee.com/m/""&amp;$H30&amp;""/deploys/0/type/""&amp;IFNA(VLOOKUP($F30,IMPORTRANGE(""https://docs.google.com/spreadsheets/d/1DliIGyDywdzxhd4svtjaewR0p9Y5UBTMNMQ2PcXsqss"",""type data!E2:F""),2,FALSE),$F30)&amp;""/"",$H30)),""""))"),"munzeefarmor/1532")</f>
        <v>munzeefarmor/1532</v>
      </c>
      <c r="K30" s="6" t="b">
        <v>1</v>
      </c>
      <c r="L30" s="6"/>
      <c r="M30" s="9">
        <f t="shared" si="1"/>
        <v>1</v>
      </c>
    </row>
    <row r="31">
      <c r="A31" s="3" t="s">
        <v>96</v>
      </c>
      <c r="B31" s="3">
        <v>5.0</v>
      </c>
      <c r="C31" s="3">
        <v>8.0</v>
      </c>
      <c r="D31" s="4">
        <v>51.5852394038923</v>
      </c>
      <c r="E31" s="4">
        <v>-0.2194732583612</v>
      </c>
      <c r="F31" s="3" t="s">
        <v>97</v>
      </c>
      <c r="G31" s="3" t="s">
        <v>98</v>
      </c>
      <c r="H31" s="6" t="s">
        <v>99</v>
      </c>
      <c r="I31" s="6">
        <v>6050.0</v>
      </c>
      <c r="J31" s="7" t="str">
        <f>IFERROR(__xludf.DUMMYFUNCTION("IF(AND(REGEXMATCH($H31,""50( ?['fF]([oO]{2})?[tT]?)?( ?[eE][rR]{2}[oO][rR])"")=FALSE,$H31&lt;&gt;"""",$I31&lt;&gt;""""),HYPERLINK(""https://www.munzee.com/m/""&amp;$H31&amp;""/""&amp;$I31&amp;""/map/?lat=""&amp;$D31&amp;""&amp;lon=""&amp;$E31&amp;""&amp;type=""&amp;$F31&amp;""&amp;name=""&amp;SUBSTITUTE($A31,""#"",""%23"""&amp;"),$H31&amp;""/""&amp;$I31),IF($H31&lt;&gt;"""",IF(REGEXMATCH($H31,""50( ?['fF]([oO]{2})?[tT]?)?( ?[eE][rR]{2}[oO][rR])""),HYPERLINK(""https://www.munzee.com/map/?sandbox=1&amp;lat=""&amp;$D31&amp;""&amp;lon=""&amp;$E31&amp;""&amp;name=""&amp;SUBSTITUTE($A31,""#"",""%23""),""SANDBOX""),HYPERLINK(""htt"&amp;"ps://www.munzee.com/m/""&amp;$H31&amp;""/deploys/0/type/""&amp;IFNA(VLOOKUP($F31,IMPORTRANGE(""https://docs.google.com/spreadsheets/d/1DliIGyDywdzxhd4svtjaewR0p9Y5UBTMNMQ2PcXsqss"",""type data!E2:F""),2,FALSE),$F31)&amp;""/"",$H31)),""""))"),"Amadoreugen/6050")</f>
        <v>Amadoreugen/6050</v>
      </c>
      <c r="K31" s="6" t="b">
        <v>1</v>
      </c>
      <c r="L31" s="9"/>
      <c r="M31" s="9">
        <f t="shared" si="1"/>
        <v>7</v>
      </c>
    </row>
    <row r="32">
      <c r="A32" s="3" t="s">
        <v>100</v>
      </c>
      <c r="B32" s="3">
        <v>5.0</v>
      </c>
      <c r="C32" s="3">
        <v>9.0</v>
      </c>
      <c r="D32" s="4">
        <v>51.5852394036649</v>
      </c>
      <c r="E32" s="4">
        <v>-0.2192419386137</v>
      </c>
      <c r="F32" s="3" t="s">
        <v>29</v>
      </c>
      <c r="G32" s="3" t="s">
        <v>30</v>
      </c>
      <c r="H32" s="6" t="s">
        <v>101</v>
      </c>
      <c r="I32" s="6">
        <v>18336.0</v>
      </c>
      <c r="J32" s="7" t="str">
        <f>IFERROR(__xludf.DUMMYFUNCTION("IF(AND(REGEXMATCH($H32,""50( ?['fF]([oO]{2})?[tT]?)?( ?[eE][rR]{2}[oO][rR])"")=FALSE,$H32&lt;&gt;"""",$I32&lt;&gt;""""),HYPERLINK(""https://www.munzee.com/m/""&amp;$H32&amp;""/""&amp;$I32&amp;""/map/?lat=""&amp;$D32&amp;""&amp;lon=""&amp;$E32&amp;""&amp;type=""&amp;$F32&amp;""&amp;name=""&amp;SUBSTITUTE($A32,""#"",""%23"""&amp;"),$H32&amp;""/""&amp;$I32),IF($H32&lt;&gt;"""",IF(REGEXMATCH($H32,""50( ?['fF]([oO]{2})?[tT]?)?( ?[eE][rR]{2}[oO][rR])""),HYPERLINK(""https://www.munzee.com/map/?sandbox=1&amp;lat=""&amp;$D32&amp;""&amp;lon=""&amp;$E32&amp;""&amp;name=""&amp;SUBSTITUTE($A32,""#"",""%23""),""SANDBOX""),HYPERLINK(""htt"&amp;"ps://www.munzee.com/m/""&amp;$H32&amp;""/deploys/0/type/""&amp;IFNA(VLOOKUP($F32,IMPORTRANGE(""https://docs.google.com/spreadsheets/d/1DliIGyDywdzxhd4svtjaewR0p9Y5UBTMNMQ2PcXsqss"",""type data!E2:F""),2,FALSE),$F32)&amp;""/"",$H32)),""""))"),"jacksparrow/18336")</f>
        <v>jacksparrow/18336</v>
      </c>
      <c r="K32" s="6" t="b">
        <v>1</v>
      </c>
      <c r="L32" s="9"/>
      <c r="M32" s="9">
        <f t="shared" si="1"/>
        <v>1</v>
      </c>
    </row>
    <row r="33">
      <c r="A33" s="3" t="s">
        <v>102</v>
      </c>
      <c r="B33" s="3">
        <v>5.0</v>
      </c>
      <c r="C33" s="3">
        <v>10.0</v>
      </c>
      <c r="D33" s="4">
        <v>51.5852394034376</v>
      </c>
      <c r="E33" s="4">
        <v>-0.2190106188662</v>
      </c>
      <c r="F33" s="3" t="s">
        <v>29</v>
      </c>
      <c r="G33" s="3" t="s">
        <v>30</v>
      </c>
      <c r="H33" s="6" t="s">
        <v>31</v>
      </c>
      <c r="I33" s="6">
        <v>9978.0</v>
      </c>
      <c r="J33" s="7" t="str">
        <f>IFERROR(__xludf.DUMMYFUNCTION("IF(AND(REGEXMATCH($H33,""50( ?['fF]([oO]{2})?[tT]?)?( ?[eE][rR]{2}[oO][rR])"")=FALSE,$H33&lt;&gt;"""",$I33&lt;&gt;""""),HYPERLINK(""https://www.munzee.com/m/""&amp;$H33&amp;""/""&amp;$I33&amp;""/map/?lat=""&amp;$D33&amp;""&amp;lon=""&amp;$E33&amp;""&amp;type=""&amp;$F33&amp;""&amp;name=""&amp;SUBSTITUTE($A33,""#"",""%23"""&amp;"),$H33&amp;""/""&amp;$I33),IF($H33&lt;&gt;"""",IF(REGEXMATCH($H33,""50( ?['fF]([oO]{2})?[tT]?)?( ?[eE][rR]{2}[oO][rR])""),HYPERLINK(""https://www.munzee.com/map/?sandbox=1&amp;lat=""&amp;$D33&amp;""&amp;lon=""&amp;$E33&amp;""&amp;name=""&amp;SUBSTITUTE($A33,""#"",""%23""),""SANDBOX""),HYPERLINK(""htt"&amp;"ps://www.munzee.com/m/""&amp;$H33&amp;""/deploys/0/type/""&amp;IFNA(VLOOKUP($F33,IMPORTRANGE(""https://docs.google.com/spreadsheets/d/1DliIGyDywdzxhd4svtjaewR0p9Y5UBTMNMQ2PcXsqss"",""type data!E2:F""),2,FALSE),$F33)&amp;""/"",$H33)),""""))"),"munzeeprof/9978")</f>
        <v>munzeeprof/9978</v>
      </c>
      <c r="K33" s="6" t="b">
        <v>1</v>
      </c>
      <c r="L33" s="6"/>
      <c r="M33" s="9">
        <f t="shared" si="1"/>
        <v>3</v>
      </c>
    </row>
    <row r="34">
      <c r="A34" s="3" t="s">
        <v>103</v>
      </c>
      <c r="B34" s="3">
        <v>5.0</v>
      </c>
      <c r="C34" s="3">
        <v>11.0</v>
      </c>
      <c r="D34" s="4">
        <v>51.5852394032102</v>
      </c>
      <c r="E34" s="4">
        <v>-0.2187792991186</v>
      </c>
      <c r="F34" s="3" t="s">
        <v>29</v>
      </c>
      <c r="G34" s="3" t="s">
        <v>30</v>
      </c>
      <c r="H34" s="6" t="s">
        <v>104</v>
      </c>
      <c r="I34" s="6">
        <v>4163.0</v>
      </c>
      <c r="J34" s="7" t="str">
        <f>IFERROR(__xludf.DUMMYFUNCTION("IF(AND(REGEXMATCH($H34,""50( ?['fF]([oO]{2})?[tT]?)?( ?[eE][rR]{2}[oO][rR])"")=FALSE,$H34&lt;&gt;"""",$I34&lt;&gt;""""),HYPERLINK(""https://www.munzee.com/m/""&amp;$H34&amp;""/""&amp;$I34&amp;""/map/?lat=""&amp;$D34&amp;""&amp;lon=""&amp;$E34&amp;""&amp;type=""&amp;$F34&amp;""&amp;name=""&amp;SUBSTITUTE($A34,""#"",""%23"""&amp;"),$H34&amp;""/""&amp;$I34),IF($H34&lt;&gt;"""",IF(REGEXMATCH($H34,""50( ?['fF]([oO]{2})?[tT]?)?( ?[eE][rR]{2}[oO][rR])""),HYPERLINK(""https://www.munzee.com/map/?sandbox=1&amp;lat=""&amp;$D34&amp;""&amp;lon=""&amp;$E34&amp;""&amp;name=""&amp;SUBSTITUTE($A34,""#"",""%23""),""SANDBOX""),HYPERLINK(""htt"&amp;"ps://www.munzee.com/m/""&amp;$H34&amp;""/deploys/0/type/""&amp;IFNA(VLOOKUP($F34,IMPORTRANGE(""https://docs.google.com/spreadsheets/d/1DliIGyDywdzxhd4svtjaewR0p9Y5UBTMNMQ2PcXsqss"",""type data!E2:F""),2,FALSE),$F34)&amp;""/"",$H34)),""""))"),"lanyasummer/4163")</f>
        <v>lanyasummer/4163</v>
      </c>
      <c r="K34" s="6" t="b">
        <v>1</v>
      </c>
      <c r="L34" s="9"/>
      <c r="M34" s="9">
        <f t="shared" si="1"/>
        <v>2</v>
      </c>
    </row>
    <row r="35">
      <c r="A35" s="3" t="s">
        <v>105</v>
      </c>
      <c r="B35" s="3">
        <v>5.0</v>
      </c>
      <c r="C35" s="3">
        <v>12.0</v>
      </c>
      <c r="D35" s="4">
        <v>51.5852394029829</v>
      </c>
      <c r="E35" s="4">
        <v>-0.2185479793711</v>
      </c>
      <c r="F35" s="3" t="s">
        <v>29</v>
      </c>
      <c r="G35" s="3" t="s">
        <v>30</v>
      </c>
      <c r="H35" s="6" t="s">
        <v>106</v>
      </c>
      <c r="I35" s="6">
        <v>2870.0</v>
      </c>
      <c r="J35" s="7" t="str">
        <f>IFERROR(__xludf.DUMMYFUNCTION("IF(AND(REGEXMATCH($H35,""50( ?['fF]([oO]{2})?[tT]?)?( ?[eE][rR]{2}[oO][rR])"")=FALSE,$H35&lt;&gt;"""",$I35&lt;&gt;""""),HYPERLINK(""https://www.munzee.com/m/""&amp;$H35&amp;""/""&amp;$I35&amp;""/map/?lat=""&amp;$D35&amp;""&amp;lon=""&amp;$E35&amp;""&amp;type=""&amp;$F35&amp;""&amp;name=""&amp;SUBSTITUTE($A35,""#"",""%23"""&amp;"),$H35&amp;""/""&amp;$I35),IF($H35&lt;&gt;"""",IF(REGEXMATCH($H35,""50( ?['fF]([oO]{2})?[tT]?)?( ?[eE][rR]{2}[oO][rR])""),HYPERLINK(""https://www.munzee.com/map/?sandbox=1&amp;lat=""&amp;$D35&amp;""&amp;lon=""&amp;$E35&amp;""&amp;name=""&amp;SUBSTITUTE($A35,""#"",""%23""),""SANDBOX""),HYPERLINK(""htt"&amp;"ps://www.munzee.com/m/""&amp;$H35&amp;""/deploys/0/type/""&amp;IFNA(VLOOKUP($F35,IMPORTRANGE(""https://docs.google.com/spreadsheets/d/1DliIGyDywdzxhd4svtjaewR0p9Y5UBTMNMQ2PcXsqss"",""type data!E2:F""),2,FALSE),$F35)&amp;""/"",$H35)),""""))"),"babyw/2870")</f>
        <v>babyw/2870</v>
      </c>
      <c r="K35" s="6" t="b">
        <v>1</v>
      </c>
      <c r="L35" s="9"/>
      <c r="M35" s="9">
        <f t="shared" si="1"/>
        <v>3</v>
      </c>
    </row>
    <row r="36">
      <c r="A36" s="3" t="s">
        <v>107</v>
      </c>
      <c r="B36" s="3">
        <v>5.0</v>
      </c>
      <c r="C36" s="3">
        <v>13.0</v>
      </c>
      <c r="D36" s="4">
        <v>51.5852394027556</v>
      </c>
      <c r="E36" s="4">
        <v>-0.2183166596236</v>
      </c>
      <c r="F36" s="3" t="s">
        <v>29</v>
      </c>
      <c r="G36" s="3" t="s">
        <v>30</v>
      </c>
      <c r="H36" s="14" t="s">
        <v>108</v>
      </c>
      <c r="I36" s="6">
        <v>1801.0</v>
      </c>
      <c r="J36" s="7" t="str">
        <f>IFERROR(__xludf.DUMMYFUNCTION("IF(AND(REGEXMATCH($H36,""50( ?['fF]([oO]{2})?[tT]?)?( ?[eE][rR]{2}[oO][rR])"")=FALSE,$H36&lt;&gt;"""",$I36&lt;&gt;""""),HYPERLINK(""https://www.munzee.com/m/""&amp;$H36&amp;""/""&amp;$I36&amp;""/map/?lat=""&amp;$D36&amp;""&amp;lon=""&amp;$E36&amp;""&amp;type=""&amp;$F36&amp;""&amp;name=""&amp;SUBSTITUTE($A36,""#"",""%23"""&amp;"),$H36&amp;""/""&amp;$I36),IF($H36&lt;&gt;"""",IF(REGEXMATCH($H36,""50( ?['fF]([oO]{2})?[tT]?)?( ?[eE][rR]{2}[oO][rR])""),HYPERLINK(""https://www.munzee.com/map/?sandbox=1&amp;lat=""&amp;$D36&amp;""&amp;lon=""&amp;$E36&amp;""&amp;name=""&amp;SUBSTITUTE($A36,""#"",""%23""),""SANDBOX""),HYPERLINK(""htt"&amp;"ps://www.munzee.com/m/""&amp;$H36&amp;""/deploys/0/type/""&amp;IFNA(VLOOKUP($F36,IMPORTRANGE(""https://docs.google.com/spreadsheets/d/1DliIGyDywdzxhd4svtjaewR0p9Y5UBTMNMQ2PcXsqss"",""type data!E2:F""),2,FALSE),$F36)&amp;""/"",$H36)),""""))"),"teamsturms/1801")</f>
        <v>teamsturms/1801</v>
      </c>
      <c r="K36" s="6" t="b">
        <v>1</v>
      </c>
      <c r="L36" s="6"/>
      <c r="M36" s="9">
        <f t="shared" si="1"/>
        <v>2</v>
      </c>
    </row>
    <row r="37">
      <c r="A37" s="3" t="s">
        <v>109</v>
      </c>
      <c r="B37" s="3">
        <v>5.0</v>
      </c>
      <c r="C37" s="3">
        <v>14.0</v>
      </c>
      <c r="D37" s="4">
        <v>51.5852394025282</v>
      </c>
      <c r="E37" s="4">
        <v>-0.2180853398761</v>
      </c>
      <c r="F37" s="3" t="s">
        <v>97</v>
      </c>
      <c r="G37" s="3" t="s">
        <v>98</v>
      </c>
      <c r="H37" s="6" t="s">
        <v>99</v>
      </c>
      <c r="I37" s="6">
        <v>5437.0</v>
      </c>
      <c r="J37" s="7" t="str">
        <f>IFERROR(__xludf.DUMMYFUNCTION("IF(AND(REGEXMATCH($H37,""50( ?['fF]([oO]{2})?[tT]?)?( ?[eE][rR]{2}[oO][rR])"")=FALSE,$H37&lt;&gt;"""",$I37&lt;&gt;""""),HYPERLINK(""https://www.munzee.com/m/""&amp;$H37&amp;""/""&amp;$I37&amp;""/map/?lat=""&amp;$D37&amp;""&amp;lon=""&amp;$E37&amp;""&amp;type=""&amp;$F37&amp;""&amp;name=""&amp;SUBSTITUTE($A37,""#"",""%23"""&amp;"),$H37&amp;""/""&amp;$I37),IF($H37&lt;&gt;"""",IF(REGEXMATCH($H37,""50( ?['fF]([oO]{2})?[tT]?)?( ?[eE][rR]{2}[oO][rR])""),HYPERLINK(""https://www.munzee.com/map/?sandbox=1&amp;lat=""&amp;$D37&amp;""&amp;lon=""&amp;$E37&amp;""&amp;name=""&amp;SUBSTITUTE($A37,""#"",""%23""),""SANDBOX""),HYPERLINK(""htt"&amp;"ps://www.munzee.com/m/""&amp;$H37&amp;""/deploys/0/type/""&amp;IFNA(VLOOKUP($F37,IMPORTRANGE(""https://docs.google.com/spreadsheets/d/1DliIGyDywdzxhd4svtjaewR0p9Y5UBTMNMQ2PcXsqss"",""type data!E2:F""),2,FALSE),$F37)&amp;""/"",$H37)),""""))"),"Amadoreugen/5437")</f>
        <v>Amadoreugen/5437</v>
      </c>
      <c r="K37" s="6" t="b">
        <v>1</v>
      </c>
      <c r="L37" s="9"/>
      <c r="M37" s="9">
        <f t="shared" si="1"/>
        <v>7</v>
      </c>
    </row>
    <row r="38">
      <c r="A38" s="3" t="s">
        <v>110</v>
      </c>
      <c r="B38" s="3">
        <v>5.0</v>
      </c>
      <c r="C38" s="3">
        <v>15.0</v>
      </c>
      <c r="D38" s="4">
        <v>51.5852394023009</v>
      </c>
      <c r="E38" s="4">
        <v>-0.2178540201286</v>
      </c>
      <c r="F38" s="3" t="s">
        <v>70</v>
      </c>
      <c r="G38" s="3" t="s">
        <v>71</v>
      </c>
      <c r="H38" s="6" t="s">
        <v>111</v>
      </c>
      <c r="I38" s="6">
        <v>674.0</v>
      </c>
      <c r="J38" s="7" t="str">
        <f>IFERROR(__xludf.DUMMYFUNCTION("IF(AND(REGEXMATCH($H38,""50( ?['fF]([oO]{2})?[tT]?)?( ?[eE][rR]{2}[oO][rR])"")=FALSE,$H38&lt;&gt;"""",$I38&lt;&gt;""""),HYPERLINK(""https://www.munzee.com/m/""&amp;$H38&amp;""/""&amp;$I38&amp;""/map/?lat=""&amp;$D38&amp;""&amp;lon=""&amp;$E38&amp;""&amp;type=""&amp;$F38&amp;""&amp;name=""&amp;SUBSTITUTE($A38,""#"",""%23"""&amp;"),$H38&amp;""/""&amp;$I38),IF($H38&lt;&gt;"""",IF(REGEXMATCH($H38,""50( ?['fF]([oO]{2})?[tT]?)?( ?[eE][rR]{2}[oO][rR])""),HYPERLINK(""https://www.munzee.com/map/?sandbox=1&amp;lat=""&amp;$D38&amp;""&amp;lon=""&amp;$E38&amp;""&amp;name=""&amp;SUBSTITUTE($A38,""#"",""%23""),""SANDBOX""),HYPERLINK(""htt"&amp;"ps://www.munzee.com/m/""&amp;$H38&amp;""/deploys/0/type/""&amp;IFNA(VLOOKUP($F38,IMPORTRANGE(""https://docs.google.com/spreadsheets/d/1DliIGyDywdzxhd4svtjaewR0p9Y5UBTMNMQ2PcXsqss"",""type data!E2:F""),2,FALSE),$F38)&amp;""/"",$H38)),""""))"),"munzeemor/674")</f>
        <v>munzeemor/674</v>
      </c>
      <c r="K38" s="6" t="b">
        <v>1</v>
      </c>
      <c r="L38" s="9"/>
      <c r="M38" s="9">
        <f t="shared" si="1"/>
        <v>1</v>
      </c>
    </row>
    <row r="39">
      <c r="A39" s="3" t="s">
        <v>112</v>
      </c>
      <c r="B39" s="3">
        <v>5.0</v>
      </c>
      <c r="C39" s="3">
        <v>16.0</v>
      </c>
      <c r="D39" s="4">
        <v>51.5852394020736</v>
      </c>
      <c r="E39" s="4">
        <v>-0.2176227003811</v>
      </c>
      <c r="F39" s="3" t="s">
        <v>91</v>
      </c>
      <c r="G39" s="3" t="s">
        <v>92</v>
      </c>
      <c r="H39" s="6" t="s">
        <v>113</v>
      </c>
      <c r="I39" s="6">
        <v>17549.0</v>
      </c>
      <c r="J39" s="7" t="str">
        <f>IFERROR(__xludf.DUMMYFUNCTION("IF(AND(REGEXMATCH($H39,""50( ?['fF]([oO]{2})?[tT]?)?( ?[eE][rR]{2}[oO][rR])"")=FALSE,$H39&lt;&gt;"""",$I39&lt;&gt;""""),HYPERLINK(""https://www.munzee.com/m/""&amp;$H39&amp;""/""&amp;$I39&amp;""/map/?lat=""&amp;$D39&amp;""&amp;lon=""&amp;$E39&amp;""&amp;type=""&amp;$F39&amp;""&amp;name=""&amp;SUBSTITUTE($A39,""#"",""%23"""&amp;"),$H39&amp;""/""&amp;$I39),IF($H39&lt;&gt;"""",IF(REGEXMATCH($H39,""50( ?['fF]([oO]{2})?[tT]?)?( ?[eE][rR]{2}[oO][rR])""),HYPERLINK(""https://www.munzee.com/map/?sandbox=1&amp;lat=""&amp;$D39&amp;""&amp;lon=""&amp;$E39&amp;""&amp;name=""&amp;SUBSTITUTE($A39,""#"",""%23""),""SANDBOX""),HYPERLINK(""htt"&amp;"ps://www.munzee.com/m/""&amp;$H39&amp;""/deploys/0/type/""&amp;IFNA(VLOOKUP($F39,IMPORTRANGE(""https://docs.google.com/spreadsheets/d/1DliIGyDywdzxhd4svtjaewR0p9Y5UBTMNMQ2PcXsqss"",""type data!E2:F""),2,FALSE),$F39)&amp;""/"",$H39)),""""))"),"kpcrystal07/17549")</f>
        <v>kpcrystal07/17549</v>
      </c>
      <c r="K39" s="6" t="b">
        <v>1</v>
      </c>
      <c r="L39" s="9"/>
      <c r="M39" s="9">
        <f t="shared" si="1"/>
        <v>1</v>
      </c>
    </row>
    <row r="40">
      <c r="A40" s="3" t="s">
        <v>114</v>
      </c>
      <c r="B40" s="3">
        <v>5.0</v>
      </c>
      <c r="C40" s="3">
        <v>17.0</v>
      </c>
      <c r="D40" s="4">
        <v>51.5852394018462</v>
      </c>
      <c r="E40" s="4">
        <v>-0.2173913806336</v>
      </c>
      <c r="F40" s="3" t="s">
        <v>25</v>
      </c>
      <c r="G40" s="3" t="s">
        <v>26</v>
      </c>
      <c r="H40" s="6" t="s">
        <v>37</v>
      </c>
      <c r="I40" s="6">
        <v>33.0</v>
      </c>
      <c r="J40" s="7" t="str">
        <f>IFERROR(__xludf.DUMMYFUNCTION("IF(AND(REGEXMATCH($H40,""50( ?['fF]([oO]{2})?[tT]?)?( ?[eE][rR]{2}[oO][rR])"")=FALSE,$H40&lt;&gt;"""",$I40&lt;&gt;""""),HYPERLINK(""https://www.munzee.com/m/""&amp;$H40&amp;""/""&amp;$I40&amp;""/map/?lat=""&amp;$D40&amp;""&amp;lon=""&amp;$E40&amp;""&amp;type=""&amp;$F40&amp;""&amp;name=""&amp;SUBSTITUTE($A40,""#"",""%23"""&amp;"),$H40&amp;""/""&amp;$I40),IF($H40&lt;&gt;"""",IF(REGEXMATCH($H40,""50( ?['fF]([oO]{2})?[tT]?)?( ?[eE][rR]{2}[oO][rR])""),HYPERLINK(""https://www.munzee.com/map/?sandbox=1&amp;lat=""&amp;$D40&amp;""&amp;lon=""&amp;$E40&amp;""&amp;name=""&amp;SUBSTITUTE($A40,""#"",""%23""),""SANDBOX""),HYPERLINK(""htt"&amp;"ps://www.munzee.com/m/""&amp;$H40&amp;""/deploys/0/type/""&amp;IFNA(VLOOKUP($F40,IMPORTRANGE(""https://docs.google.com/spreadsheets/d/1DliIGyDywdzxhd4svtjaewR0p9Y5UBTMNMQ2PcXsqss"",""type data!E2:F""),2,FALSE),$F40)&amp;""/"",$H40)),""""))"),"Yoshigirl/33")</f>
        <v>Yoshigirl/33</v>
      </c>
      <c r="K40" s="6" t="b">
        <v>1</v>
      </c>
      <c r="L40" s="10"/>
      <c r="M40" s="9">
        <f t="shared" si="1"/>
        <v>2</v>
      </c>
    </row>
    <row r="41">
      <c r="A41" s="3" t="s">
        <v>115</v>
      </c>
      <c r="B41" s="3">
        <v>6.0</v>
      </c>
      <c r="C41" s="3">
        <v>4.0</v>
      </c>
      <c r="D41" s="4">
        <v>51.5850956743561</v>
      </c>
      <c r="E41" s="4">
        <v>-0.2203985541817</v>
      </c>
      <c r="F41" s="3" t="s">
        <v>81</v>
      </c>
      <c r="G41" s="3" t="s">
        <v>82</v>
      </c>
      <c r="H41" s="6" t="s">
        <v>116</v>
      </c>
      <c r="I41" s="6">
        <v>1826.0</v>
      </c>
      <c r="J41" s="7" t="str">
        <f>IFERROR(__xludf.DUMMYFUNCTION("IF(AND(REGEXMATCH($H41,""50( ?['fF]([oO]{2})?[tT]?)?( ?[eE][rR]{2}[oO][rR])"")=FALSE,$H41&lt;&gt;"""",$I41&lt;&gt;""""),HYPERLINK(""https://www.munzee.com/m/""&amp;$H41&amp;""/""&amp;$I41&amp;""/map/?lat=""&amp;$D41&amp;""&amp;lon=""&amp;$E41&amp;""&amp;type=""&amp;$F41&amp;""&amp;name=""&amp;SUBSTITUTE($A41,""#"",""%23"""&amp;"),$H41&amp;""/""&amp;$I41),IF($H41&lt;&gt;"""",IF(REGEXMATCH($H41,""50( ?['fF]([oO]{2})?[tT]?)?( ?[eE][rR]{2}[oO][rR])""),HYPERLINK(""https://www.munzee.com/map/?sandbox=1&amp;lat=""&amp;$D41&amp;""&amp;lon=""&amp;$E41&amp;""&amp;name=""&amp;SUBSTITUTE($A41,""#"",""%23""),""SANDBOX""),HYPERLINK(""htt"&amp;"ps://www.munzee.com/m/""&amp;$H41&amp;""/deploys/0/type/""&amp;IFNA(VLOOKUP($F41,IMPORTRANGE(""https://docs.google.com/spreadsheets/d/1DliIGyDywdzxhd4svtjaewR0p9Y5UBTMNMQ2PcXsqss"",""type data!E2:F""),2,FALSE),$F41)&amp;""/"",$H41)),""""))"),"IggiePiggie/1826")</f>
        <v>IggiePiggie/1826</v>
      </c>
      <c r="K41" s="6" t="b">
        <v>1</v>
      </c>
      <c r="L41" s="6"/>
      <c r="M41" s="9">
        <f t="shared" si="1"/>
        <v>7</v>
      </c>
    </row>
    <row r="42">
      <c r="A42" s="3" t="s">
        <v>117</v>
      </c>
      <c r="B42" s="3">
        <v>6.0</v>
      </c>
      <c r="C42" s="3">
        <v>5.0</v>
      </c>
      <c r="D42" s="4">
        <v>51.5850956741287</v>
      </c>
      <c r="E42" s="4">
        <v>-0.2201672351658</v>
      </c>
      <c r="F42" s="3" t="s">
        <v>91</v>
      </c>
      <c r="G42" s="3" t="s">
        <v>92</v>
      </c>
      <c r="H42" s="6" t="s">
        <v>118</v>
      </c>
      <c r="I42" s="6">
        <v>7266.0</v>
      </c>
      <c r="J42" s="7" t="str">
        <f>IFERROR(__xludf.DUMMYFUNCTION("IF(AND(REGEXMATCH($H42,""50( ?['fF]([oO]{2})?[tT]?)?( ?[eE][rR]{2}[oO][rR])"")=FALSE,$H42&lt;&gt;"""",$I42&lt;&gt;""""),HYPERLINK(""https://www.munzee.com/m/""&amp;$H42&amp;""/""&amp;$I42&amp;""/map/?lat=""&amp;$D42&amp;""&amp;lon=""&amp;$E42&amp;""&amp;type=""&amp;$F42&amp;""&amp;name=""&amp;SUBSTITUTE($A42,""#"",""%23"""&amp;"),$H42&amp;""/""&amp;$I42),IF($H42&lt;&gt;"""",IF(REGEXMATCH($H42,""50( ?['fF]([oO]{2})?[tT]?)?( ?[eE][rR]{2}[oO][rR])""),HYPERLINK(""https://www.munzee.com/map/?sandbox=1&amp;lat=""&amp;$D42&amp;""&amp;lon=""&amp;$E42&amp;""&amp;name=""&amp;SUBSTITUTE($A42,""#"",""%23""),""SANDBOX""),HYPERLINK(""htt"&amp;"ps://www.munzee.com/m/""&amp;$H42&amp;""/deploys/0/type/""&amp;IFNA(VLOOKUP($F42,IMPORTRANGE(""https://docs.google.com/spreadsheets/d/1DliIGyDywdzxhd4svtjaewR0p9Y5UBTMNMQ2PcXsqss"",""type data!E2:F""),2,FALSE),$F42)&amp;""/"",$H42)),""""))"),"monrose/7266")</f>
        <v>monrose/7266</v>
      </c>
      <c r="K42" s="6" t="b">
        <v>1</v>
      </c>
      <c r="L42" s="9"/>
      <c r="M42" s="9">
        <f t="shared" si="1"/>
        <v>3</v>
      </c>
    </row>
    <row r="43">
      <c r="A43" s="3" t="s">
        <v>119</v>
      </c>
      <c r="B43" s="3">
        <v>6.0</v>
      </c>
      <c r="C43" s="3">
        <v>6.0</v>
      </c>
      <c r="D43" s="4">
        <v>51.5850956739014</v>
      </c>
      <c r="E43" s="4">
        <v>-0.21993591615</v>
      </c>
      <c r="F43" s="3" t="s">
        <v>70</v>
      </c>
      <c r="G43" s="3" t="s">
        <v>71</v>
      </c>
      <c r="H43" s="6" t="s">
        <v>120</v>
      </c>
      <c r="I43" s="6">
        <v>663.0</v>
      </c>
      <c r="J43" s="7" t="str">
        <f>IFERROR(__xludf.DUMMYFUNCTION("IF(AND(REGEXMATCH($H43,""50( ?['fF]([oO]{2})?[tT]?)?( ?[eE][rR]{2}[oO][rR])"")=FALSE,$H43&lt;&gt;"""",$I43&lt;&gt;""""),HYPERLINK(""https://www.munzee.com/m/""&amp;$H43&amp;""/""&amp;$I43&amp;""/map/?lat=""&amp;$D43&amp;""&amp;lon=""&amp;$E43&amp;""&amp;type=""&amp;$F43&amp;""&amp;name=""&amp;SUBSTITUTE($A43,""#"",""%23"""&amp;"),$H43&amp;""/""&amp;$I43),IF($H43&lt;&gt;"""",IF(REGEXMATCH($H43,""50( ?['fF]([oO]{2})?[tT]?)?( ?[eE][rR]{2}[oO][rR])""),HYPERLINK(""https://www.munzee.com/map/?sandbox=1&amp;lat=""&amp;$D43&amp;""&amp;lon=""&amp;$E43&amp;""&amp;name=""&amp;SUBSTITUTE($A43,""#"",""%23""),""SANDBOX""),HYPERLINK(""htt"&amp;"ps://www.munzee.com/m/""&amp;$H43&amp;""/deploys/0/type/""&amp;IFNA(VLOOKUP($F43,IMPORTRANGE(""https://docs.google.com/spreadsheets/d/1DliIGyDywdzxhd4svtjaewR0p9Y5UBTMNMQ2PcXsqss"",""type data!E2:F""),2,FALSE),$F43)&amp;""/"",$H43)),""""))"),"lonni/663")</f>
        <v>lonni/663</v>
      </c>
      <c r="K43" s="6" t="b">
        <v>1</v>
      </c>
      <c r="L43" s="9"/>
      <c r="M43" s="9">
        <f t="shared" si="1"/>
        <v>2</v>
      </c>
    </row>
    <row r="44">
      <c r="A44" s="3" t="s">
        <v>121</v>
      </c>
      <c r="B44" s="3">
        <v>6.0</v>
      </c>
      <c r="C44" s="3">
        <v>7.0</v>
      </c>
      <c r="D44" s="4">
        <v>51.5850956736741</v>
      </c>
      <c r="E44" s="4">
        <v>-0.2197045971342</v>
      </c>
      <c r="F44" s="3" t="s">
        <v>122</v>
      </c>
      <c r="G44" s="3" t="s">
        <v>123</v>
      </c>
      <c r="H44" s="6" t="s">
        <v>124</v>
      </c>
      <c r="I44" s="11">
        <v>7957.0</v>
      </c>
      <c r="J44" s="7" t="str">
        <f>IFERROR(__xludf.DUMMYFUNCTION("IF(AND(REGEXMATCH($H44,""50( ?['fF]([oO]{2})?[tT]?)?( ?[eE][rR]{2}[oO][rR])"")=FALSE,$H44&lt;&gt;"""",$I44&lt;&gt;""""),HYPERLINK(""https://www.munzee.com/m/""&amp;$H44&amp;""/""&amp;$I44&amp;""/map/?lat=""&amp;$D44&amp;""&amp;lon=""&amp;$E44&amp;""&amp;type=""&amp;$F44&amp;""&amp;name=""&amp;SUBSTITUTE($A44,""#"",""%23"""&amp;"),$H44&amp;""/""&amp;$I44),IF($H44&lt;&gt;"""",IF(REGEXMATCH($H44,""50( ?['fF]([oO]{2})?[tT]?)?( ?[eE][rR]{2}[oO][rR])""),HYPERLINK(""https://www.munzee.com/map/?sandbox=1&amp;lat=""&amp;$D44&amp;""&amp;lon=""&amp;$E44&amp;""&amp;name=""&amp;SUBSTITUTE($A44,""#"",""%23""),""SANDBOX""),HYPERLINK(""htt"&amp;"ps://www.munzee.com/m/""&amp;$H44&amp;""/deploys/0/type/""&amp;IFNA(VLOOKUP($F44,IMPORTRANGE(""https://docs.google.com/spreadsheets/d/1DliIGyDywdzxhd4svtjaewR0p9Y5UBTMNMQ2PcXsqss"",""type data!E2:F""),2,FALSE),$F44)&amp;""/"",$H44)),""""))"),"bazfum/7957")</f>
        <v>bazfum/7957</v>
      </c>
      <c r="K44" s="6" t="b">
        <v>1</v>
      </c>
      <c r="L44" s="10"/>
      <c r="M44" s="9">
        <f t="shared" si="1"/>
        <v>1</v>
      </c>
    </row>
    <row r="45">
      <c r="A45" s="3" t="s">
        <v>125</v>
      </c>
      <c r="B45" s="3">
        <v>6.0</v>
      </c>
      <c r="C45" s="3">
        <v>8.0</v>
      </c>
      <c r="D45" s="4">
        <v>51.5850956734467</v>
      </c>
      <c r="E45" s="4">
        <v>-0.2194732781184</v>
      </c>
      <c r="F45" s="3" t="s">
        <v>126</v>
      </c>
      <c r="G45" s="3" t="s">
        <v>127</v>
      </c>
      <c r="H45" s="6" t="s">
        <v>128</v>
      </c>
      <c r="I45" s="3">
        <v>14979.0</v>
      </c>
      <c r="J45" s="7" t="str">
        <f>IFERROR(__xludf.DUMMYFUNCTION("IF(AND(REGEXMATCH($H45,""50( ?['fF]([oO]{2})?[tT]?)?( ?[eE][rR]{2}[oO][rR])"")=FALSE,$H45&lt;&gt;"""",$I45&lt;&gt;""""),HYPERLINK(""https://www.munzee.com/m/""&amp;$H45&amp;""/""&amp;$I45&amp;""/map/?lat=""&amp;$D45&amp;""&amp;lon=""&amp;$E45&amp;""&amp;type=""&amp;$F45&amp;""&amp;name=""&amp;SUBSTITUTE($A45,""#"",""%23"""&amp;"),$H45&amp;""/""&amp;$I45),IF($H45&lt;&gt;"""",IF(REGEXMATCH($H45,""50( ?['fF]([oO]{2})?[tT]?)?( ?[eE][rR]{2}[oO][rR])""),HYPERLINK(""https://www.munzee.com/map/?sandbox=1&amp;lat=""&amp;$D45&amp;""&amp;lon=""&amp;$E45&amp;""&amp;name=""&amp;SUBSTITUTE($A45,""#"",""%23""),""SANDBOX""),HYPERLINK(""htt"&amp;"ps://www.munzee.com/m/""&amp;$H45&amp;""/deploys/0/type/""&amp;IFNA(VLOOKUP($F45,IMPORTRANGE(""https://docs.google.com/spreadsheets/d/1DliIGyDywdzxhd4svtjaewR0p9Y5UBTMNMQ2PcXsqss"",""type data!E2:F""),2,FALSE),$F45)&amp;""/"",$H45)),""""))"),"Attis/14979")</f>
        <v>Attis/14979</v>
      </c>
      <c r="K45" s="6" t="b">
        <v>1</v>
      </c>
      <c r="L45" s="9"/>
      <c r="M45" s="9">
        <f t="shared" si="1"/>
        <v>1</v>
      </c>
    </row>
    <row r="46">
      <c r="A46" s="3" t="s">
        <v>129</v>
      </c>
      <c r="B46" s="3">
        <v>6.0</v>
      </c>
      <c r="C46" s="3">
        <v>9.0</v>
      </c>
      <c r="D46" s="4">
        <v>51.5850956732194</v>
      </c>
      <c r="E46" s="4">
        <v>-0.2192419591025</v>
      </c>
      <c r="F46" s="3" t="s">
        <v>29</v>
      </c>
      <c r="G46" s="3" t="s">
        <v>30</v>
      </c>
      <c r="H46" s="6" t="s">
        <v>130</v>
      </c>
      <c r="I46" s="6">
        <v>4543.0</v>
      </c>
      <c r="J46" s="7" t="str">
        <f>IFERROR(__xludf.DUMMYFUNCTION("IF(AND(REGEXMATCH($H46,""50( ?['fF]([oO]{2})?[tT]?)?( ?[eE][rR]{2}[oO][rR])"")=FALSE,$H46&lt;&gt;"""",$I46&lt;&gt;""""),HYPERLINK(""https://www.munzee.com/m/""&amp;$H46&amp;""/""&amp;$I46&amp;""/map/?lat=""&amp;$D46&amp;""&amp;lon=""&amp;$E46&amp;""&amp;type=""&amp;$F46&amp;""&amp;name=""&amp;SUBSTITUTE($A46,""#"",""%23"""&amp;"),$H46&amp;""/""&amp;$I46),IF($H46&lt;&gt;"""",IF(REGEXMATCH($H46,""50( ?['fF]([oO]{2})?[tT]?)?( ?[eE][rR]{2}[oO][rR])""),HYPERLINK(""https://www.munzee.com/map/?sandbox=1&amp;lat=""&amp;$D46&amp;""&amp;lon=""&amp;$E46&amp;""&amp;name=""&amp;SUBSTITUTE($A46,""#"",""%23""),""SANDBOX""),HYPERLINK(""htt"&amp;"ps://www.munzee.com/m/""&amp;$H46&amp;""/deploys/0/type/""&amp;IFNA(VLOOKUP($F46,IMPORTRANGE(""https://docs.google.com/spreadsheets/d/1DliIGyDywdzxhd4svtjaewR0p9Y5UBTMNMQ2PcXsqss"",""type data!E2:F""),2,FALSE),$F46)&amp;""/"",$H46)),""""))"),"raunas/4543")</f>
        <v>raunas/4543</v>
      </c>
      <c r="K46" s="6" t="b">
        <v>1</v>
      </c>
      <c r="L46" s="10"/>
      <c r="M46" s="9">
        <f t="shared" si="1"/>
        <v>7</v>
      </c>
    </row>
    <row r="47">
      <c r="A47" s="3" t="s">
        <v>131</v>
      </c>
      <c r="B47" s="3">
        <v>6.0</v>
      </c>
      <c r="C47" s="3">
        <v>10.0</v>
      </c>
      <c r="D47" s="4">
        <v>51.5850956729921</v>
      </c>
      <c r="E47" s="4">
        <v>-0.2190106400867</v>
      </c>
      <c r="F47" s="3" t="s">
        <v>132</v>
      </c>
      <c r="G47" s="3" t="s">
        <v>133</v>
      </c>
      <c r="H47" s="6" t="s">
        <v>134</v>
      </c>
      <c r="I47" s="6">
        <v>4178.0</v>
      </c>
      <c r="J47" s="7" t="str">
        <f>IFERROR(__xludf.DUMMYFUNCTION("IF(AND(REGEXMATCH($H47,""50( ?['fF]([oO]{2})?[tT]?)?( ?[eE][rR]{2}[oO][rR])"")=FALSE,$H47&lt;&gt;"""",$I47&lt;&gt;""""),HYPERLINK(""https://www.munzee.com/m/""&amp;$H47&amp;""/""&amp;$I47&amp;""/map/?lat=""&amp;$D47&amp;""&amp;lon=""&amp;$E47&amp;""&amp;type=""&amp;$F47&amp;""&amp;name=""&amp;SUBSTITUTE($A47,""#"",""%23"""&amp;"),$H47&amp;""/""&amp;$I47),IF($H47&lt;&gt;"""",IF(REGEXMATCH($H47,""50( ?['fF]([oO]{2})?[tT]?)?( ?[eE][rR]{2}[oO][rR])""),HYPERLINK(""https://www.munzee.com/map/?sandbox=1&amp;lat=""&amp;$D47&amp;""&amp;lon=""&amp;$E47&amp;""&amp;name=""&amp;SUBSTITUTE($A47,""#"",""%23""),""SANDBOX""),HYPERLINK(""htt"&amp;"ps://www.munzee.com/m/""&amp;$H47&amp;""/deploys/0/type/""&amp;IFNA(VLOOKUP($F47,IMPORTRANGE(""https://docs.google.com/spreadsheets/d/1DliIGyDywdzxhd4svtjaewR0p9Y5UBTMNMQ2PcXsqss"",""type data!E2:F""),2,FALSE),$F47)&amp;""/"",$H47)),""""))"),"granitente/4178")</f>
        <v>granitente/4178</v>
      </c>
      <c r="K47" s="6" t="b">
        <v>1</v>
      </c>
      <c r="L47" s="9"/>
      <c r="M47" s="9">
        <f t="shared" si="1"/>
        <v>2</v>
      </c>
    </row>
    <row r="48">
      <c r="A48" s="3" t="s">
        <v>135</v>
      </c>
      <c r="B48" s="3">
        <v>6.0</v>
      </c>
      <c r="C48" s="3">
        <v>11.0</v>
      </c>
      <c r="D48" s="4">
        <v>51.5850956727647</v>
      </c>
      <c r="E48" s="4">
        <v>-0.2187793210709</v>
      </c>
      <c r="F48" s="3" t="s">
        <v>132</v>
      </c>
      <c r="G48" s="3" t="s">
        <v>133</v>
      </c>
      <c r="H48" s="6" t="s">
        <v>57</v>
      </c>
      <c r="I48" s="6">
        <v>1785.0</v>
      </c>
      <c r="J48" s="7" t="str">
        <f>IFERROR(__xludf.DUMMYFUNCTION("IF(AND(REGEXMATCH($H48,""50( ?['fF]([oO]{2})?[tT]?)?( ?[eE][rR]{2}[oO][rR])"")=FALSE,$H48&lt;&gt;"""",$I48&lt;&gt;""""),HYPERLINK(""https://www.munzee.com/m/""&amp;$H48&amp;""/""&amp;$I48&amp;""/map/?lat=""&amp;$D48&amp;""&amp;lon=""&amp;$E48&amp;""&amp;type=""&amp;$F48&amp;""&amp;name=""&amp;SUBSTITUTE($A48,""#"",""%23"""&amp;"),$H48&amp;""/""&amp;$I48),IF($H48&lt;&gt;"""",IF(REGEXMATCH($H48,""50( ?['fF]([oO]{2})?[tT]?)?( ?[eE][rR]{2}[oO][rR])""),HYPERLINK(""https://www.munzee.com/map/?sandbox=1&amp;lat=""&amp;$D48&amp;""&amp;lon=""&amp;$E48&amp;""&amp;name=""&amp;SUBSTITUTE($A48,""#"",""%23""),""SANDBOX""),HYPERLINK(""htt"&amp;"ps://www.munzee.com/m/""&amp;$H48&amp;""/deploys/0/type/""&amp;IFNA(VLOOKUP($F48,IMPORTRANGE(""https://docs.google.com/spreadsheets/d/1DliIGyDywdzxhd4svtjaewR0p9Y5UBTMNMQ2PcXsqss"",""type data!E2:F""),2,FALSE),$F48)&amp;""/"",$H48)),""""))"),"technical13/1785")</f>
        <v>technical13/1785</v>
      </c>
      <c r="K48" s="6" t="b">
        <v>1</v>
      </c>
      <c r="L48" s="15"/>
      <c r="M48" s="9">
        <f t="shared" si="1"/>
        <v>5</v>
      </c>
    </row>
    <row r="49">
      <c r="A49" s="3" t="s">
        <v>136</v>
      </c>
      <c r="B49" s="3">
        <v>6.0</v>
      </c>
      <c r="C49" s="3">
        <v>12.0</v>
      </c>
      <c r="D49" s="4">
        <v>51.5850956725374</v>
      </c>
      <c r="E49" s="4">
        <v>-0.2185480020551</v>
      </c>
      <c r="F49" s="3" t="s">
        <v>132</v>
      </c>
      <c r="G49" s="3" t="s">
        <v>133</v>
      </c>
      <c r="H49" s="6" t="s">
        <v>130</v>
      </c>
      <c r="I49" s="6">
        <v>4516.0</v>
      </c>
      <c r="J49" s="7" t="str">
        <f>IFERROR(__xludf.DUMMYFUNCTION("IF(AND(REGEXMATCH($H49,""50( ?['fF]([oO]{2})?[tT]?)?( ?[eE][rR]{2}[oO][rR])"")=FALSE,$H49&lt;&gt;"""",$I49&lt;&gt;""""),HYPERLINK(""https://www.munzee.com/m/""&amp;$H49&amp;""/""&amp;$I49&amp;""/map/?lat=""&amp;$D49&amp;""&amp;lon=""&amp;$E49&amp;""&amp;type=""&amp;$F49&amp;""&amp;name=""&amp;SUBSTITUTE($A49,""#"",""%23"""&amp;"),$H49&amp;""/""&amp;$I49),IF($H49&lt;&gt;"""",IF(REGEXMATCH($H49,""50( ?['fF]([oO]{2})?[tT]?)?( ?[eE][rR]{2}[oO][rR])""),HYPERLINK(""https://www.munzee.com/map/?sandbox=1&amp;lat=""&amp;$D49&amp;""&amp;lon=""&amp;$E49&amp;""&amp;name=""&amp;SUBSTITUTE($A49,""#"",""%23""),""SANDBOX""),HYPERLINK(""htt"&amp;"ps://www.munzee.com/m/""&amp;$H49&amp;""/deploys/0/type/""&amp;IFNA(VLOOKUP($F49,IMPORTRANGE(""https://docs.google.com/spreadsheets/d/1DliIGyDywdzxhd4svtjaewR0p9Y5UBTMNMQ2PcXsqss"",""type data!E2:F""),2,FALSE),$F49)&amp;""/"",$H49)),""""))"),"raunas/4516")</f>
        <v>raunas/4516</v>
      </c>
      <c r="K49" s="6" t="b">
        <v>1</v>
      </c>
      <c r="L49" s="6"/>
      <c r="M49" s="9">
        <f t="shared" si="1"/>
        <v>7</v>
      </c>
    </row>
    <row r="50">
      <c r="A50" s="3" t="s">
        <v>137</v>
      </c>
      <c r="B50" s="3">
        <v>6.0</v>
      </c>
      <c r="C50" s="3">
        <v>13.0</v>
      </c>
      <c r="D50" s="4">
        <v>51.58509567231</v>
      </c>
      <c r="E50" s="4">
        <v>-0.2183166830392</v>
      </c>
      <c r="F50" s="3" t="s">
        <v>29</v>
      </c>
      <c r="G50" s="3" t="s">
        <v>30</v>
      </c>
      <c r="H50" s="6" t="s">
        <v>138</v>
      </c>
      <c r="I50" s="6">
        <v>3023.0</v>
      </c>
      <c r="J50" s="7" t="str">
        <f>IFERROR(__xludf.DUMMYFUNCTION("IF(AND(REGEXMATCH($H50,""50( ?['fF]([oO]{2})?[tT]?)?( ?[eE][rR]{2}[oO][rR])"")=FALSE,$H50&lt;&gt;"""",$I50&lt;&gt;""""),HYPERLINK(""https://www.munzee.com/m/""&amp;$H50&amp;""/""&amp;$I50&amp;""/map/?lat=""&amp;$D50&amp;""&amp;lon=""&amp;$E50&amp;""&amp;type=""&amp;$F50&amp;""&amp;name=""&amp;SUBSTITUTE($A50,""#"",""%23"""&amp;"),$H50&amp;""/""&amp;$I50),IF($H50&lt;&gt;"""",IF(REGEXMATCH($H50,""50( ?['fF]([oO]{2})?[tT]?)?( ?[eE][rR]{2}[oO][rR])""),HYPERLINK(""https://www.munzee.com/map/?sandbox=1&amp;lat=""&amp;$D50&amp;""&amp;lon=""&amp;$E50&amp;""&amp;name=""&amp;SUBSTITUTE($A50,""#"",""%23""),""SANDBOX""),HYPERLINK(""htt"&amp;"ps://www.munzee.com/m/""&amp;$H50&amp;""/deploys/0/type/""&amp;IFNA(VLOOKUP($F50,IMPORTRANGE(""https://docs.google.com/spreadsheets/d/1DliIGyDywdzxhd4svtjaewR0p9Y5UBTMNMQ2PcXsqss"",""type data!E2:F""),2,FALSE),$F50)&amp;""/"",$H50)),""""))"),"superchucklez/3023")</f>
        <v>superchucklez/3023</v>
      </c>
      <c r="K50" s="6" t="b">
        <v>1</v>
      </c>
      <c r="L50" s="9"/>
      <c r="M50" s="9">
        <f t="shared" si="1"/>
        <v>1</v>
      </c>
    </row>
    <row r="51">
      <c r="A51" s="3" t="s">
        <v>139</v>
      </c>
      <c r="B51" s="3">
        <v>6.0</v>
      </c>
      <c r="C51" s="3">
        <v>14.0</v>
      </c>
      <c r="D51" s="4">
        <v>51.5850956720827</v>
      </c>
      <c r="E51" s="4">
        <v>-0.2180853640234</v>
      </c>
      <c r="F51" s="3" t="s">
        <v>140</v>
      </c>
      <c r="G51" s="3" t="s">
        <v>141</v>
      </c>
      <c r="H51" s="6" t="s">
        <v>142</v>
      </c>
      <c r="I51" s="6">
        <v>10323.0</v>
      </c>
      <c r="J51" s="7" t="str">
        <f>IFERROR(__xludf.DUMMYFUNCTION("IF(AND(REGEXMATCH($H51,""50( ?['fF]([oO]{2})?[tT]?)?( ?[eE][rR]{2}[oO][rR])"")=FALSE,$H51&lt;&gt;"""",$I51&lt;&gt;""""),HYPERLINK(""https://www.munzee.com/m/""&amp;$H51&amp;""/""&amp;$I51&amp;""/map/?lat=""&amp;$D51&amp;""&amp;lon=""&amp;$E51&amp;""&amp;type=""&amp;$F51&amp;""&amp;name=""&amp;SUBSTITUTE($A51,""#"",""%23"""&amp;"),$H51&amp;""/""&amp;$I51),IF($H51&lt;&gt;"""",IF(REGEXMATCH($H51,""50( ?['fF]([oO]{2})?[tT]?)?( ?[eE][rR]{2}[oO][rR])""),HYPERLINK(""https://www.munzee.com/map/?sandbox=1&amp;lat=""&amp;$D51&amp;""&amp;lon=""&amp;$E51&amp;""&amp;name=""&amp;SUBSTITUTE($A51,""#"",""%23""),""SANDBOX""),HYPERLINK(""htt"&amp;"ps://www.munzee.com/m/""&amp;$H51&amp;""/deploys/0/type/""&amp;IFNA(VLOOKUP($F51,IMPORTRANGE(""https://docs.google.com/spreadsheets/d/1DliIGyDywdzxhd4svtjaewR0p9Y5UBTMNMQ2PcXsqss"",""type data!E2:F""),2,FALSE),$F51)&amp;""/"",$H51)),""""))"),"georeyna/10323")</f>
        <v>georeyna/10323</v>
      </c>
      <c r="K51" s="6" t="b">
        <v>1</v>
      </c>
      <c r="L51" s="9"/>
      <c r="M51" s="9">
        <f t="shared" si="1"/>
        <v>4</v>
      </c>
    </row>
    <row r="52">
      <c r="A52" s="3" t="s">
        <v>143</v>
      </c>
      <c r="B52" s="3">
        <v>6.0</v>
      </c>
      <c r="C52" s="3">
        <v>15.0</v>
      </c>
      <c r="D52" s="4">
        <v>51.5850956718554</v>
      </c>
      <c r="E52" s="4">
        <v>-0.2178540450076</v>
      </c>
      <c r="F52" s="3" t="s">
        <v>122</v>
      </c>
      <c r="G52" s="3" t="s">
        <v>123</v>
      </c>
      <c r="H52" s="6" t="s">
        <v>144</v>
      </c>
      <c r="I52" s="6">
        <v>906.0</v>
      </c>
      <c r="J52" s="7" t="str">
        <f>IFERROR(__xludf.DUMMYFUNCTION("IF(AND(REGEXMATCH($H52,""50( ?['fF]([oO]{2})?[tT]?)?( ?[eE][rR]{2}[oO][rR])"")=FALSE,$H52&lt;&gt;"""",$I52&lt;&gt;""""),HYPERLINK(""https://www.munzee.com/m/""&amp;$H52&amp;""/""&amp;$I52&amp;""/map/?lat=""&amp;$D52&amp;""&amp;lon=""&amp;$E52&amp;""&amp;type=""&amp;$F52&amp;""&amp;name=""&amp;SUBSTITUTE($A52,""#"",""%23"""&amp;"),$H52&amp;""/""&amp;$I52),IF($H52&lt;&gt;"""",IF(REGEXMATCH($H52,""50( ?['fF]([oO]{2})?[tT]?)?( ?[eE][rR]{2}[oO][rR])""),HYPERLINK(""https://www.munzee.com/map/?sandbox=1&amp;lat=""&amp;$D52&amp;""&amp;lon=""&amp;$E52&amp;""&amp;name=""&amp;SUBSTITUTE($A52,""#"",""%23""),""SANDBOX""),HYPERLINK(""htt"&amp;"ps://www.munzee.com/m/""&amp;$H52&amp;""/deploys/0/type/""&amp;IFNA(VLOOKUP($F52,IMPORTRANGE(""https://docs.google.com/spreadsheets/d/1DliIGyDywdzxhd4svtjaewR0p9Y5UBTMNMQ2PcXsqss"",""type data!E2:F""),2,FALSE),$F52)&amp;""/"",$H52)),""""))"),"FlatBlack/906")</f>
        <v>FlatBlack/906</v>
      </c>
      <c r="K52" s="6" t="b">
        <v>1</v>
      </c>
      <c r="L52" s="6"/>
      <c r="M52" s="9">
        <f t="shared" si="1"/>
        <v>1</v>
      </c>
    </row>
    <row r="53">
      <c r="A53" s="3" t="s">
        <v>145</v>
      </c>
      <c r="B53" s="3">
        <v>6.0</v>
      </c>
      <c r="C53" s="3">
        <v>16.0</v>
      </c>
      <c r="D53" s="4">
        <v>51.585095671628</v>
      </c>
      <c r="E53" s="4">
        <v>-0.2176227259918</v>
      </c>
      <c r="F53" s="3" t="s">
        <v>70</v>
      </c>
      <c r="G53" s="3" t="s">
        <v>71</v>
      </c>
      <c r="H53" s="6" t="s">
        <v>146</v>
      </c>
      <c r="I53" s="6">
        <v>542.0</v>
      </c>
      <c r="J53" s="7" t="str">
        <f>IFERROR(__xludf.DUMMYFUNCTION("IF(AND(REGEXMATCH($H53,""50( ?['fF]([oO]{2})?[tT]?)?( ?[eE][rR]{2}[oO][rR])"")=FALSE,$H53&lt;&gt;"""",$I53&lt;&gt;""""),HYPERLINK(""https://www.munzee.com/m/""&amp;$H53&amp;""/""&amp;$I53&amp;""/map/?lat=""&amp;$D53&amp;""&amp;lon=""&amp;$E53&amp;""&amp;type=""&amp;$F53&amp;""&amp;name=""&amp;SUBSTITUTE($A53,""#"",""%23"""&amp;"),$H53&amp;""/""&amp;$I53),IF($H53&lt;&gt;"""",IF(REGEXMATCH($H53,""50( ?['fF]([oO]{2})?[tT]?)?( ?[eE][rR]{2}[oO][rR])""),HYPERLINK(""https://www.munzee.com/map/?sandbox=1&amp;lat=""&amp;$D53&amp;""&amp;lon=""&amp;$E53&amp;""&amp;name=""&amp;SUBSTITUTE($A53,""#"",""%23""),""SANDBOX""),HYPERLINK(""htt"&amp;"ps://www.munzee.com/m/""&amp;$H53&amp;""/deploys/0/type/""&amp;IFNA(VLOOKUP($F53,IMPORTRANGE(""https://docs.google.com/spreadsheets/d/1DliIGyDywdzxhd4svtjaewR0p9Y5UBTMNMQ2PcXsqss"",""type data!E2:F""),2,FALSE),$F53)&amp;""/"",$H53)),""""))"),"Tinman1980/542")</f>
        <v>Tinman1980/542</v>
      </c>
      <c r="K53" s="6" t="b">
        <v>1</v>
      </c>
      <c r="L53" s="10"/>
      <c r="M53" s="9">
        <f t="shared" si="1"/>
        <v>1</v>
      </c>
    </row>
    <row r="54">
      <c r="A54" s="3" t="s">
        <v>147</v>
      </c>
      <c r="B54" s="3">
        <v>6.0</v>
      </c>
      <c r="C54" s="3">
        <v>17.0</v>
      </c>
      <c r="D54" s="4">
        <v>51.5850956714007</v>
      </c>
      <c r="E54" s="4">
        <v>-0.2173914069759</v>
      </c>
      <c r="F54" s="3" t="s">
        <v>91</v>
      </c>
      <c r="G54" s="3" t="s">
        <v>92</v>
      </c>
      <c r="H54" s="6" t="s">
        <v>148</v>
      </c>
      <c r="I54" s="6">
        <v>5782.0</v>
      </c>
      <c r="J54" s="7" t="str">
        <f>IFERROR(__xludf.DUMMYFUNCTION("IF(AND(REGEXMATCH($H54,""50( ?['fF]([oO]{2})?[tT]?)?( ?[eE][rR]{2}[oO][rR])"")=FALSE,$H54&lt;&gt;"""",$I54&lt;&gt;""""),HYPERLINK(""https://www.munzee.com/m/""&amp;$H54&amp;""/""&amp;$I54&amp;""/map/?lat=""&amp;$D54&amp;""&amp;lon=""&amp;$E54&amp;""&amp;type=""&amp;$F54&amp;""&amp;name=""&amp;SUBSTITUTE($A54,""#"",""%23"""&amp;"),$H54&amp;""/""&amp;$I54),IF($H54&lt;&gt;"""",IF(REGEXMATCH($H54,""50( ?['fF]([oO]{2})?[tT]?)?( ?[eE][rR]{2}[oO][rR])""),HYPERLINK(""https://www.munzee.com/map/?sandbox=1&amp;lat=""&amp;$D54&amp;""&amp;lon=""&amp;$E54&amp;""&amp;name=""&amp;SUBSTITUTE($A54,""#"",""%23""),""SANDBOX""),HYPERLINK(""htt"&amp;"ps://www.munzee.com/m/""&amp;$H54&amp;""/deploys/0/type/""&amp;IFNA(VLOOKUP($F54,IMPORTRANGE(""https://docs.google.com/spreadsheets/d/1DliIGyDywdzxhd4svtjaewR0p9Y5UBTMNMQ2PcXsqss"",""type data!E2:F""),2,FALSE),$F54)&amp;""/"",$H54)),""""))"),"Bisquick2/5782")</f>
        <v>Bisquick2/5782</v>
      </c>
      <c r="K54" s="6" t="b">
        <v>1</v>
      </c>
      <c r="L54" s="6"/>
      <c r="M54" s="9">
        <f t="shared" si="1"/>
        <v>1</v>
      </c>
    </row>
    <row r="55">
      <c r="A55" s="3" t="s">
        <v>149</v>
      </c>
      <c r="B55" s="3">
        <v>6.0</v>
      </c>
      <c r="C55" s="3">
        <v>18.0</v>
      </c>
      <c r="D55" s="4">
        <v>51.5850956711734</v>
      </c>
      <c r="E55" s="4">
        <v>-0.2171600879601</v>
      </c>
      <c r="F55" s="3" t="s">
        <v>62</v>
      </c>
      <c r="G55" s="3" t="s">
        <v>63</v>
      </c>
      <c r="H55" s="6" t="s">
        <v>150</v>
      </c>
      <c r="I55" s="6">
        <v>1338.0</v>
      </c>
      <c r="J55" s="7" t="str">
        <f>IFERROR(__xludf.DUMMYFUNCTION("IF(AND(REGEXMATCH($H55,""50( ?['fF]([oO]{2})?[tT]?)?( ?[eE][rR]{2}[oO][rR])"")=FALSE,$H55&lt;&gt;"""",$I55&lt;&gt;""""),HYPERLINK(""https://www.munzee.com/m/""&amp;$H55&amp;""/""&amp;$I55&amp;""/map/?lat=""&amp;$D55&amp;""&amp;lon=""&amp;$E55&amp;""&amp;type=""&amp;$F55&amp;""&amp;name=""&amp;SUBSTITUTE($A55,""#"",""%23"""&amp;"),$H55&amp;""/""&amp;$I55),IF($H55&lt;&gt;"""",IF(REGEXMATCH($H55,""50( ?['fF]([oO]{2})?[tT]?)?( ?[eE][rR]{2}[oO][rR])""),HYPERLINK(""https://www.munzee.com/map/?sandbox=1&amp;lat=""&amp;$D55&amp;""&amp;lon=""&amp;$E55&amp;""&amp;name=""&amp;SUBSTITUTE($A55,""#"",""%23""),""SANDBOX""),HYPERLINK(""htt"&amp;"ps://www.munzee.com/m/""&amp;$H55&amp;""/deploys/0/type/""&amp;IFNA(VLOOKUP($F55,IMPORTRANGE(""https://docs.google.com/spreadsheets/d/1DliIGyDywdzxhd4svtjaewR0p9Y5UBTMNMQ2PcXsqss"",""type data!E2:F""),2,FALSE),$F55)&amp;""/"",$H55)),""""))"),"xraybill/1338")</f>
        <v>xraybill/1338</v>
      </c>
      <c r="K55" s="6" t="b">
        <v>1</v>
      </c>
      <c r="L55" s="6"/>
      <c r="M55" s="9">
        <f t="shared" si="1"/>
        <v>1</v>
      </c>
    </row>
    <row r="56">
      <c r="A56" s="3" t="s">
        <v>151</v>
      </c>
      <c r="B56" s="3">
        <v>7.0</v>
      </c>
      <c r="C56" s="3">
        <v>4.0</v>
      </c>
      <c r="D56" s="4">
        <v>51.5849519439107</v>
      </c>
      <c r="E56" s="4">
        <v>-0.220398571013</v>
      </c>
      <c r="F56" s="3" t="s">
        <v>81</v>
      </c>
      <c r="G56" s="3" t="s">
        <v>82</v>
      </c>
      <c r="H56" s="6" t="s">
        <v>130</v>
      </c>
      <c r="I56" s="6">
        <v>4475.0</v>
      </c>
      <c r="J56" s="7" t="str">
        <f>IFERROR(__xludf.DUMMYFUNCTION("IF(AND(REGEXMATCH($H56,""50( ?['fF]([oO]{2})?[tT]?)?( ?[eE][rR]{2}[oO][rR])"")=FALSE,$H56&lt;&gt;"""",$I56&lt;&gt;""""),HYPERLINK(""https://www.munzee.com/m/""&amp;$H56&amp;""/""&amp;$I56&amp;""/map/?lat=""&amp;$D56&amp;""&amp;lon=""&amp;$E56&amp;""&amp;type=""&amp;$F56&amp;""&amp;name=""&amp;SUBSTITUTE($A56,""#"",""%23"""&amp;"),$H56&amp;""/""&amp;$I56),IF($H56&lt;&gt;"""",IF(REGEXMATCH($H56,""50( ?['fF]([oO]{2})?[tT]?)?( ?[eE][rR]{2}[oO][rR])""),HYPERLINK(""https://www.munzee.com/map/?sandbox=1&amp;lat=""&amp;$D56&amp;""&amp;lon=""&amp;$E56&amp;""&amp;name=""&amp;SUBSTITUTE($A56,""#"",""%23""),""SANDBOX""),HYPERLINK(""htt"&amp;"ps://www.munzee.com/m/""&amp;$H56&amp;""/deploys/0/type/""&amp;IFNA(VLOOKUP($F56,IMPORTRANGE(""https://docs.google.com/spreadsheets/d/1DliIGyDywdzxhd4svtjaewR0p9Y5UBTMNMQ2PcXsqss"",""type data!E2:F""),2,FALSE),$F56)&amp;""/"",$H56)),""""))"),"raunas/4475")</f>
        <v>raunas/4475</v>
      </c>
      <c r="K56" s="6" t="b">
        <v>1</v>
      </c>
      <c r="L56" s="9"/>
      <c r="M56" s="9">
        <f t="shared" si="1"/>
        <v>7</v>
      </c>
    </row>
    <row r="57">
      <c r="A57" s="3" t="s">
        <v>152</v>
      </c>
      <c r="B57" s="3">
        <v>7.0</v>
      </c>
      <c r="C57" s="3">
        <v>5.0</v>
      </c>
      <c r="D57" s="4">
        <v>51.5849519436834</v>
      </c>
      <c r="E57" s="4">
        <v>-0.220167252729</v>
      </c>
      <c r="F57" s="3" t="s">
        <v>70</v>
      </c>
      <c r="G57" s="3" t="s">
        <v>71</v>
      </c>
      <c r="H57" s="6" t="s">
        <v>27</v>
      </c>
      <c r="I57" s="6">
        <v>860.0</v>
      </c>
      <c r="J57" s="7" t="str">
        <f>IFERROR(__xludf.DUMMYFUNCTION("IF(AND(REGEXMATCH($H57,""50( ?['fF]([oO]{2})?[tT]?)?( ?[eE][rR]{2}[oO][rR])"")=FALSE,$H57&lt;&gt;"""",$I57&lt;&gt;""""),HYPERLINK(""https://www.munzee.com/m/""&amp;$H57&amp;""/""&amp;$I57&amp;""/map/?lat=""&amp;$D57&amp;""&amp;lon=""&amp;$E57&amp;""&amp;type=""&amp;$F57&amp;""&amp;name=""&amp;SUBSTITUTE($A57,""#"",""%23"""&amp;"),$H57&amp;""/""&amp;$I57),IF($H57&lt;&gt;"""",IF(REGEXMATCH($H57,""50( ?['fF]([oO]{2})?[tT]?)?( ?[eE][rR]{2}[oO][rR])""),HYPERLINK(""https://www.munzee.com/map/?sandbox=1&amp;lat=""&amp;$D57&amp;""&amp;lon=""&amp;$E57&amp;""&amp;name=""&amp;SUBSTITUTE($A57,""#"",""%23""),""SANDBOX""),HYPERLINK(""htt"&amp;"ps://www.munzee.com/m/""&amp;$H57&amp;""/deploys/0/type/""&amp;IFNA(VLOOKUP($F57,IMPORTRANGE(""https://docs.google.com/spreadsheets/d/1DliIGyDywdzxhd4svtjaewR0p9Y5UBTMNMQ2PcXsqss"",""type data!E2:F""),2,FALSE),$F57)&amp;""/"",$H57)),""""))"),"WinterCheetah/860")</f>
        <v>WinterCheetah/860</v>
      </c>
      <c r="K57" s="6" t="b">
        <v>1</v>
      </c>
      <c r="L57" s="6"/>
      <c r="M57" s="9">
        <f t="shared" si="1"/>
        <v>3</v>
      </c>
    </row>
    <row r="58">
      <c r="A58" s="3" t="s">
        <v>153</v>
      </c>
      <c r="B58" s="3">
        <v>7.0</v>
      </c>
      <c r="C58" s="3">
        <v>6.0</v>
      </c>
      <c r="D58" s="4">
        <v>51.584951943456</v>
      </c>
      <c r="E58" s="4">
        <v>-0.2199359344449</v>
      </c>
      <c r="F58" s="3" t="s">
        <v>122</v>
      </c>
      <c r="G58" s="3" t="s">
        <v>123</v>
      </c>
      <c r="H58" s="6" t="s">
        <v>154</v>
      </c>
      <c r="I58" s="6">
        <v>3649.0</v>
      </c>
      <c r="J58" s="7" t="str">
        <f>IFERROR(__xludf.DUMMYFUNCTION("IF(AND(REGEXMATCH($H58,""50( ?['fF]([oO]{2})?[tT]?)?( ?[eE][rR]{2}[oO][rR])"")=FALSE,$H58&lt;&gt;"""",$I58&lt;&gt;""""),HYPERLINK(""https://www.munzee.com/m/""&amp;$H58&amp;""/""&amp;$I58&amp;""/map/?lat=""&amp;$D58&amp;""&amp;lon=""&amp;$E58&amp;""&amp;type=""&amp;$F58&amp;""&amp;name=""&amp;SUBSTITUTE($A58,""#"",""%23"""&amp;"),$H58&amp;""/""&amp;$I58),IF($H58&lt;&gt;"""",IF(REGEXMATCH($H58,""50( ?['fF]([oO]{2})?[tT]?)?( ?[eE][rR]{2}[oO][rR])""),HYPERLINK(""https://www.munzee.com/map/?sandbox=1&amp;lat=""&amp;$D58&amp;""&amp;lon=""&amp;$E58&amp;""&amp;name=""&amp;SUBSTITUTE($A58,""#"",""%23""),""SANDBOX""),HYPERLINK(""htt"&amp;"ps://www.munzee.com/m/""&amp;$H58&amp;""/deploys/0/type/""&amp;IFNA(VLOOKUP($F58,IMPORTRANGE(""https://docs.google.com/spreadsheets/d/1DliIGyDywdzxhd4svtjaewR0p9Y5UBTMNMQ2PcXsqss"",""type data!E2:F""),2,FALSE),$F58)&amp;""/"",$H58)),""""))"),"Fossillady/3649")</f>
        <v>Fossillady/3649</v>
      </c>
      <c r="K58" s="6" t="b">
        <v>1</v>
      </c>
      <c r="L58" s="9"/>
      <c r="M58" s="9">
        <f t="shared" si="1"/>
        <v>2</v>
      </c>
    </row>
    <row r="59">
      <c r="A59" s="3" t="s">
        <v>155</v>
      </c>
      <c r="B59" s="3">
        <v>7.0</v>
      </c>
      <c r="C59" s="3">
        <v>7.0</v>
      </c>
      <c r="D59" s="4">
        <v>51.5849519432287</v>
      </c>
      <c r="E59" s="4">
        <v>-0.2197046161609</v>
      </c>
      <c r="F59" s="3" t="s">
        <v>156</v>
      </c>
      <c r="G59" s="3" t="s">
        <v>157</v>
      </c>
      <c r="H59" s="6" t="s">
        <v>158</v>
      </c>
      <c r="I59" s="6">
        <v>2045.0</v>
      </c>
      <c r="J59" s="7" t="str">
        <f>IFERROR(__xludf.DUMMYFUNCTION("IF(AND(REGEXMATCH($H59,""50( ?['fF]([oO]{2})?[tT]?)?( ?[eE][rR]{2}[oO][rR])"")=FALSE,$H59&lt;&gt;"""",$I59&lt;&gt;""""),HYPERLINK(""https://www.munzee.com/m/""&amp;$H59&amp;""/""&amp;$I59&amp;""/map/?lat=""&amp;$D59&amp;""&amp;lon=""&amp;$E59&amp;""&amp;type=""&amp;$F59&amp;""&amp;name=""&amp;SUBSTITUTE($A59,""#"",""%23"""&amp;"),$H59&amp;""/""&amp;$I59),IF($H59&lt;&gt;"""",IF(REGEXMATCH($H59,""50( ?['fF]([oO]{2})?[tT]?)?( ?[eE][rR]{2}[oO][rR])""),HYPERLINK(""https://www.munzee.com/map/?sandbox=1&amp;lat=""&amp;$D59&amp;""&amp;lon=""&amp;$E59&amp;""&amp;name=""&amp;SUBSTITUTE($A59,""#"",""%23""),""SANDBOX""),HYPERLINK(""htt"&amp;"ps://www.munzee.com/m/""&amp;$H59&amp;""/deploys/0/type/""&amp;IFNA(VLOOKUP($F59,IMPORTRANGE(""https://docs.google.com/spreadsheets/d/1DliIGyDywdzxhd4svtjaewR0p9Y5UBTMNMQ2PcXsqss"",""type data!E2:F""),2,FALSE),$F59)&amp;""/"",$H59)),""""))"),"NikitaStolk/2045")</f>
        <v>NikitaStolk/2045</v>
      </c>
      <c r="K59" s="6" t="b">
        <v>1</v>
      </c>
      <c r="L59" s="9"/>
      <c r="M59" s="9">
        <f t="shared" si="1"/>
        <v>1</v>
      </c>
    </row>
    <row r="60">
      <c r="A60" s="3" t="s">
        <v>159</v>
      </c>
      <c r="B60" s="3">
        <v>7.0</v>
      </c>
      <c r="C60" s="3">
        <v>8.0</v>
      </c>
      <c r="D60" s="4">
        <v>51.5849519430014</v>
      </c>
      <c r="E60" s="4">
        <v>-0.2194732978769</v>
      </c>
      <c r="F60" s="3" t="s">
        <v>160</v>
      </c>
      <c r="G60" s="3" t="s">
        <v>161</v>
      </c>
      <c r="H60" s="6" t="s">
        <v>162</v>
      </c>
      <c r="I60" s="6">
        <v>3969.0</v>
      </c>
      <c r="J60" s="7" t="str">
        <f>IFERROR(__xludf.DUMMYFUNCTION("IF(AND(REGEXMATCH($H60,""50( ?['fF]([oO]{2})?[tT]?)?( ?[eE][rR]{2}[oO][rR])"")=FALSE,$H60&lt;&gt;"""",$I60&lt;&gt;""""),HYPERLINK(""https://www.munzee.com/m/""&amp;$H60&amp;""/""&amp;$I60&amp;""/map/?lat=""&amp;$D60&amp;""&amp;lon=""&amp;$E60&amp;""&amp;type=""&amp;$F60&amp;""&amp;name=""&amp;SUBSTITUTE($A60,""#"",""%23"""&amp;"),$H60&amp;""/""&amp;$I60),IF($H60&lt;&gt;"""",IF(REGEXMATCH($H60,""50( ?['fF]([oO]{2})?[tT]?)?( ?[eE][rR]{2}[oO][rR])""),HYPERLINK(""https://www.munzee.com/map/?sandbox=1&amp;lat=""&amp;$D60&amp;""&amp;lon=""&amp;$E60&amp;""&amp;name=""&amp;SUBSTITUTE($A60,""#"",""%23""),""SANDBOX""),HYPERLINK(""htt"&amp;"ps://www.munzee.com/m/""&amp;$H60&amp;""/deploys/0/type/""&amp;IFNA(VLOOKUP($F60,IMPORTRANGE(""https://docs.google.com/spreadsheets/d/1DliIGyDywdzxhd4svtjaewR0p9Y5UBTMNMQ2PcXsqss"",""type data!E2:F""),2,FALSE),$F60)&amp;""/"",$H60)),""""))"),"Clareppuccino/3969")</f>
        <v>Clareppuccino/3969</v>
      </c>
      <c r="K60" s="6" t="b">
        <v>1</v>
      </c>
      <c r="L60" s="9"/>
      <c r="M60" s="9">
        <f t="shared" si="1"/>
        <v>4</v>
      </c>
    </row>
    <row r="61">
      <c r="A61" s="3" t="s">
        <v>163</v>
      </c>
      <c r="B61" s="3">
        <v>7.0</v>
      </c>
      <c r="C61" s="3">
        <v>9.0</v>
      </c>
      <c r="D61" s="4">
        <v>51.584951942774</v>
      </c>
      <c r="E61" s="4">
        <v>-0.2192419795929</v>
      </c>
      <c r="F61" s="3" t="s">
        <v>29</v>
      </c>
      <c r="G61" s="3" t="s">
        <v>30</v>
      </c>
      <c r="H61" s="6" t="s">
        <v>41</v>
      </c>
      <c r="I61" s="6">
        <v>7824.0</v>
      </c>
      <c r="J61" s="7" t="str">
        <f>IFERROR(__xludf.DUMMYFUNCTION("IF(AND(REGEXMATCH($H61,""50( ?['fF]([oO]{2})?[tT]?)?( ?[eE][rR]{2}[oO][rR])"")=FALSE,$H61&lt;&gt;"""",$I61&lt;&gt;""""),HYPERLINK(""https://www.munzee.com/m/""&amp;$H61&amp;""/""&amp;$I61&amp;""/map/?lat=""&amp;$D61&amp;""&amp;lon=""&amp;$E61&amp;""&amp;type=""&amp;$F61&amp;""&amp;name=""&amp;SUBSTITUTE($A61,""#"",""%23"""&amp;"),$H61&amp;""/""&amp;$I61),IF($H61&lt;&gt;"""",IF(REGEXMATCH($H61,""50( ?['fF]([oO]{2})?[tT]?)?( ?[eE][rR]{2}[oO][rR])""),HYPERLINK(""https://www.munzee.com/map/?sandbox=1&amp;lat=""&amp;$D61&amp;""&amp;lon=""&amp;$E61&amp;""&amp;name=""&amp;SUBSTITUTE($A61,""#"",""%23""),""SANDBOX""),HYPERLINK(""htt"&amp;"ps://www.munzee.com/m/""&amp;$H61&amp;""/deploys/0/type/""&amp;IFNA(VLOOKUP($F61,IMPORTRANGE(""https://docs.google.com/spreadsheets/d/1DliIGyDywdzxhd4svtjaewR0p9Y5UBTMNMQ2PcXsqss"",""type data!E2:F""),2,FALSE),$F61)&amp;""/"",$H61)),""""))"),"rgforsythe/7824")</f>
        <v>rgforsythe/7824</v>
      </c>
      <c r="K61" s="6" t="b">
        <v>1</v>
      </c>
      <c r="L61" s="10"/>
      <c r="M61" s="9">
        <f t="shared" si="1"/>
        <v>1</v>
      </c>
    </row>
    <row r="62">
      <c r="A62" s="3" t="s">
        <v>164</v>
      </c>
      <c r="B62" s="3">
        <v>7.0</v>
      </c>
      <c r="C62" s="3">
        <v>10.0</v>
      </c>
      <c r="D62" s="4">
        <v>51.5849519425467</v>
      </c>
      <c r="E62" s="4">
        <v>-0.2190106613089</v>
      </c>
      <c r="F62" s="3" t="s">
        <v>165</v>
      </c>
      <c r="G62" s="3" t="s">
        <v>166</v>
      </c>
      <c r="H62" s="6" t="s">
        <v>27</v>
      </c>
      <c r="I62" s="6">
        <v>729.0</v>
      </c>
      <c r="J62" s="7" t="str">
        <f>IFERROR(__xludf.DUMMYFUNCTION("IF(AND(REGEXMATCH($H62,""50( ?['fF]([oO]{2})?[tT]?)?( ?[eE][rR]{2}[oO][rR])"")=FALSE,$H62&lt;&gt;"""",$I62&lt;&gt;""""),HYPERLINK(""https://www.munzee.com/m/""&amp;$H62&amp;""/""&amp;$I62&amp;""/map/?lat=""&amp;$D62&amp;""&amp;lon=""&amp;$E62&amp;""&amp;type=""&amp;$F62&amp;""&amp;name=""&amp;SUBSTITUTE($A62,""#"",""%23"""&amp;"),$H62&amp;""/""&amp;$I62),IF($H62&lt;&gt;"""",IF(REGEXMATCH($H62,""50( ?['fF]([oO]{2})?[tT]?)?( ?[eE][rR]{2}[oO][rR])""),HYPERLINK(""https://www.munzee.com/map/?sandbox=1&amp;lat=""&amp;$D62&amp;""&amp;lon=""&amp;$E62&amp;""&amp;name=""&amp;SUBSTITUTE($A62,""#"",""%23""),""SANDBOX""),HYPERLINK(""htt"&amp;"ps://www.munzee.com/m/""&amp;$H62&amp;""/deploys/0/type/""&amp;IFNA(VLOOKUP($F62,IMPORTRANGE(""https://docs.google.com/spreadsheets/d/1DliIGyDywdzxhd4svtjaewR0p9Y5UBTMNMQ2PcXsqss"",""type data!E2:F""),2,FALSE),$F62)&amp;""/"",$H62)),""""))"),"WinterCheetah/729")</f>
        <v>WinterCheetah/729</v>
      </c>
      <c r="K62" s="6" t="b">
        <v>1</v>
      </c>
      <c r="L62" s="6"/>
      <c r="M62" s="9">
        <f t="shared" si="1"/>
        <v>3</v>
      </c>
    </row>
    <row r="63">
      <c r="A63" s="3" t="s">
        <v>167</v>
      </c>
      <c r="B63" s="3">
        <v>7.0</v>
      </c>
      <c r="C63" s="3">
        <v>11.0</v>
      </c>
      <c r="D63" s="4">
        <v>51.5849519423193</v>
      </c>
      <c r="E63" s="4">
        <v>-0.2187793430248</v>
      </c>
      <c r="F63" s="3" t="s">
        <v>132</v>
      </c>
      <c r="G63" s="3" t="s">
        <v>133</v>
      </c>
      <c r="H63" s="6" t="s">
        <v>162</v>
      </c>
      <c r="I63" s="6">
        <v>3883.0</v>
      </c>
      <c r="J63" s="7" t="str">
        <f>IFERROR(__xludf.DUMMYFUNCTION("IF(AND(REGEXMATCH($H63,""50( ?['fF]([oO]{2})?[tT]?)?( ?[eE][rR]{2}[oO][rR])"")=FALSE,$H63&lt;&gt;"""",$I63&lt;&gt;""""),HYPERLINK(""https://www.munzee.com/m/""&amp;$H63&amp;""/""&amp;$I63&amp;""/map/?lat=""&amp;$D63&amp;""&amp;lon=""&amp;$E63&amp;""&amp;type=""&amp;$F63&amp;""&amp;name=""&amp;SUBSTITUTE($A63,""#"",""%23"""&amp;"),$H63&amp;""/""&amp;$I63),IF($H63&lt;&gt;"""",IF(REGEXMATCH($H63,""50( ?['fF]([oO]{2})?[tT]?)?( ?[eE][rR]{2}[oO][rR])""),HYPERLINK(""https://www.munzee.com/map/?sandbox=1&amp;lat=""&amp;$D63&amp;""&amp;lon=""&amp;$E63&amp;""&amp;name=""&amp;SUBSTITUTE($A63,""#"",""%23""),""SANDBOX""),HYPERLINK(""htt"&amp;"ps://www.munzee.com/m/""&amp;$H63&amp;""/deploys/0/type/""&amp;IFNA(VLOOKUP($F63,IMPORTRANGE(""https://docs.google.com/spreadsheets/d/1DliIGyDywdzxhd4svtjaewR0p9Y5UBTMNMQ2PcXsqss"",""type data!E2:F""),2,FALSE),$F63)&amp;""/"",$H63)),""""))"),"Clareppuccino/3883")</f>
        <v>Clareppuccino/3883</v>
      </c>
      <c r="K63" s="6" t="b">
        <v>1</v>
      </c>
      <c r="L63" s="9"/>
      <c r="M63" s="9">
        <f t="shared" si="1"/>
        <v>4</v>
      </c>
    </row>
    <row r="64">
      <c r="A64" s="3" t="s">
        <v>168</v>
      </c>
      <c r="B64" s="3">
        <v>7.0</v>
      </c>
      <c r="C64" s="3">
        <v>12.0</v>
      </c>
      <c r="D64" s="4">
        <v>51.584951942092</v>
      </c>
      <c r="E64" s="4">
        <v>-0.2185480247408</v>
      </c>
      <c r="F64" s="3" t="s">
        <v>165</v>
      </c>
      <c r="G64" s="3" t="s">
        <v>166</v>
      </c>
      <c r="H64" s="6" t="s">
        <v>169</v>
      </c>
      <c r="I64" s="6">
        <v>736.0</v>
      </c>
      <c r="J64" s="7" t="str">
        <f>IFERROR(__xludf.DUMMYFUNCTION("IF(AND(REGEXMATCH($H64,""50( ?['fF]([oO]{2})?[tT]?)?( ?[eE][rR]{2}[oO][rR])"")=FALSE,$H64&lt;&gt;"""",$I64&lt;&gt;""""),HYPERLINK(""https://www.munzee.com/m/""&amp;$H64&amp;""/""&amp;$I64&amp;""/map/?lat=""&amp;$D64&amp;""&amp;lon=""&amp;$E64&amp;""&amp;type=""&amp;$F64&amp;""&amp;name=""&amp;SUBSTITUTE($A64,""#"",""%23"""&amp;"),$H64&amp;""/""&amp;$I64),IF($H64&lt;&gt;"""",IF(REGEXMATCH($H64,""50( ?['fF]([oO]{2})?[tT]?)?( ?[eE][rR]{2}[oO][rR])""),HYPERLINK(""https://www.munzee.com/map/?sandbox=1&amp;lat=""&amp;$D64&amp;""&amp;lon=""&amp;$E64&amp;""&amp;name=""&amp;SUBSTITUTE($A64,""#"",""%23""),""SANDBOX""),HYPERLINK(""htt"&amp;"ps://www.munzee.com/m/""&amp;$H64&amp;""/deploys/0/type/""&amp;IFNA(VLOOKUP($F64,IMPORTRANGE(""https://docs.google.com/spreadsheets/d/1DliIGyDywdzxhd4svtjaewR0p9Y5UBTMNMQ2PcXsqss"",""type data!E2:F""),2,FALSE),$F64)&amp;""/"",$H64)),""""))"),"TTFNCachn/736")</f>
        <v>TTFNCachn/736</v>
      </c>
      <c r="K64" s="6" t="b">
        <v>1</v>
      </c>
      <c r="L64" s="6"/>
      <c r="M64" s="9">
        <f t="shared" si="1"/>
        <v>1</v>
      </c>
    </row>
    <row r="65">
      <c r="A65" s="3" t="s">
        <v>170</v>
      </c>
      <c r="B65" s="3">
        <v>7.0</v>
      </c>
      <c r="C65" s="3">
        <v>13.0</v>
      </c>
      <c r="D65" s="4">
        <v>51.5849519418647</v>
      </c>
      <c r="E65" s="4">
        <v>-0.2183167064568</v>
      </c>
      <c r="F65" s="3" t="s">
        <v>29</v>
      </c>
      <c r="G65" s="3" t="s">
        <v>30</v>
      </c>
      <c r="H65" s="6" t="s">
        <v>171</v>
      </c>
      <c r="I65" s="6">
        <v>865.0</v>
      </c>
      <c r="J65" s="7" t="str">
        <f>IFERROR(__xludf.DUMMYFUNCTION("IF(AND(REGEXMATCH($H65,""50( ?['fF]([oO]{2})?[tT]?)?( ?[eE][rR]{2}[oO][rR])"")=FALSE,$H65&lt;&gt;"""",$I65&lt;&gt;""""),HYPERLINK(""https://www.munzee.com/m/""&amp;$H65&amp;""/""&amp;$I65&amp;""/map/?lat=""&amp;$D65&amp;""&amp;lon=""&amp;$E65&amp;""&amp;type=""&amp;$F65&amp;""&amp;name=""&amp;SUBSTITUTE($A65,""#"",""%23"""&amp;"),$H65&amp;""/""&amp;$I65),IF($H65&lt;&gt;"""",IF(REGEXMATCH($H65,""50( ?['fF]([oO]{2})?[tT]?)?( ?[eE][rR]{2}[oO][rR])""),HYPERLINK(""https://www.munzee.com/map/?sandbox=1&amp;lat=""&amp;$D65&amp;""&amp;lon=""&amp;$E65&amp;""&amp;name=""&amp;SUBSTITUTE($A65,""#"",""%23""),""SANDBOX""),HYPERLINK(""htt"&amp;"ps://www.munzee.com/m/""&amp;$H65&amp;""/deploys/0/type/""&amp;IFNA(VLOOKUP($F65,IMPORTRANGE(""https://docs.google.com/spreadsheets/d/1DliIGyDywdzxhd4svtjaewR0p9Y5UBTMNMQ2PcXsqss"",""type data!E2:F""),2,FALSE),$F65)&amp;""/"",$H65)),""""))"),"klc1960/865")</f>
        <v>klc1960/865</v>
      </c>
      <c r="K65" s="6" t="b">
        <v>1</v>
      </c>
      <c r="L65" s="9"/>
      <c r="M65" s="9">
        <f t="shared" si="1"/>
        <v>6</v>
      </c>
    </row>
    <row r="66">
      <c r="A66" s="3" t="s">
        <v>172</v>
      </c>
      <c r="B66" s="3">
        <v>7.0</v>
      </c>
      <c r="C66" s="3">
        <v>14.0</v>
      </c>
      <c r="D66" s="4">
        <v>51.5849519416373</v>
      </c>
      <c r="E66" s="4">
        <v>-0.2180853881728</v>
      </c>
      <c r="F66" s="3" t="s">
        <v>173</v>
      </c>
      <c r="G66" s="3" t="s">
        <v>174</v>
      </c>
      <c r="H66" s="6" t="s">
        <v>148</v>
      </c>
      <c r="I66" s="6">
        <v>5782.0</v>
      </c>
      <c r="J66" s="7" t="str">
        <f>IFERROR(__xludf.DUMMYFUNCTION("IF(AND(REGEXMATCH($H66,""50( ?['fF]([oO]{2})?[tT]?)?( ?[eE][rR]{2}[oO][rR])"")=FALSE,$H66&lt;&gt;"""",$I66&lt;&gt;""""),HYPERLINK(""https://www.munzee.com/m/""&amp;$H66&amp;""/""&amp;$I66&amp;""/map/?lat=""&amp;$D66&amp;""&amp;lon=""&amp;$E66&amp;""&amp;type=""&amp;$F66&amp;""&amp;name=""&amp;SUBSTITUTE($A66,""#"",""%23"""&amp;"),$H66&amp;""/""&amp;$I66),IF($H66&lt;&gt;"""",IF(REGEXMATCH($H66,""50( ?['fF]([oO]{2})?[tT]?)?( ?[eE][rR]{2}[oO][rR])""),HYPERLINK(""https://www.munzee.com/map/?sandbox=1&amp;lat=""&amp;$D66&amp;""&amp;lon=""&amp;$E66&amp;""&amp;name=""&amp;SUBSTITUTE($A66,""#"",""%23""),""SANDBOX""),HYPERLINK(""htt"&amp;"ps://www.munzee.com/m/""&amp;$H66&amp;""/deploys/0/type/""&amp;IFNA(VLOOKUP($F66,IMPORTRANGE(""https://docs.google.com/spreadsheets/d/1DliIGyDywdzxhd4svtjaewR0p9Y5UBTMNMQ2PcXsqss"",""type data!E2:F""),2,FALSE),$F66)&amp;""/"",$H66)),""""))"),"Bisquick2/5782")</f>
        <v>Bisquick2/5782</v>
      </c>
      <c r="K66" s="9"/>
      <c r="L66" s="6" t="s">
        <v>175</v>
      </c>
      <c r="M66" s="9">
        <f t="shared" si="1"/>
        <v>1</v>
      </c>
    </row>
    <row r="67">
      <c r="A67" s="3" t="s">
        <v>176</v>
      </c>
      <c r="B67" s="3">
        <v>7.0</v>
      </c>
      <c r="C67" s="3">
        <v>15.0</v>
      </c>
      <c r="D67" s="4">
        <v>51.58495194141</v>
      </c>
      <c r="E67" s="4">
        <v>-0.2178540698887</v>
      </c>
      <c r="F67" s="3" t="s">
        <v>156</v>
      </c>
      <c r="G67" s="3" t="s">
        <v>157</v>
      </c>
      <c r="H67" s="6" t="s">
        <v>177</v>
      </c>
      <c r="I67" s="6">
        <v>9471.0</v>
      </c>
      <c r="J67" s="7" t="str">
        <f>IFERROR(__xludf.DUMMYFUNCTION("IF(AND(REGEXMATCH($H67,""50( ?['fF]([oO]{2})?[tT]?)?( ?[eE][rR]{2}[oO][rR])"")=FALSE,$H67&lt;&gt;"""",$I67&lt;&gt;""""),HYPERLINK(""https://www.munzee.com/m/""&amp;$H67&amp;""/""&amp;$I67&amp;""/map/?lat=""&amp;$D67&amp;""&amp;lon=""&amp;$E67&amp;""&amp;type=""&amp;$F67&amp;""&amp;name=""&amp;SUBSTITUTE($A67,""#"",""%23"""&amp;"),$H67&amp;""/""&amp;$I67),IF($H67&lt;&gt;"""",IF(REGEXMATCH($H67,""50( ?['fF]([oO]{2})?[tT]?)?( ?[eE][rR]{2}[oO][rR])""),HYPERLINK(""https://www.munzee.com/map/?sandbox=1&amp;lat=""&amp;$D67&amp;""&amp;lon=""&amp;$E67&amp;""&amp;name=""&amp;SUBSTITUTE($A67,""#"",""%23""),""SANDBOX""),HYPERLINK(""htt"&amp;"ps://www.munzee.com/m/""&amp;$H67&amp;""/deploys/0/type/""&amp;IFNA(VLOOKUP($F67,IMPORTRANGE(""https://docs.google.com/spreadsheets/d/1DliIGyDywdzxhd4svtjaewR0p9Y5UBTMNMQ2PcXsqss"",""type data!E2:F""),2,FALSE),$F67)&amp;""/"",$H67)),""""))"),"kiitokurre/9471")</f>
        <v>kiitokurre/9471</v>
      </c>
      <c r="K67" s="6" t="b">
        <v>1</v>
      </c>
      <c r="L67" s="9"/>
      <c r="M67" s="9">
        <f t="shared" si="1"/>
        <v>2</v>
      </c>
    </row>
    <row r="68">
      <c r="A68" s="3" t="s">
        <v>178</v>
      </c>
      <c r="B68" s="3">
        <v>7.0</v>
      </c>
      <c r="C68" s="3">
        <v>16.0</v>
      </c>
      <c r="D68" s="4">
        <v>51.5849519411826</v>
      </c>
      <c r="E68" s="4">
        <v>-0.2176227516047</v>
      </c>
      <c r="F68" s="3" t="s">
        <v>122</v>
      </c>
      <c r="G68" s="3" t="s">
        <v>123</v>
      </c>
      <c r="H68" s="6" t="s">
        <v>179</v>
      </c>
      <c r="I68" s="6">
        <v>25493.0</v>
      </c>
      <c r="J68" s="7" t="str">
        <f>IFERROR(__xludf.DUMMYFUNCTION("IF(AND(REGEXMATCH($H68,""50( ?['fF]([oO]{2})?[tT]?)?( ?[eE][rR]{2}[oO][rR])"")=FALSE,$H68&lt;&gt;"""",$I68&lt;&gt;""""),HYPERLINK(""https://www.munzee.com/m/""&amp;$H68&amp;""/""&amp;$I68&amp;""/map/?lat=""&amp;$D68&amp;""&amp;lon=""&amp;$E68&amp;""&amp;type=""&amp;$F68&amp;""&amp;name=""&amp;SUBSTITUTE($A68,""#"",""%23"""&amp;"),$H68&amp;""/""&amp;$I68),IF($H68&lt;&gt;"""",IF(REGEXMATCH($H68,""50( ?['fF]([oO]{2})?[tT]?)?( ?[eE][rR]{2}[oO][rR])""),HYPERLINK(""https://www.munzee.com/map/?sandbox=1&amp;lat=""&amp;$D68&amp;""&amp;lon=""&amp;$E68&amp;""&amp;name=""&amp;SUBSTITUTE($A68,""#"",""%23""),""SANDBOX""),HYPERLINK(""htt"&amp;"ps://www.munzee.com/m/""&amp;$H68&amp;""/deploys/0/type/""&amp;IFNA(VLOOKUP($F68,IMPORTRANGE(""https://docs.google.com/spreadsheets/d/1DliIGyDywdzxhd4svtjaewR0p9Y5UBTMNMQ2PcXsqss"",""type data!E2:F""),2,FALSE),$F68)&amp;""/"",$H68)),""""))"),"WanderingAus/25493")</f>
        <v>WanderingAus/25493</v>
      </c>
      <c r="K68" s="6" t="b">
        <v>1</v>
      </c>
      <c r="L68" s="10"/>
      <c r="M68" s="9">
        <f t="shared" si="1"/>
        <v>10</v>
      </c>
    </row>
    <row r="69">
      <c r="A69" s="3" t="s">
        <v>180</v>
      </c>
      <c r="B69" s="3">
        <v>7.0</v>
      </c>
      <c r="C69" s="3">
        <v>17.0</v>
      </c>
      <c r="D69" s="4">
        <v>51.5849519409553</v>
      </c>
      <c r="E69" s="4">
        <v>-0.2173914333207</v>
      </c>
      <c r="F69" s="3" t="s">
        <v>70</v>
      </c>
      <c r="G69" s="3" t="s">
        <v>71</v>
      </c>
      <c r="H69" s="6" t="s">
        <v>130</v>
      </c>
      <c r="I69" s="6">
        <v>4470.0</v>
      </c>
      <c r="J69" s="7" t="str">
        <f>IFERROR(__xludf.DUMMYFUNCTION("IF(AND(REGEXMATCH($H69,""50( ?['fF]([oO]{2})?[tT]?)?( ?[eE][rR]{2}[oO][rR])"")=FALSE,$H69&lt;&gt;"""",$I69&lt;&gt;""""),HYPERLINK(""https://www.munzee.com/m/""&amp;$H69&amp;""/""&amp;$I69&amp;""/map/?lat=""&amp;$D69&amp;""&amp;lon=""&amp;$E69&amp;""&amp;type=""&amp;$F69&amp;""&amp;name=""&amp;SUBSTITUTE($A69,""#"",""%23"""&amp;"),$H69&amp;""/""&amp;$I69),IF($H69&lt;&gt;"""",IF(REGEXMATCH($H69,""50( ?['fF]([oO]{2})?[tT]?)?( ?[eE][rR]{2}[oO][rR])""),HYPERLINK(""https://www.munzee.com/map/?sandbox=1&amp;lat=""&amp;$D69&amp;""&amp;lon=""&amp;$E69&amp;""&amp;name=""&amp;SUBSTITUTE($A69,""#"",""%23""),""SANDBOX""),HYPERLINK(""htt"&amp;"ps://www.munzee.com/m/""&amp;$H69&amp;""/deploys/0/type/""&amp;IFNA(VLOOKUP($F69,IMPORTRANGE(""https://docs.google.com/spreadsheets/d/1DliIGyDywdzxhd4svtjaewR0p9Y5UBTMNMQ2PcXsqss"",""type data!E2:F""),2,FALSE),$F69)&amp;""/"",$H69)),""""))"),"raunas/4470")</f>
        <v>raunas/4470</v>
      </c>
      <c r="K69" s="6" t="b">
        <v>1</v>
      </c>
      <c r="L69" s="10"/>
      <c r="M69" s="9">
        <f t="shared" si="1"/>
        <v>7</v>
      </c>
    </row>
    <row r="70">
      <c r="A70" s="3" t="s">
        <v>181</v>
      </c>
      <c r="B70" s="3">
        <v>7.0</v>
      </c>
      <c r="C70" s="3">
        <v>18.0</v>
      </c>
      <c r="D70" s="4">
        <v>51.584951940728</v>
      </c>
      <c r="E70" s="4">
        <v>-0.2171601150367</v>
      </c>
      <c r="F70" s="3" t="s">
        <v>62</v>
      </c>
      <c r="G70" s="3" t="s">
        <v>63</v>
      </c>
      <c r="H70" s="6" t="s">
        <v>182</v>
      </c>
      <c r="I70" s="6">
        <v>4989.0</v>
      </c>
      <c r="J70" s="7" t="str">
        <f>IFERROR(__xludf.DUMMYFUNCTION("IF(AND(REGEXMATCH($H70,""50( ?['fF]([oO]{2})?[tT]?)?( ?[eE][rR]{2}[oO][rR])"")=FALSE,$H70&lt;&gt;"""",$I70&lt;&gt;""""),HYPERLINK(""https://www.munzee.com/m/""&amp;$H70&amp;""/""&amp;$I70&amp;""/map/?lat=""&amp;$D70&amp;""&amp;lon=""&amp;$E70&amp;""&amp;type=""&amp;$F70&amp;""&amp;name=""&amp;SUBSTITUTE($A70,""#"",""%23"""&amp;"),$H70&amp;""/""&amp;$I70),IF($H70&lt;&gt;"""",IF(REGEXMATCH($H70,""50( ?['fF]([oO]{2})?[tT]?)?( ?[eE][rR]{2}[oO][rR])""),HYPERLINK(""https://www.munzee.com/map/?sandbox=1&amp;lat=""&amp;$D70&amp;""&amp;lon=""&amp;$E70&amp;""&amp;name=""&amp;SUBSTITUTE($A70,""#"",""%23""),""SANDBOX""),HYPERLINK(""htt"&amp;"ps://www.munzee.com/m/""&amp;$H70&amp;""/deploys/0/type/""&amp;IFNA(VLOOKUP($F70,IMPORTRANGE(""https://docs.google.com/spreadsheets/d/1DliIGyDywdzxhd4svtjaewR0p9Y5UBTMNMQ2PcXsqss"",""type data!E2:F""),2,FALSE),$F70)&amp;""/"",$H70)),""""))"),"halaszkiraly/4989")</f>
        <v>halaszkiraly/4989</v>
      </c>
      <c r="K70" s="6" t="b">
        <v>1</v>
      </c>
      <c r="L70" s="6" t="s">
        <v>183</v>
      </c>
      <c r="M70" s="9">
        <f t="shared" si="1"/>
        <v>1</v>
      </c>
    </row>
    <row r="71">
      <c r="A71" s="3" t="s">
        <v>184</v>
      </c>
      <c r="B71" s="3">
        <v>8.0</v>
      </c>
      <c r="C71" s="3">
        <v>3.0</v>
      </c>
      <c r="D71" s="4">
        <v>51.5848082136925</v>
      </c>
      <c r="E71" s="4">
        <v>-0.2206299053943</v>
      </c>
      <c r="F71" s="3" t="s">
        <v>44</v>
      </c>
      <c r="G71" s="3" t="s">
        <v>45</v>
      </c>
      <c r="H71" s="6" t="s">
        <v>55</v>
      </c>
      <c r="I71" s="6">
        <v>758.0</v>
      </c>
      <c r="J71" s="7" t="str">
        <f>IFERROR(__xludf.DUMMYFUNCTION("IF(AND(REGEXMATCH($H71,""50( ?['fF]([oO]{2})?[tT]?)?( ?[eE][rR]{2}[oO][rR])"")=FALSE,$H71&lt;&gt;"""",$I71&lt;&gt;""""),HYPERLINK(""https://www.munzee.com/m/""&amp;$H71&amp;""/""&amp;$I71&amp;""/map/?lat=""&amp;$D71&amp;""&amp;lon=""&amp;$E71&amp;""&amp;type=""&amp;$F71&amp;""&amp;name=""&amp;SUBSTITUTE($A71,""#"",""%23"""&amp;"),$H71&amp;""/""&amp;$I71),IF($H71&lt;&gt;"""",IF(REGEXMATCH($H71,""50( ?['fF]([oO]{2})?[tT]?)?( ?[eE][rR]{2}[oO][rR])""),HYPERLINK(""https://www.munzee.com/map/?sandbox=1&amp;lat=""&amp;$D71&amp;""&amp;lon=""&amp;$E71&amp;""&amp;name=""&amp;SUBSTITUTE($A71,""#"",""%23""),""SANDBOX""),HYPERLINK(""htt"&amp;"ps://www.munzee.com/m/""&amp;$H71&amp;""/deploys/0/type/""&amp;IFNA(VLOOKUP($F71,IMPORTRANGE(""https://docs.google.com/spreadsheets/d/1DliIGyDywdzxhd4svtjaewR0p9Y5UBTMNMQ2PcXsqss"",""type data!E2:F""),2,FALSE),$F71)&amp;""/"",$H71)),""""))"),"SzymcioT/758")</f>
        <v>SzymcioT/758</v>
      </c>
      <c r="K71" s="6" t="b">
        <v>1</v>
      </c>
      <c r="L71" s="9"/>
      <c r="M71" s="9">
        <f t="shared" si="1"/>
        <v>6</v>
      </c>
    </row>
    <row r="72">
      <c r="A72" s="3" t="s">
        <v>185</v>
      </c>
      <c r="B72" s="3">
        <v>8.0</v>
      </c>
      <c r="C72" s="3">
        <v>4.0</v>
      </c>
      <c r="D72" s="4">
        <v>51.5848082134652</v>
      </c>
      <c r="E72" s="4">
        <v>-0.2203985878419</v>
      </c>
      <c r="F72" s="3" t="s">
        <v>81</v>
      </c>
      <c r="G72" s="3" t="s">
        <v>82</v>
      </c>
      <c r="H72" s="6" t="s">
        <v>186</v>
      </c>
      <c r="I72" s="6">
        <v>866.0</v>
      </c>
      <c r="J72" s="7" t="str">
        <f>IFERROR(__xludf.DUMMYFUNCTION("IF(AND(REGEXMATCH($H72,""50( ?['fF]([oO]{2})?[tT]?)?( ?[eE][rR]{2}[oO][rR])"")=FALSE,$H72&lt;&gt;"""",$I72&lt;&gt;""""),HYPERLINK(""https://www.munzee.com/m/""&amp;$H72&amp;""/""&amp;$I72&amp;""/map/?lat=""&amp;$D72&amp;""&amp;lon=""&amp;$E72&amp;""&amp;type=""&amp;$F72&amp;""&amp;name=""&amp;SUBSTITUTE($A72,""#"",""%23"""&amp;"),$H72&amp;""/""&amp;$I72),IF($H72&lt;&gt;"""",IF(REGEXMATCH($H72,""50( ?['fF]([oO]{2})?[tT]?)?( ?[eE][rR]{2}[oO][rR])""),HYPERLINK(""https://www.munzee.com/map/?sandbox=1&amp;lat=""&amp;$D72&amp;""&amp;lon=""&amp;$E72&amp;""&amp;name=""&amp;SUBSTITUTE($A72,""#"",""%23""),""SANDBOX""),HYPERLINK(""htt"&amp;"ps://www.munzee.com/m/""&amp;$H72&amp;""/deploys/0/type/""&amp;IFNA(VLOOKUP($F72,IMPORTRANGE(""https://docs.google.com/spreadsheets/d/1DliIGyDywdzxhd4svtjaewR0p9Y5UBTMNMQ2PcXsqss"",""type data!E2:F""),2,FALSE),$F72)&amp;""/"",$H72)),""""))"),"nbtzyy2/866")</f>
        <v>nbtzyy2/866</v>
      </c>
      <c r="K72" s="6" t="b">
        <v>1</v>
      </c>
      <c r="L72" s="9"/>
      <c r="M72" s="9">
        <f t="shared" si="1"/>
        <v>1</v>
      </c>
    </row>
    <row r="73">
      <c r="A73" s="3" t="s">
        <v>187</v>
      </c>
      <c r="B73" s="3">
        <v>8.0</v>
      </c>
      <c r="C73" s="3">
        <v>5.0</v>
      </c>
      <c r="D73" s="4">
        <v>51.5848082132379</v>
      </c>
      <c r="E73" s="4">
        <v>-0.2201672702896</v>
      </c>
      <c r="F73" s="3" t="s">
        <v>97</v>
      </c>
      <c r="G73" s="3" t="s">
        <v>98</v>
      </c>
      <c r="H73" s="6" t="s">
        <v>179</v>
      </c>
      <c r="I73" s="6">
        <v>25508.0</v>
      </c>
      <c r="J73" s="7" t="str">
        <f>IFERROR(__xludf.DUMMYFUNCTION("IF(AND(REGEXMATCH($H73,""50( ?['fF]([oO]{2})?[tT]?)?( ?[eE][rR]{2}[oO][rR])"")=FALSE,$H73&lt;&gt;"""",$I73&lt;&gt;""""),HYPERLINK(""https://www.munzee.com/m/""&amp;$H73&amp;""/""&amp;$I73&amp;""/map/?lat=""&amp;$D73&amp;""&amp;lon=""&amp;$E73&amp;""&amp;type=""&amp;$F73&amp;""&amp;name=""&amp;SUBSTITUTE($A73,""#"",""%23"""&amp;"),$H73&amp;""/""&amp;$I73),IF($H73&lt;&gt;"""",IF(REGEXMATCH($H73,""50( ?['fF]([oO]{2})?[tT]?)?( ?[eE][rR]{2}[oO][rR])""),HYPERLINK(""https://www.munzee.com/map/?sandbox=1&amp;lat=""&amp;$D73&amp;""&amp;lon=""&amp;$E73&amp;""&amp;name=""&amp;SUBSTITUTE($A73,""#"",""%23""),""SANDBOX""),HYPERLINK(""htt"&amp;"ps://www.munzee.com/m/""&amp;$H73&amp;""/deploys/0/type/""&amp;IFNA(VLOOKUP($F73,IMPORTRANGE(""https://docs.google.com/spreadsheets/d/1DliIGyDywdzxhd4svtjaewR0p9Y5UBTMNMQ2PcXsqss"",""type data!E2:F""),2,FALSE),$F73)&amp;""/"",$H73)),""""))"),"WanderingAus/25508")</f>
        <v>WanderingAus/25508</v>
      </c>
      <c r="K73" s="6" t="b">
        <v>1</v>
      </c>
      <c r="L73" s="9"/>
      <c r="M73" s="9">
        <f t="shared" si="1"/>
        <v>10</v>
      </c>
    </row>
    <row r="74">
      <c r="A74" s="3" t="s">
        <v>188</v>
      </c>
      <c r="B74" s="3">
        <v>8.0</v>
      </c>
      <c r="C74" s="3">
        <v>6.0</v>
      </c>
      <c r="D74" s="4">
        <v>51.5848082130105</v>
      </c>
      <c r="E74" s="4">
        <v>-0.2199359527373</v>
      </c>
      <c r="F74" s="3" t="s">
        <v>140</v>
      </c>
      <c r="G74" s="3" t="s">
        <v>141</v>
      </c>
      <c r="H74" s="6" t="s">
        <v>189</v>
      </c>
      <c r="I74" s="6">
        <v>1724.0</v>
      </c>
      <c r="J74" s="7" t="str">
        <f>IFERROR(__xludf.DUMMYFUNCTION("IF(AND(REGEXMATCH($H74,""50( ?['fF]([oO]{2})?[tT]?)?( ?[eE][rR]{2}[oO][rR])"")=FALSE,$H74&lt;&gt;"""",$I74&lt;&gt;""""),HYPERLINK(""https://www.munzee.com/m/""&amp;$H74&amp;""/""&amp;$I74&amp;""/map/?lat=""&amp;$D74&amp;""&amp;lon=""&amp;$E74&amp;""&amp;type=""&amp;$F74&amp;""&amp;name=""&amp;SUBSTITUTE($A74,""#"",""%23"""&amp;"),$H74&amp;""/""&amp;$I74),IF($H74&lt;&gt;"""",IF(REGEXMATCH($H74,""50( ?['fF]([oO]{2})?[tT]?)?( ?[eE][rR]{2}[oO][rR])""),HYPERLINK(""https://www.munzee.com/map/?sandbox=1&amp;lat=""&amp;$D74&amp;""&amp;lon=""&amp;$E74&amp;""&amp;name=""&amp;SUBSTITUTE($A74,""#"",""%23""),""SANDBOX""),HYPERLINK(""htt"&amp;"ps://www.munzee.com/m/""&amp;$H74&amp;""/deploys/0/type/""&amp;IFNA(VLOOKUP($F74,IMPORTRANGE(""https://docs.google.com/spreadsheets/d/1DliIGyDywdzxhd4svtjaewR0p9Y5UBTMNMQ2PcXsqss"",""type data!E2:F""),2,FALSE),$F74)&amp;""/"",$H74)),""""))"),"Moppett85/1724")</f>
        <v>Moppett85/1724</v>
      </c>
      <c r="K74" s="6" t="b">
        <v>1</v>
      </c>
      <c r="L74" s="9"/>
      <c r="M74" s="9">
        <f t="shared" si="1"/>
        <v>1</v>
      </c>
    </row>
    <row r="75">
      <c r="A75" s="3" t="s">
        <v>190</v>
      </c>
      <c r="B75" s="3">
        <v>8.0</v>
      </c>
      <c r="C75" s="3">
        <v>7.0</v>
      </c>
      <c r="D75" s="4">
        <v>51.5848082127832</v>
      </c>
      <c r="E75" s="4">
        <v>-0.2197046351849</v>
      </c>
      <c r="F75" s="3" t="s">
        <v>173</v>
      </c>
      <c r="G75" s="3" t="s">
        <v>174</v>
      </c>
      <c r="H75" s="6" t="s">
        <v>191</v>
      </c>
      <c r="I75" s="6">
        <v>3629.0</v>
      </c>
      <c r="J75" s="7" t="str">
        <f>IFERROR(__xludf.DUMMYFUNCTION("IF(AND(REGEXMATCH($H75,""50( ?['fF]([oO]{2})?[tT]?)?( ?[eE][rR]{2}[oO][rR])"")=FALSE,$H75&lt;&gt;"""",$I75&lt;&gt;""""),HYPERLINK(""https://www.munzee.com/m/""&amp;$H75&amp;""/""&amp;$I75&amp;""/map/?lat=""&amp;$D75&amp;""&amp;lon=""&amp;$E75&amp;""&amp;type=""&amp;$F75&amp;""&amp;name=""&amp;SUBSTITUTE($A75,""#"",""%23"""&amp;"),$H75&amp;""/""&amp;$I75),IF($H75&lt;&gt;"""",IF(REGEXMATCH($H75,""50( ?['fF]([oO]{2})?[tT]?)?( ?[eE][rR]{2}[oO][rR])""),HYPERLINK(""https://www.munzee.com/map/?sandbox=1&amp;lat=""&amp;$D75&amp;""&amp;lon=""&amp;$E75&amp;""&amp;name=""&amp;SUBSTITUTE($A75,""#"",""%23""),""SANDBOX""),HYPERLINK(""htt"&amp;"ps://www.munzee.com/m/""&amp;$H75&amp;""/deploys/0/type/""&amp;IFNA(VLOOKUP($F75,IMPORTRANGE(""https://docs.google.com/spreadsheets/d/1DliIGyDywdzxhd4svtjaewR0p9Y5UBTMNMQ2PcXsqss"",""type data!E2:F""),2,FALSE),$F75)&amp;""/"",$H75)),""""))"),"92Supercoupe/3629")</f>
        <v>92Supercoupe/3629</v>
      </c>
      <c r="K75" s="6" t="b">
        <v>1</v>
      </c>
      <c r="L75" s="16" t="s">
        <v>192</v>
      </c>
      <c r="M75" s="9">
        <f t="shared" si="1"/>
        <v>3</v>
      </c>
    </row>
    <row r="76">
      <c r="A76" s="3" t="s">
        <v>193</v>
      </c>
      <c r="B76" s="3">
        <v>8.0</v>
      </c>
      <c r="C76" s="3">
        <v>8.0</v>
      </c>
      <c r="D76" s="4">
        <v>51.5848082125559</v>
      </c>
      <c r="E76" s="4">
        <v>-0.2194733176326</v>
      </c>
      <c r="F76" s="3" t="s">
        <v>29</v>
      </c>
      <c r="G76" s="3" t="s">
        <v>30</v>
      </c>
      <c r="H76" s="6" t="s">
        <v>31</v>
      </c>
      <c r="I76" s="6">
        <v>9903.0</v>
      </c>
      <c r="J76" s="7" t="str">
        <f>IFERROR(__xludf.DUMMYFUNCTION("IF(AND(REGEXMATCH($H76,""50( ?['fF]([oO]{2})?[tT]?)?( ?[eE][rR]{2}[oO][rR])"")=FALSE,$H76&lt;&gt;"""",$I76&lt;&gt;""""),HYPERLINK(""https://www.munzee.com/m/""&amp;$H76&amp;""/""&amp;$I76&amp;""/map/?lat=""&amp;$D76&amp;""&amp;lon=""&amp;$E76&amp;""&amp;type=""&amp;$F76&amp;""&amp;name=""&amp;SUBSTITUTE($A76,""#"",""%23"""&amp;"),$H76&amp;""/""&amp;$I76),IF($H76&lt;&gt;"""",IF(REGEXMATCH($H76,""50( ?['fF]([oO]{2})?[tT]?)?( ?[eE][rR]{2}[oO][rR])""),HYPERLINK(""https://www.munzee.com/map/?sandbox=1&amp;lat=""&amp;$D76&amp;""&amp;lon=""&amp;$E76&amp;""&amp;name=""&amp;SUBSTITUTE($A76,""#"",""%23""),""SANDBOX""),HYPERLINK(""htt"&amp;"ps://www.munzee.com/m/""&amp;$H76&amp;""/deploys/0/type/""&amp;IFNA(VLOOKUP($F76,IMPORTRANGE(""https://docs.google.com/spreadsheets/d/1DliIGyDywdzxhd4svtjaewR0p9Y5UBTMNMQ2PcXsqss"",""type data!E2:F""),2,FALSE),$F76)&amp;""/"",$H76)),""""))"),"munzeeprof/9903")</f>
        <v>munzeeprof/9903</v>
      </c>
      <c r="K76" s="6" t="b">
        <v>1</v>
      </c>
      <c r="L76" s="6"/>
      <c r="M76" s="9">
        <f t="shared" si="1"/>
        <v>3</v>
      </c>
    </row>
    <row r="77">
      <c r="A77" s="3" t="s">
        <v>194</v>
      </c>
      <c r="B77" s="3">
        <v>8.0</v>
      </c>
      <c r="C77" s="3">
        <v>9.0</v>
      </c>
      <c r="D77" s="4">
        <v>51.5848082123285</v>
      </c>
      <c r="E77" s="4">
        <v>-0.2192420000803</v>
      </c>
      <c r="F77" s="3" t="s">
        <v>165</v>
      </c>
      <c r="G77" s="3" t="s">
        <v>166</v>
      </c>
      <c r="H77" s="6" t="s">
        <v>23</v>
      </c>
      <c r="I77" s="6">
        <v>262.0</v>
      </c>
      <c r="J77" s="7" t="str">
        <f>IFERROR(__xludf.DUMMYFUNCTION("IF(AND(REGEXMATCH($H77,""50( ?['fF]([oO]{2})?[tT]?)?( ?[eE][rR]{2}[oO][rR])"")=FALSE,$H77&lt;&gt;"""",$I77&lt;&gt;""""),HYPERLINK(""https://www.munzee.com/m/""&amp;$H77&amp;""/""&amp;$I77&amp;""/map/?lat=""&amp;$D77&amp;""&amp;lon=""&amp;$E77&amp;""&amp;type=""&amp;$F77&amp;""&amp;name=""&amp;SUBSTITUTE($A77,""#"",""%23"""&amp;"),$H77&amp;""/""&amp;$I77),IF($H77&lt;&gt;"""",IF(REGEXMATCH($H77,""50( ?['fF]([oO]{2})?[tT]?)?( ?[eE][rR]{2}[oO][rR])""),HYPERLINK(""https://www.munzee.com/map/?sandbox=1&amp;lat=""&amp;$D77&amp;""&amp;lon=""&amp;$E77&amp;""&amp;name=""&amp;SUBSTITUTE($A77,""#"",""%23""),""SANDBOX""),HYPERLINK(""htt"&amp;"ps://www.munzee.com/m/""&amp;$H77&amp;""/deploys/0/type/""&amp;IFNA(VLOOKUP($F77,IMPORTRANGE(""https://docs.google.com/spreadsheets/d/1DliIGyDywdzxhd4svtjaewR0p9Y5UBTMNMQ2PcXsqss"",""type data!E2:F""),2,FALSE),$F77)&amp;""/"",$H77)),""""))"),"MrBarnard/262")</f>
        <v>MrBarnard/262</v>
      </c>
      <c r="K77" s="6" t="b">
        <v>1</v>
      </c>
      <c r="L77" s="9"/>
      <c r="M77" s="9">
        <f t="shared" si="1"/>
        <v>2</v>
      </c>
    </row>
    <row r="78">
      <c r="A78" s="3" t="s">
        <v>195</v>
      </c>
      <c r="B78" s="3">
        <v>8.0</v>
      </c>
      <c r="C78" s="3">
        <v>10.0</v>
      </c>
      <c r="D78" s="4">
        <v>51.5848082121012</v>
      </c>
      <c r="E78" s="4">
        <v>-0.2190106825279</v>
      </c>
      <c r="F78" s="3" t="s">
        <v>196</v>
      </c>
      <c r="G78" s="3" t="s">
        <v>197</v>
      </c>
      <c r="H78" s="6" t="s">
        <v>198</v>
      </c>
      <c r="I78" s="6">
        <v>1278.0</v>
      </c>
      <c r="J78" s="7" t="str">
        <f>IFERROR(__xludf.DUMMYFUNCTION("IF(AND(REGEXMATCH($H78,""50( ?['fF]([oO]{2})?[tT]?)?( ?[eE][rR]{2}[oO][rR])"")=FALSE,$H78&lt;&gt;"""",$I78&lt;&gt;""""),HYPERLINK(""https://www.munzee.com/m/""&amp;$H78&amp;""/""&amp;$I78&amp;""/map/?lat=""&amp;$D78&amp;""&amp;lon=""&amp;$E78&amp;""&amp;type=""&amp;$F78&amp;""&amp;name=""&amp;SUBSTITUTE($A78,""#"",""%23"""&amp;"),$H78&amp;""/""&amp;$I78),IF($H78&lt;&gt;"""",IF(REGEXMATCH($H78,""50( ?['fF]([oO]{2})?[tT]?)?( ?[eE][rR]{2}[oO][rR])""),HYPERLINK(""https://www.munzee.com/map/?sandbox=1&amp;lat=""&amp;$D78&amp;""&amp;lon=""&amp;$E78&amp;""&amp;name=""&amp;SUBSTITUTE($A78,""#"",""%23""),""SANDBOX""),HYPERLINK(""htt"&amp;"ps://www.munzee.com/m/""&amp;$H78&amp;""/deploys/0/type/""&amp;IFNA(VLOOKUP($F78,IMPORTRANGE(""https://docs.google.com/spreadsheets/d/1DliIGyDywdzxhd4svtjaewR0p9Y5UBTMNMQ2PcXsqss"",""type data!E2:F""),2,FALSE),$F78)&amp;""/"",$H78)),""""))"),"iScreamBIue/1278")</f>
        <v>iScreamBIue/1278</v>
      </c>
      <c r="K78" s="6" t="b">
        <v>1</v>
      </c>
      <c r="L78" s="9"/>
      <c r="M78" s="9">
        <f t="shared" si="1"/>
        <v>2</v>
      </c>
    </row>
    <row r="79">
      <c r="A79" s="3" t="s">
        <v>199</v>
      </c>
      <c r="B79" s="3">
        <v>8.0</v>
      </c>
      <c r="C79" s="3">
        <v>11.0</v>
      </c>
      <c r="D79" s="4">
        <v>51.5848082118739</v>
      </c>
      <c r="E79" s="4">
        <v>-0.2187793649756</v>
      </c>
      <c r="F79" s="3" t="s">
        <v>200</v>
      </c>
      <c r="G79" s="3" t="s">
        <v>201</v>
      </c>
      <c r="H79" s="6" t="s">
        <v>202</v>
      </c>
      <c r="I79" s="6">
        <v>4277.0</v>
      </c>
      <c r="J79" s="7" t="str">
        <f>IFERROR(__xludf.DUMMYFUNCTION("IF(AND(REGEXMATCH($H79,""50( ?['fF]([oO]{2})?[tT]?)?( ?[eE][rR]{2}[oO][rR])"")=FALSE,$H79&lt;&gt;"""",$I79&lt;&gt;""""),HYPERLINK(""https://www.munzee.com/m/""&amp;$H79&amp;""/""&amp;$I79&amp;""/map/?lat=""&amp;$D79&amp;""&amp;lon=""&amp;$E79&amp;""&amp;type=""&amp;$F79&amp;""&amp;name=""&amp;SUBSTITUTE($A79,""#"",""%23"""&amp;"),$H79&amp;""/""&amp;$I79),IF($H79&lt;&gt;"""",IF(REGEXMATCH($H79,""50( ?['fF]([oO]{2})?[tT]?)?( ?[eE][rR]{2}[oO][rR])""),HYPERLINK(""https://www.munzee.com/map/?sandbox=1&amp;lat=""&amp;$D79&amp;""&amp;lon=""&amp;$E79&amp;""&amp;name=""&amp;SUBSTITUTE($A79,""#"",""%23""),""SANDBOX""),HYPERLINK(""htt"&amp;"ps://www.munzee.com/m/""&amp;$H79&amp;""/deploys/0/type/""&amp;IFNA(VLOOKUP($F79,IMPORTRANGE(""https://docs.google.com/spreadsheets/d/1DliIGyDywdzxhd4svtjaewR0p9Y5UBTMNMQ2PcXsqss"",""type data!E2:F""),2,FALSE),$F79)&amp;""/"",$H79)),""""))"),"Babydane/4277")</f>
        <v>Babydane/4277</v>
      </c>
      <c r="K79" s="6" t="b">
        <v>1</v>
      </c>
      <c r="L79" s="6"/>
      <c r="M79" s="9">
        <f t="shared" si="1"/>
        <v>1</v>
      </c>
    </row>
    <row r="80">
      <c r="A80" s="3" t="s">
        <v>203</v>
      </c>
      <c r="B80" s="3">
        <v>8.0</v>
      </c>
      <c r="C80" s="3">
        <v>12.0</v>
      </c>
      <c r="D80" s="4">
        <v>51.5848082116465</v>
      </c>
      <c r="E80" s="4">
        <v>-0.2185480474233</v>
      </c>
      <c r="F80" s="3" t="s">
        <v>196</v>
      </c>
      <c r="G80" s="3" t="s">
        <v>197</v>
      </c>
      <c r="H80" s="6" t="s">
        <v>204</v>
      </c>
      <c r="I80" s="6">
        <v>4107.0</v>
      </c>
      <c r="J80" s="7" t="str">
        <f>IFERROR(__xludf.DUMMYFUNCTION("IF(AND(REGEXMATCH($H80,""50( ?['fF]([oO]{2})?[tT]?)?( ?[eE][rR]{2}[oO][rR])"")=FALSE,$H80&lt;&gt;"""",$I80&lt;&gt;""""),HYPERLINK(""https://www.munzee.com/m/""&amp;$H80&amp;""/""&amp;$I80&amp;""/map/?lat=""&amp;$D80&amp;""&amp;lon=""&amp;$E80&amp;""&amp;type=""&amp;$F80&amp;""&amp;name=""&amp;SUBSTITUTE($A80,""#"",""%23"""&amp;"),$H80&amp;""/""&amp;$I80),IF($H80&lt;&gt;"""",IF(REGEXMATCH($H80,""50( ?['fF]([oO]{2})?[tT]?)?( ?[eE][rR]{2}[oO][rR])""),HYPERLINK(""https://www.munzee.com/map/?sandbox=1&amp;lat=""&amp;$D80&amp;""&amp;lon=""&amp;$E80&amp;""&amp;name=""&amp;SUBSTITUTE($A80,""#"",""%23""),""SANDBOX""),HYPERLINK(""htt"&amp;"ps://www.munzee.com/m/""&amp;$H80&amp;""/deploys/0/type/""&amp;IFNA(VLOOKUP($F80,IMPORTRANGE(""https://docs.google.com/spreadsheets/d/1DliIGyDywdzxhd4svtjaewR0p9Y5UBTMNMQ2PcXsqss"",""type data!E2:F""),2,FALSE),$F80)&amp;""/"",$H80)),""""))"),"heathcote07/4107")</f>
        <v>heathcote07/4107</v>
      </c>
      <c r="K80" s="6" t="b">
        <v>1</v>
      </c>
      <c r="L80" s="9"/>
      <c r="M80" s="9">
        <f t="shared" si="1"/>
        <v>2</v>
      </c>
    </row>
    <row r="81">
      <c r="A81" s="3" t="s">
        <v>205</v>
      </c>
      <c r="B81" s="3">
        <v>8.0</v>
      </c>
      <c r="C81" s="3">
        <v>13.0</v>
      </c>
      <c r="D81" s="4">
        <v>51.5848082114192</v>
      </c>
      <c r="E81" s="4">
        <v>-0.2183167298709</v>
      </c>
      <c r="F81" s="3" t="s">
        <v>165</v>
      </c>
      <c r="G81" s="3" t="s">
        <v>166</v>
      </c>
      <c r="H81" s="6" t="s">
        <v>206</v>
      </c>
      <c r="I81" s="6">
        <v>7495.0</v>
      </c>
      <c r="J81" s="7" t="str">
        <f>IFERROR(__xludf.DUMMYFUNCTION("IF(AND(REGEXMATCH($H81,""50( ?['fF]([oO]{2})?[tT]?)?( ?[eE][rR]{2}[oO][rR])"")=FALSE,$H81&lt;&gt;"""",$I81&lt;&gt;""""),HYPERLINK(""https://www.munzee.com/m/""&amp;$H81&amp;""/""&amp;$I81&amp;""/map/?lat=""&amp;$D81&amp;""&amp;lon=""&amp;$E81&amp;""&amp;type=""&amp;$F81&amp;""&amp;name=""&amp;SUBSTITUTE($A81,""#"",""%23"""&amp;"),$H81&amp;""/""&amp;$I81),IF($H81&lt;&gt;"""",IF(REGEXMATCH($H81,""50( ?['fF]([oO]{2})?[tT]?)?( ?[eE][rR]{2}[oO][rR])""),HYPERLINK(""https://www.munzee.com/map/?sandbox=1&amp;lat=""&amp;$D81&amp;""&amp;lon=""&amp;$E81&amp;""&amp;name=""&amp;SUBSTITUTE($A81,""#"",""%23""),""SANDBOX""),HYPERLINK(""htt"&amp;"ps://www.munzee.com/m/""&amp;$H81&amp;""/deploys/0/type/""&amp;IFNA(VLOOKUP($F81,IMPORTRANGE(""https://docs.google.com/spreadsheets/d/1DliIGyDywdzxhd4svtjaewR0p9Y5UBTMNMQ2PcXsqss"",""type data!E2:F""),2,FALSE),$F81)&amp;""/"",$H81)),""""))"),"NYBOSS/7495")</f>
        <v>NYBOSS/7495</v>
      </c>
      <c r="K81" s="6" t="b">
        <v>1</v>
      </c>
      <c r="L81" s="9"/>
      <c r="M81" s="9">
        <f t="shared" si="1"/>
        <v>2</v>
      </c>
    </row>
    <row r="82">
      <c r="A82" s="3" t="s">
        <v>207</v>
      </c>
      <c r="B82" s="3">
        <v>8.0</v>
      </c>
      <c r="C82" s="3">
        <v>14.0</v>
      </c>
      <c r="D82" s="4">
        <v>51.5848082111919</v>
      </c>
      <c r="E82" s="4">
        <v>-0.2180854123186</v>
      </c>
      <c r="F82" s="3" t="s">
        <v>29</v>
      </c>
      <c r="G82" s="3" t="s">
        <v>30</v>
      </c>
      <c r="H82" s="17" t="s">
        <v>208</v>
      </c>
      <c r="I82" s="6">
        <v>6435.0</v>
      </c>
      <c r="J82" s="7" t="str">
        <f>IFERROR(__xludf.DUMMYFUNCTION("IF(AND(REGEXMATCH($H82,""50( ?['fF]([oO]{2})?[tT]?)?( ?[eE][rR]{2}[oO][rR])"")=FALSE,$H82&lt;&gt;"""",$I82&lt;&gt;""""),HYPERLINK(""https://www.munzee.com/m/""&amp;$H82&amp;""/""&amp;$I82&amp;""/map/?lat=""&amp;$D82&amp;""&amp;lon=""&amp;$E82&amp;""&amp;type=""&amp;$F82&amp;""&amp;name=""&amp;SUBSTITUTE($A82,""#"",""%23"""&amp;"),$H82&amp;""/""&amp;$I82),IF($H82&lt;&gt;"""",IF(REGEXMATCH($H82,""50( ?['fF]([oO]{2})?[tT]?)?( ?[eE][rR]{2}[oO][rR])""),HYPERLINK(""https://www.munzee.com/map/?sandbox=1&amp;lat=""&amp;$D82&amp;""&amp;lon=""&amp;$E82&amp;""&amp;name=""&amp;SUBSTITUTE($A82,""#"",""%23""),""SANDBOX""),HYPERLINK(""htt"&amp;"ps://www.munzee.com/m/""&amp;$H82&amp;""/deploys/0/type/""&amp;IFNA(VLOOKUP($F82,IMPORTRANGE(""https://docs.google.com/spreadsheets/d/1DliIGyDywdzxhd4svtjaewR0p9Y5UBTMNMQ2PcXsqss"",""type data!E2:F""),2,FALSE),$F82)&amp;""/"",$H82)),""""))"),"janzattic/6435")</f>
        <v>janzattic/6435</v>
      </c>
      <c r="K82" s="6" t="b">
        <v>1</v>
      </c>
      <c r="L82" s="10"/>
      <c r="M82" s="9">
        <f t="shared" si="1"/>
        <v>2</v>
      </c>
    </row>
    <row r="83">
      <c r="A83" s="3" t="s">
        <v>209</v>
      </c>
      <c r="B83" s="3">
        <v>8.0</v>
      </c>
      <c r="C83" s="3">
        <v>15.0</v>
      </c>
      <c r="D83" s="4">
        <v>51.5848082109645</v>
      </c>
      <c r="E83" s="4">
        <v>-0.2178540947663</v>
      </c>
      <c r="F83" s="3" t="s">
        <v>160</v>
      </c>
      <c r="G83" s="3" t="s">
        <v>161</v>
      </c>
      <c r="H83" s="6" t="s">
        <v>210</v>
      </c>
      <c r="I83" s="6">
        <v>3578.0</v>
      </c>
      <c r="J83" s="7" t="str">
        <f>IFERROR(__xludf.DUMMYFUNCTION("IF(AND(REGEXMATCH($H83,""50( ?['fF]([oO]{2})?[tT]?)?( ?[eE][rR]{2}[oO][rR])"")=FALSE,$H83&lt;&gt;"""",$I83&lt;&gt;""""),HYPERLINK(""https://www.munzee.com/m/""&amp;$H83&amp;""/""&amp;$I83&amp;""/map/?lat=""&amp;$D83&amp;""&amp;lon=""&amp;$E83&amp;""&amp;type=""&amp;$F83&amp;""&amp;name=""&amp;SUBSTITUTE($A83,""#"",""%23"""&amp;"),$H83&amp;""/""&amp;$I83),IF($H83&lt;&gt;"""",IF(REGEXMATCH($H83,""50( ?['fF]([oO]{2})?[tT]?)?( ?[eE][rR]{2}[oO][rR])""),HYPERLINK(""https://www.munzee.com/map/?sandbox=1&amp;lat=""&amp;$D83&amp;""&amp;lon=""&amp;$E83&amp;""&amp;name=""&amp;SUBSTITUTE($A83,""#"",""%23""),""SANDBOX""),HYPERLINK(""htt"&amp;"ps://www.munzee.com/m/""&amp;$H83&amp;""/deploys/0/type/""&amp;IFNA(VLOOKUP($F83,IMPORTRANGE(""https://docs.google.com/spreadsheets/d/1DliIGyDywdzxhd4svtjaewR0p9Y5UBTMNMQ2PcXsqss"",""type data!E2:F""),2,FALSE),$F83)&amp;""/"",$H83)),""""))"),"crazycolorado/3578")</f>
        <v>crazycolorado/3578</v>
      </c>
      <c r="K83" s="6" t="b">
        <v>1</v>
      </c>
      <c r="L83" s="18" t="s">
        <v>211</v>
      </c>
      <c r="M83" s="9">
        <f t="shared" si="1"/>
        <v>1</v>
      </c>
    </row>
    <row r="84">
      <c r="A84" s="3" t="s">
        <v>212</v>
      </c>
      <c r="B84" s="3">
        <v>8.0</v>
      </c>
      <c r="C84" s="3">
        <v>16.0</v>
      </c>
      <c r="D84" s="4">
        <v>51.5848082107372</v>
      </c>
      <c r="E84" s="4">
        <v>-0.2176227772139</v>
      </c>
      <c r="F84" s="3" t="s">
        <v>126</v>
      </c>
      <c r="G84" s="3" t="s">
        <v>127</v>
      </c>
      <c r="H84" s="6" t="s">
        <v>99</v>
      </c>
      <c r="I84" s="6">
        <v>6090.0</v>
      </c>
      <c r="J84" s="7" t="str">
        <f>IFERROR(__xludf.DUMMYFUNCTION("IF(AND(REGEXMATCH($H84,""50( ?['fF]([oO]{2})?[tT]?)?( ?[eE][rR]{2}[oO][rR])"")=FALSE,$H84&lt;&gt;"""",$I84&lt;&gt;""""),HYPERLINK(""https://www.munzee.com/m/""&amp;$H84&amp;""/""&amp;$I84&amp;""/map/?lat=""&amp;$D84&amp;""&amp;lon=""&amp;$E84&amp;""&amp;type=""&amp;$F84&amp;""&amp;name=""&amp;SUBSTITUTE($A84,""#"",""%23"""&amp;"),$H84&amp;""/""&amp;$I84),IF($H84&lt;&gt;"""",IF(REGEXMATCH($H84,""50( ?['fF]([oO]{2})?[tT]?)?( ?[eE][rR]{2}[oO][rR])""),HYPERLINK(""https://www.munzee.com/map/?sandbox=1&amp;lat=""&amp;$D84&amp;""&amp;lon=""&amp;$E84&amp;""&amp;name=""&amp;SUBSTITUTE($A84,""#"",""%23""),""SANDBOX""),HYPERLINK(""htt"&amp;"ps://www.munzee.com/m/""&amp;$H84&amp;""/deploys/0/type/""&amp;IFNA(VLOOKUP($F84,IMPORTRANGE(""https://docs.google.com/spreadsheets/d/1DliIGyDywdzxhd4svtjaewR0p9Y5UBTMNMQ2PcXsqss"",""type data!E2:F""),2,FALSE),$F84)&amp;""/"",$H84)),""""))"),"Amadoreugen/6090")</f>
        <v>Amadoreugen/6090</v>
      </c>
      <c r="K84" s="6" t="b">
        <v>1</v>
      </c>
      <c r="L84" s="9"/>
      <c r="M84" s="9">
        <f t="shared" si="1"/>
        <v>7</v>
      </c>
    </row>
    <row r="85">
      <c r="A85" s="3" t="s">
        <v>213</v>
      </c>
      <c r="B85" s="3">
        <v>8.0</v>
      </c>
      <c r="C85" s="3">
        <v>17.0</v>
      </c>
      <c r="D85" s="4">
        <v>51.5848082105099</v>
      </c>
      <c r="E85" s="4">
        <v>-0.2173914596616</v>
      </c>
      <c r="F85" s="3" t="s">
        <v>97</v>
      </c>
      <c r="G85" s="3" t="s">
        <v>98</v>
      </c>
      <c r="H85" s="6" t="s">
        <v>214</v>
      </c>
      <c r="I85" s="6">
        <v>3659.0</v>
      </c>
      <c r="J85" s="7" t="str">
        <f>IFERROR(__xludf.DUMMYFUNCTION("IF(AND(REGEXMATCH($H85,""50( ?['fF]([oO]{2})?[tT]?)?( ?[eE][rR]{2}[oO][rR])"")=FALSE,$H85&lt;&gt;"""",$I85&lt;&gt;""""),HYPERLINK(""https://www.munzee.com/m/""&amp;$H85&amp;""/""&amp;$I85&amp;""/map/?lat=""&amp;$D85&amp;""&amp;lon=""&amp;$E85&amp;""&amp;type=""&amp;$F85&amp;""&amp;name=""&amp;SUBSTITUTE($A85,""#"",""%23"""&amp;"),$H85&amp;""/""&amp;$I85),IF($H85&lt;&gt;"""",IF(REGEXMATCH($H85,""50( ?['fF]([oO]{2})?[tT]?)?( ?[eE][rR]{2}[oO][rR])""),HYPERLINK(""https://www.munzee.com/map/?sandbox=1&amp;lat=""&amp;$D85&amp;""&amp;lon=""&amp;$E85&amp;""&amp;name=""&amp;SUBSTITUTE($A85,""#"",""%23""),""SANDBOX""),HYPERLINK(""htt"&amp;"ps://www.munzee.com/m/""&amp;$H85&amp;""/deploys/0/type/""&amp;IFNA(VLOOKUP($F85,IMPORTRANGE(""https://docs.google.com/spreadsheets/d/1DliIGyDywdzxhd4svtjaewR0p9Y5UBTMNMQ2PcXsqss"",""type data!E2:F""),2,FALSE),$F85)&amp;""/"",$H85)),""""))"),"KLC/3659")</f>
        <v>KLC/3659</v>
      </c>
      <c r="K85" s="6" t="b">
        <v>1</v>
      </c>
      <c r="L85" s="18" t="s">
        <v>215</v>
      </c>
      <c r="M85" s="9">
        <f t="shared" si="1"/>
        <v>1</v>
      </c>
    </row>
    <row r="86">
      <c r="A86" s="3" t="s">
        <v>216</v>
      </c>
      <c r="B86" s="3">
        <v>8.0</v>
      </c>
      <c r="C86" s="3">
        <v>18.0</v>
      </c>
      <c r="D86" s="4">
        <v>51.5848082102825</v>
      </c>
      <c r="E86" s="4">
        <v>-0.2171601421093</v>
      </c>
      <c r="F86" s="3" t="s">
        <v>62</v>
      </c>
      <c r="G86" s="3" t="s">
        <v>63</v>
      </c>
      <c r="H86" s="6" t="s">
        <v>217</v>
      </c>
      <c r="I86" s="6">
        <v>2990.0</v>
      </c>
      <c r="J86" s="7" t="str">
        <f>IFERROR(__xludf.DUMMYFUNCTION("IF(AND(REGEXMATCH($H86,""50( ?['fF]([oO]{2})?[tT]?)?( ?[eE][rR]{2}[oO][rR])"")=FALSE,$H86&lt;&gt;"""",$I86&lt;&gt;""""),HYPERLINK(""https://www.munzee.com/m/""&amp;$H86&amp;""/""&amp;$I86&amp;""/map/?lat=""&amp;$D86&amp;""&amp;lon=""&amp;$E86&amp;""&amp;type=""&amp;$F86&amp;""&amp;name=""&amp;SUBSTITUTE($A86,""#"",""%23"""&amp;"),$H86&amp;""/""&amp;$I86),IF($H86&lt;&gt;"""",IF(REGEXMATCH($H86,""50( ?['fF]([oO]{2})?[tT]?)?( ?[eE][rR]{2}[oO][rR])""),HYPERLINK(""https://www.munzee.com/map/?sandbox=1&amp;lat=""&amp;$D86&amp;""&amp;lon=""&amp;$E86&amp;""&amp;name=""&amp;SUBSTITUTE($A86,""#"",""%23""),""SANDBOX""),HYPERLINK(""htt"&amp;"ps://www.munzee.com/m/""&amp;$H86&amp;""/deploys/0/type/""&amp;IFNA(VLOOKUP($F86,IMPORTRANGE(""https://docs.google.com/spreadsheets/d/1DliIGyDywdzxhd4svtjaewR0p9Y5UBTMNMQ2PcXsqss"",""type data!E2:F""),2,FALSE),$F86)&amp;""/"",$H86)),""""))"),"Beermaven/2990")</f>
        <v>Beermaven/2990</v>
      </c>
      <c r="K86" s="6" t="b">
        <v>1</v>
      </c>
      <c r="L86" s="16" t="s">
        <v>218</v>
      </c>
      <c r="M86" s="9">
        <f t="shared" si="1"/>
        <v>4</v>
      </c>
    </row>
    <row r="87">
      <c r="A87" s="3" t="s">
        <v>219</v>
      </c>
      <c r="B87" s="3">
        <v>8.0</v>
      </c>
      <c r="C87" s="3">
        <v>19.0</v>
      </c>
      <c r="D87" s="4">
        <v>51.5848082100552</v>
      </c>
      <c r="E87" s="4">
        <v>-0.2169288245569</v>
      </c>
      <c r="F87" s="3" t="s">
        <v>44</v>
      </c>
      <c r="G87" s="3" t="s">
        <v>45</v>
      </c>
      <c r="H87" s="6" t="s">
        <v>57</v>
      </c>
      <c r="I87" s="11">
        <v>1937.0</v>
      </c>
      <c r="J87" s="7" t="str">
        <f>IFERROR(__xludf.DUMMYFUNCTION("IF(AND(REGEXMATCH($H87,""50( ?['fF]([oO]{2})?[tT]?)?( ?[eE][rR]{2}[oO][rR])"")=FALSE,$H87&lt;&gt;"""",$I87&lt;&gt;""""),HYPERLINK(""https://www.munzee.com/m/""&amp;$H87&amp;""/""&amp;$I87&amp;""/map/?lat=""&amp;$D87&amp;""&amp;lon=""&amp;$E87&amp;""&amp;type=""&amp;$F87&amp;""&amp;name=""&amp;SUBSTITUTE($A87,""#"",""%23"""&amp;"),$H87&amp;""/""&amp;$I87),IF($H87&lt;&gt;"""",IF(REGEXMATCH($H87,""50( ?['fF]([oO]{2})?[tT]?)?( ?[eE][rR]{2}[oO][rR])""),HYPERLINK(""https://www.munzee.com/map/?sandbox=1&amp;lat=""&amp;$D87&amp;""&amp;lon=""&amp;$E87&amp;""&amp;name=""&amp;SUBSTITUTE($A87,""#"",""%23""),""SANDBOX""),HYPERLINK(""htt"&amp;"ps://www.munzee.com/m/""&amp;$H87&amp;""/deploys/0/type/""&amp;IFNA(VLOOKUP($F87,IMPORTRANGE(""https://docs.google.com/spreadsheets/d/1DliIGyDywdzxhd4svtjaewR0p9Y5UBTMNMQ2PcXsqss"",""type data!E2:F""),2,FALSE),$F87)&amp;""/"",$H87)),""""))"),"technical13/1937")</f>
        <v>technical13/1937</v>
      </c>
      <c r="K87" s="6" t="b">
        <v>1</v>
      </c>
      <c r="L87" s="6"/>
      <c r="M87" s="9">
        <f t="shared" si="1"/>
        <v>5</v>
      </c>
    </row>
    <row r="88">
      <c r="A88" s="3" t="s">
        <v>220</v>
      </c>
      <c r="B88" s="3">
        <v>9.0</v>
      </c>
      <c r="C88" s="3">
        <v>2.0</v>
      </c>
      <c r="D88" s="4">
        <v>51.5846644834745</v>
      </c>
      <c r="E88" s="4">
        <v>-0.2208612383121</v>
      </c>
      <c r="F88" s="3" t="s">
        <v>25</v>
      </c>
      <c r="G88" s="3" t="s">
        <v>26</v>
      </c>
      <c r="H88" s="6" t="s">
        <v>221</v>
      </c>
      <c r="I88" s="6">
        <v>5469.0</v>
      </c>
      <c r="J88" s="7" t="str">
        <f>IFERROR(__xludf.DUMMYFUNCTION("IF(AND(REGEXMATCH($H88,""50( ?['fF]([oO]{2})?[tT]?)?( ?[eE][rR]{2}[oO][rR])"")=FALSE,$H88&lt;&gt;"""",$I88&lt;&gt;""""),HYPERLINK(""https://www.munzee.com/m/""&amp;$H88&amp;""/""&amp;$I88&amp;""/map/?lat=""&amp;$D88&amp;""&amp;lon=""&amp;$E88&amp;""&amp;type=""&amp;$F88&amp;""&amp;name=""&amp;SUBSTITUTE($A88,""#"",""%23"""&amp;"),$H88&amp;""/""&amp;$I88),IF($H88&lt;&gt;"""",IF(REGEXMATCH($H88,""50( ?['fF]([oO]{2})?[tT]?)?( ?[eE][rR]{2}[oO][rR])""),HYPERLINK(""https://www.munzee.com/map/?sandbox=1&amp;lat=""&amp;$D88&amp;""&amp;lon=""&amp;$E88&amp;""&amp;name=""&amp;SUBSTITUTE($A88,""#"",""%23""),""SANDBOX""),HYPERLINK(""htt"&amp;"ps://www.munzee.com/m/""&amp;$H88&amp;""/deploys/0/type/""&amp;IFNA(VLOOKUP($F88,IMPORTRANGE(""https://docs.google.com/spreadsheets/d/1DliIGyDywdzxhd4svtjaewR0p9Y5UBTMNMQ2PcXsqss"",""type data!E2:F""),2,FALSE),$F88)&amp;""/"",$H88)),""""))"),"Cachelady/5469")</f>
        <v>Cachelady/5469</v>
      </c>
      <c r="K88" s="6" t="b">
        <v>1</v>
      </c>
      <c r="L88" s="6"/>
      <c r="M88" s="9">
        <f t="shared" si="1"/>
        <v>1</v>
      </c>
    </row>
    <row r="89">
      <c r="A89" s="3" t="s">
        <v>222</v>
      </c>
      <c r="B89" s="3">
        <v>9.0</v>
      </c>
      <c r="C89" s="3">
        <v>3.0</v>
      </c>
      <c r="D89" s="4">
        <v>51.5846644832471</v>
      </c>
      <c r="E89" s="4">
        <v>-0.2206299214914</v>
      </c>
      <c r="F89" s="3" t="s">
        <v>44</v>
      </c>
      <c r="G89" s="3" t="s">
        <v>45</v>
      </c>
      <c r="H89" s="6" t="s">
        <v>223</v>
      </c>
      <c r="I89" s="6">
        <v>3854.0</v>
      </c>
      <c r="J89" s="7" t="str">
        <f>IFERROR(__xludf.DUMMYFUNCTION("IF(AND(REGEXMATCH($H89,""50( ?['fF]([oO]{2})?[tT]?)?( ?[eE][rR]{2}[oO][rR])"")=FALSE,$H89&lt;&gt;"""",$I89&lt;&gt;""""),HYPERLINK(""https://www.munzee.com/m/""&amp;$H89&amp;""/""&amp;$I89&amp;""/map/?lat=""&amp;$D89&amp;""&amp;lon=""&amp;$E89&amp;""&amp;type=""&amp;$F89&amp;""&amp;name=""&amp;SUBSTITUTE($A89,""#"",""%23"""&amp;"),$H89&amp;""/""&amp;$I89),IF($H89&lt;&gt;"""",IF(REGEXMATCH($H89,""50( ?['fF]([oO]{2})?[tT]?)?( ?[eE][rR]{2}[oO][rR])""),HYPERLINK(""https://www.munzee.com/map/?sandbox=1&amp;lat=""&amp;$D89&amp;""&amp;lon=""&amp;$E89&amp;""&amp;name=""&amp;SUBSTITUTE($A89,""#"",""%23""),""SANDBOX""),HYPERLINK(""htt"&amp;"ps://www.munzee.com/m/""&amp;$H89&amp;""/deploys/0/type/""&amp;IFNA(VLOOKUP($F89,IMPORTRANGE(""https://docs.google.com/spreadsheets/d/1DliIGyDywdzxhd4svtjaewR0p9Y5UBTMNMQ2PcXsqss"",""type data!E2:F""),2,FALSE),$F89)&amp;""/"",$H89)),""""))"),"ashthegeogenius/3854")</f>
        <v>ashthegeogenius/3854</v>
      </c>
      <c r="K89" s="9"/>
      <c r="L89" s="9"/>
      <c r="M89" s="9">
        <f t="shared" si="1"/>
        <v>1</v>
      </c>
    </row>
    <row r="90">
      <c r="A90" s="3" t="s">
        <v>224</v>
      </c>
      <c r="B90" s="3">
        <v>9.0</v>
      </c>
      <c r="C90" s="3">
        <v>4.0</v>
      </c>
      <c r="D90" s="4">
        <v>51.5846644830198</v>
      </c>
      <c r="E90" s="4">
        <v>-0.2203986046708</v>
      </c>
      <c r="F90" s="3" t="s">
        <v>70</v>
      </c>
      <c r="G90" s="3" t="s">
        <v>71</v>
      </c>
      <c r="H90" s="6" t="s">
        <v>57</v>
      </c>
      <c r="I90" s="11">
        <v>1922.0</v>
      </c>
      <c r="J90" s="7" t="str">
        <f>IFERROR(__xludf.DUMMYFUNCTION("IF(AND(REGEXMATCH($H90,""50( ?['fF]([oO]{2})?[tT]?)?( ?[eE][rR]{2}[oO][rR])"")=FALSE,$H90&lt;&gt;"""",$I90&lt;&gt;""""),HYPERLINK(""https://www.munzee.com/m/""&amp;$H90&amp;""/""&amp;$I90&amp;""/map/?lat=""&amp;$D90&amp;""&amp;lon=""&amp;$E90&amp;""&amp;type=""&amp;$F90&amp;""&amp;name=""&amp;SUBSTITUTE($A90,""#"",""%23"""&amp;"),$H90&amp;""/""&amp;$I90),IF($H90&lt;&gt;"""",IF(REGEXMATCH($H90,""50( ?['fF]([oO]{2})?[tT]?)?( ?[eE][rR]{2}[oO][rR])""),HYPERLINK(""https://www.munzee.com/map/?sandbox=1&amp;lat=""&amp;$D90&amp;""&amp;lon=""&amp;$E90&amp;""&amp;name=""&amp;SUBSTITUTE($A90,""#"",""%23""),""SANDBOX""),HYPERLINK(""htt"&amp;"ps://www.munzee.com/m/""&amp;$H90&amp;""/deploys/0/type/""&amp;IFNA(VLOOKUP($F90,IMPORTRANGE(""https://docs.google.com/spreadsheets/d/1DliIGyDywdzxhd4svtjaewR0p9Y5UBTMNMQ2PcXsqss"",""type data!E2:F""),2,FALSE),$F90)&amp;""/"",$H90)),""""))"),"technical13/1922")</f>
        <v>technical13/1922</v>
      </c>
      <c r="K90" s="6" t="b">
        <v>1</v>
      </c>
      <c r="L90" s="6"/>
      <c r="M90" s="9">
        <f t="shared" si="1"/>
        <v>5</v>
      </c>
    </row>
    <row r="91">
      <c r="A91" s="3" t="s">
        <v>225</v>
      </c>
      <c r="B91" s="3">
        <v>9.0</v>
      </c>
      <c r="C91" s="3">
        <v>5.0</v>
      </c>
      <c r="D91" s="4">
        <v>51.5846644827925</v>
      </c>
      <c r="E91" s="4">
        <v>-0.2201672878501</v>
      </c>
      <c r="F91" s="3" t="s">
        <v>29</v>
      </c>
      <c r="G91" s="3" t="s">
        <v>30</v>
      </c>
      <c r="H91" s="6" t="s">
        <v>226</v>
      </c>
      <c r="I91" s="6">
        <v>434.0</v>
      </c>
      <c r="J91" s="7" t="str">
        <f>IFERROR(__xludf.DUMMYFUNCTION("IF(AND(REGEXMATCH($H91,""50( ?['fF]([oO]{2})?[tT]?)?( ?[eE][rR]{2}[oO][rR])"")=FALSE,$H91&lt;&gt;"""",$I91&lt;&gt;""""),HYPERLINK(""https://www.munzee.com/m/""&amp;$H91&amp;""/""&amp;$I91&amp;""/map/?lat=""&amp;$D91&amp;""&amp;lon=""&amp;$E91&amp;""&amp;type=""&amp;$F91&amp;""&amp;name=""&amp;SUBSTITUTE($A91,""#"",""%23"""&amp;"),$H91&amp;""/""&amp;$I91),IF($H91&lt;&gt;"""",IF(REGEXMATCH($H91,""50( ?['fF]([oO]{2})?[tT]?)?( ?[eE][rR]{2}[oO][rR])""),HYPERLINK(""https://www.munzee.com/map/?sandbox=1&amp;lat=""&amp;$D91&amp;""&amp;lon=""&amp;$E91&amp;""&amp;name=""&amp;SUBSTITUTE($A91,""#"",""%23""),""SANDBOX""),HYPERLINK(""htt"&amp;"ps://www.munzee.com/m/""&amp;$H91&amp;""/deploys/0/type/""&amp;IFNA(VLOOKUP($F91,IMPORTRANGE(""https://docs.google.com/spreadsheets/d/1DliIGyDywdzxhd4svtjaewR0p9Y5UBTMNMQ2PcXsqss"",""type data!E2:F""),2,FALSE),$F91)&amp;""/"",$H91)),""""))"),"JemmaJ1983/434")</f>
        <v>JemmaJ1983/434</v>
      </c>
      <c r="K91" s="6" t="b">
        <v>1</v>
      </c>
      <c r="L91" s="19"/>
      <c r="M91" s="9">
        <f t="shared" si="1"/>
        <v>1</v>
      </c>
    </row>
    <row r="92">
      <c r="A92" s="3" t="s">
        <v>227</v>
      </c>
      <c r="B92" s="3">
        <v>9.0</v>
      </c>
      <c r="C92" s="3">
        <v>6.0</v>
      </c>
      <c r="D92" s="4">
        <v>51.5846644825651</v>
      </c>
      <c r="E92" s="4">
        <v>-0.2199359710295</v>
      </c>
      <c r="F92" s="3" t="s">
        <v>29</v>
      </c>
      <c r="G92" s="3" t="s">
        <v>30</v>
      </c>
      <c r="H92" s="6" t="s">
        <v>171</v>
      </c>
      <c r="I92" s="6">
        <v>901.0</v>
      </c>
      <c r="J92" s="7" t="str">
        <f>IFERROR(__xludf.DUMMYFUNCTION("IF(AND(REGEXMATCH($H92,""50( ?['fF]([oO]{2})?[tT]?)?( ?[eE][rR]{2}[oO][rR])"")=FALSE,$H92&lt;&gt;"""",$I92&lt;&gt;""""),HYPERLINK(""https://www.munzee.com/m/""&amp;$H92&amp;""/""&amp;$I92&amp;""/map/?lat=""&amp;$D92&amp;""&amp;lon=""&amp;$E92&amp;""&amp;type=""&amp;$F92&amp;""&amp;name=""&amp;SUBSTITUTE($A92,""#"",""%23"""&amp;"),$H92&amp;""/""&amp;$I92),IF($H92&lt;&gt;"""",IF(REGEXMATCH($H92,""50( ?['fF]([oO]{2})?[tT]?)?( ?[eE][rR]{2}[oO][rR])""),HYPERLINK(""https://www.munzee.com/map/?sandbox=1&amp;lat=""&amp;$D92&amp;""&amp;lon=""&amp;$E92&amp;""&amp;name=""&amp;SUBSTITUTE($A92,""#"",""%23""),""SANDBOX""),HYPERLINK(""htt"&amp;"ps://www.munzee.com/m/""&amp;$H92&amp;""/deploys/0/type/""&amp;IFNA(VLOOKUP($F92,IMPORTRANGE(""https://docs.google.com/spreadsheets/d/1DliIGyDywdzxhd4svtjaewR0p9Y5UBTMNMQ2PcXsqss"",""type data!E2:F""),2,FALSE),$F92)&amp;""/"",$H92)),""""))"),"klc1960/901")</f>
        <v>klc1960/901</v>
      </c>
      <c r="K92" s="6" t="b">
        <v>1</v>
      </c>
      <c r="L92" s="6"/>
      <c r="M92" s="9">
        <f t="shared" si="1"/>
        <v>6</v>
      </c>
    </row>
    <row r="93">
      <c r="A93" s="3" t="s">
        <v>228</v>
      </c>
      <c r="B93" s="3">
        <v>9.0</v>
      </c>
      <c r="C93" s="3">
        <v>7.0</v>
      </c>
      <c r="D93" s="4">
        <v>51.5846644823378</v>
      </c>
      <c r="E93" s="4">
        <v>-0.2197046542088</v>
      </c>
      <c r="F93" s="3" t="s">
        <v>29</v>
      </c>
      <c r="G93" s="3" t="s">
        <v>30</v>
      </c>
      <c r="H93" s="6" t="s">
        <v>229</v>
      </c>
      <c r="I93" s="6">
        <v>447.0</v>
      </c>
      <c r="J93" s="7" t="str">
        <f>IFERROR(__xludf.DUMMYFUNCTION("IF(AND(REGEXMATCH($H93,""50( ?['fF]([oO]{2})?[tT]?)?( ?[eE][rR]{2}[oO][rR])"")=FALSE,$H93&lt;&gt;"""",$I93&lt;&gt;""""),HYPERLINK(""https://www.munzee.com/m/""&amp;$H93&amp;""/""&amp;$I93&amp;""/map/?lat=""&amp;$D93&amp;""&amp;lon=""&amp;$E93&amp;""&amp;type=""&amp;$F93&amp;""&amp;name=""&amp;SUBSTITUTE($A93,""#"",""%23"""&amp;"),$H93&amp;""/""&amp;$I93),IF($H93&lt;&gt;"""",IF(REGEXMATCH($H93,""50( ?['fF]([oO]{2})?[tT]?)?( ?[eE][rR]{2}[oO][rR])""),HYPERLINK(""https://www.munzee.com/map/?sandbox=1&amp;lat=""&amp;$D93&amp;""&amp;lon=""&amp;$E93&amp;""&amp;name=""&amp;SUBSTITUTE($A93,""#"",""%23""),""SANDBOX""),HYPERLINK(""htt"&amp;"ps://www.munzee.com/m/""&amp;$H93&amp;""/deploys/0/type/""&amp;IFNA(VLOOKUP($F93,IMPORTRANGE(""https://docs.google.com/spreadsheets/d/1DliIGyDywdzxhd4svtjaewR0p9Y5UBTMNMQ2PcXsqss"",""type data!E2:F""),2,FALSE),$F93)&amp;""/"",$H93)),""""))"),"DarbyJoan/447")</f>
        <v>DarbyJoan/447</v>
      </c>
      <c r="K93" s="6" t="b">
        <v>1</v>
      </c>
      <c r="L93" s="9"/>
      <c r="M93" s="9">
        <f t="shared" si="1"/>
        <v>2</v>
      </c>
    </row>
    <row r="94">
      <c r="A94" s="3" t="s">
        <v>230</v>
      </c>
      <c r="B94" s="3">
        <v>9.0</v>
      </c>
      <c r="C94" s="3">
        <v>8.0</v>
      </c>
      <c r="D94" s="4">
        <v>51.5846644821105</v>
      </c>
      <c r="E94" s="4">
        <v>-0.2194733373882</v>
      </c>
      <c r="F94" s="3" t="s">
        <v>165</v>
      </c>
      <c r="G94" s="3" t="s">
        <v>166</v>
      </c>
      <c r="H94" s="3" t="s">
        <v>106</v>
      </c>
      <c r="I94" s="6">
        <v>3163.0</v>
      </c>
      <c r="J94" s="7" t="str">
        <f>IFERROR(__xludf.DUMMYFUNCTION("IF(AND(REGEXMATCH($H94,""50( ?['fF]([oO]{2})?[tT]?)?( ?[eE][rR]{2}[oO][rR])"")=FALSE,$H94&lt;&gt;"""",$I94&lt;&gt;""""),HYPERLINK(""https://www.munzee.com/m/""&amp;$H94&amp;""/""&amp;$I94&amp;""/map/?lat=""&amp;$D94&amp;""&amp;lon=""&amp;$E94&amp;""&amp;type=""&amp;$F94&amp;""&amp;name=""&amp;SUBSTITUTE($A94,""#"",""%23"""&amp;"),$H94&amp;""/""&amp;$I94),IF($H94&lt;&gt;"""",IF(REGEXMATCH($H94,""50( ?['fF]([oO]{2})?[tT]?)?( ?[eE][rR]{2}[oO][rR])""),HYPERLINK(""https://www.munzee.com/map/?sandbox=1&amp;lat=""&amp;$D94&amp;""&amp;lon=""&amp;$E94&amp;""&amp;name=""&amp;SUBSTITUTE($A94,""#"",""%23""),""SANDBOX""),HYPERLINK(""htt"&amp;"ps://www.munzee.com/m/""&amp;$H94&amp;""/deploys/0/type/""&amp;IFNA(VLOOKUP($F94,IMPORTRANGE(""https://docs.google.com/spreadsheets/d/1DliIGyDywdzxhd4svtjaewR0p9Y5UBTMNMQ2PcXsqss"",""type data!E2:F""),2,FALSE),$F94)&amp;""/"",$H94)),""""))"),"babyw/3163")</f>
        <v>babyw/3163</v>
      </c>
      <c r="K94" s="6" t="b">
        <v>1</v>
      </c>
      <c r="L94" s="6" t="s">
        <v>231</v>
      </c>
      <c r="M94" s="9">
        <f t="shared" si="1"/>
        <v>3</v>
      </c>
    </row>
    <row r="95">
      <c r="A95" s="3" t="s">
        <v>232</v>
      </c>
      <c r="B95" s="3">
        <v>9.0</v>
      </c>
      <c r="C95" s="3">
        <v>9.0</v>
      </c>
      <c r="D95" s="4">
        <v>51.5846644818831</v>
      </c>
      <c r="E95" s="4">
        <v>-0.2192420205675</v>
      </c>
      <c r="F95" s="3" t="s">
        <v>196</v>
      </c>
      <c r="G95" s="3" t="s">
        <v>197</v>
      </c>
      <c r="H95" s="6" t="s">
        <v>233</v>
      </c>
      <c r="I95" s="6">
        <v>7298.0</v>
      </c>
      <c r="J95" s="7" t="str">
        <f>IFERROR(__xludf.DUMMYFUNCTION("IF(AND(REGEXMATCH($H95,""50( ?['fF]([oO]{2})?[tT]?)?( ?[eE][rR]{2}[oO][rR])"")=FALSE,$H95&lt;&gt;"""",$I95&lt;&gt;""""),HYPERLINK(""https://www.munzee.com/m/""&amp;$H95&amp;""/""&amp;$I95&amp;""/map/?lat=""&amp;$D95&amp;""&amp;lon=""&amp;$E95&amp;""&amp;type=""&amp;$F95&amp;""&amp;name=""&amp;SUBSTITUTE($A95,""#"",""%23"""&amp;"),$H95&amp;""/""&amp;$I95),IF($H95&lt;&gt;"""",IF(REGEXMATCH($H95,""50( ?['fF]([oO]{2})?[tT]?)?( ?[eE][rR]{2}[oO][rR])""),HYPERLINK(""https://www.munzee.com/map/?sandbox=1&amp;lat=""&amp;$D95&amp;""&amp;lon=""&amp;$E95&amp;""&amp;name=""&amp;SUBSTITUTE($A95,""#"",""%23""),""SANDBOX""),HYPERLINK(""htt"&amp;"ps://www.munzee.com/m/""&amp;$H95&amp;""/deploys/0/type/""&amp;IFNA(VLOOKUP($F95,IMPORTRANGE(""https://docs.google.com/spreadsheets/d/1DliIGyDywdzxhd4svtjaewR0p9Y5UBTMNMQ2PcXsqss"",""type data!E2:F""),2,FALSE),$F95)&amp;""/"",$H95)),""""))"),"naturelover/7298")</f>
        <v>naturelover/7298</v>
      </c>
      <c r="K95" s="6" t="b">
        <v>1</v>
      </c>
      <c r="L95" s="9"/>
      <c r="M95" s="9">
        <f t="shared" si="1"/>
        <v>2</v>
      </c>
    </row>
    <row r="96">
      <c r="A96" s="3" t="s">
        <v>234</v>
      </c>
      <c r="B96" s="3">
        <v>9.0</v>
      </c>
      <c r="C96" s="3">
        <v>10.0</v>
      </c>
      <c r="D96" s="4">
        <v>51.5846644816558</v>
      </c>
      <c r="E96" s="4">
        <v>-0.2190107037469</v>
      </c>
      <c r="F96" s="3" t="s">
        <v>235</v>
      </c>
      <c r="G96" s="3" t="s">
        <v>236</v>
      </c>
      <c r="H96" s="6" t="s">
        <v>57</v>
      </c>
      <c r="I96" s="6">
        <v>1787.0</v>
      </c>
      <c r="J96" s="7" t="str">
        <f>IFERROR(__xludf.DUMMYFUNCTION("IF(AND(REGEXMATCH($H96,""50( ?['fF]([oO]{2})?[tT]?)?( ?[eE][rR]{2}[oO][rR])"")=FALSE,$H96&lt;&gt;"""",$I96&lt;&gt;""""),HYPERLINK(""https://www.munzee.com/m/""&amp;$H96&amp;""/""&amp;$I96&amp;""/map/?lat=""&amp;$D96&amp;""&amp;lon=""&amp;$E96&amp;""&amp;type=""&amp;$F96&amp;""&amp;name=""&amp;SUBSTITUTE($A96,""#"",""%23"""&amp;"),$H96&amp;""/""&amp;$I96),IF($H96&lt;&gt;"""",IF(REGEXMATCH($H96,""50( ?['fF]([oO]{2})?[tT]?)?( ?[eE][rR]{2}[oO][rR])""),HYPERLINK(""https://www.munzee.com/map/?sandbox=1&amp;lat=""&amp;$D96&amp;""&amp;lon=""&amp;$E96&amp;""&amp;name=""&amp;SUBSTITUTE($A96,""#"",""%23""),""SANDBOX""),HYPERLINK(""htt"&amp;"ps://www.munzee.com/m/""&amp;$H96&amp;""/deploys/0/type/""&amp;IFNA(VLOOKUP($F96,IMPORTRANGE(""https://docs.google.com/spreadsheets/d/1DliIGyDywdzxhd4svtjaewR0p9Y5UBTMNMQ2PcXsqss"",""type data!E2:F""),2,FALSE),$F96)&amp;""/"",$H96)),""""))"),"technical13/1787")</f>
        <v>technical13/1787</v>
      </c>
      <c r="K96" s="6" t="b">
        <v>1</v>
      </c>
      <c r="L96" s="6"/>
      <c r="M96" s="9">
        <f t="shared" si="1"/>
        <v>5</v>
      </c>
    </row>
    <row r="97">
      <c r="A97" s="3" t="s">
        <v>237</v>
      </c>
      <c r="B97" s="3">
        <v>9.0</v>
      </c>
      <c r="C97" s="3">
        <v>11.0</v>
      </c>
      <c r="D97" s="4">
        <v>51.5846644814285</v>
      </c>
      <c r="E97" s="4">
        <v>-0.2187793869263</v>
      </c>
      <c r="F97" s="3" t="s">
        <v>200</v>
      </c>
      <c r="G97" s="3" t="s">
        <v>201</v>
      </c>
      <c r="H97" s="6" t="s">
        <v>238</v>
      </c>
      <c r="I97" s="6">
        <v>4243.0</v>
      </c>
      <c r="J97" s="7" t="str">
        <f>IFERROR(__xludf.DUMMYFUNCTION("IF(AND(REGEXMATCH($H97,""50( ?['fF]([oO]{2})?[tT]?)?( ?[eE][rR]{2}[oO][rR])"")=FALSE,$H97&lt;&gt;"""",$I97&lt;&gt;""""),HYPERLINK(""https://www.munzee.com/m/""&amp;$H97&amp;""/""&amp;$I97&amp;""/map/?lat=""&amp;$D97&amp;""&amp;lon=""&amp;$E97&amp;""&amp;type=""&amp;$F97&amp;""&amp;name=""&amp;SUBSTITUTE($A97,""#"",""%23"""&amp;"),$H97&amp;""/""&amp;$I97),IF($H97&lt;&gt;"""",IF(REGEXMATCH($H97,""50( ?['fF]([oO]{2})?[tT]?)?( ?[eE][rR]{2}[oO][rR])""),HYPERLINK(""https://www.munzee.com/map/?sandbox=1&amp;lat=""&amp;$D97&amp;""&amp;lon=""&amp;$E97&amp;""&amp;name=""&amp;SUBSTITUTE($A97,""#"",""%23""),""SANDBOX""),HYPERLINK(""htt"&amp;"ps://www.munzee.com/m/""&amp;$H97&amp;""/deploys/0/type/""&amp;IFNA(VLOOKUP($F97,IMPORTRANGE(""https://docs.google.com/spreadsheets/d/1DliIGyDywdzxhd4svtjaewR0p9Y5UBTMNMQ2PcXsqss"",""type data!E2:F""),2,FALSE),$F97)&amp;""/"",$H97)),""""))"),"ivwarrior/4243")</f>
        <v>ivwarrior/4243</v>
      </c>
      <c r="K97" s="6" t="b">
        <v>1</v>
      </c>
      <c r="L97" s="9"/>
      <c r="M97" s="9">
        <f t="shared" si="1"/>
        <v>2</v>
      </c>
    </row>
    <row r="98">
      <c r="A98" s="3" t="s">
        <v>239</v>
      </c>
      <c r="B98" s="3">
        <v>9.0</v>
      </c>
      <c r="C98" s="3">
        <v>12.0</v>
      </c>
      <c r="D98" s="4">
        <v>51.5846644812011</v>
      </c>
      <c r="E98" s="4">
        <v>-0.2185480701056</v>
      </c>
      <c r="F98" s="3" t="s">
        <v>235</v>
      </c>
      <c r="G98" s="3" t="s">
        <v>236</v>
      </c>
      <c r="H98" s="6" t="s">
        <v>240</v>
      </c>
      <c r="I98" s="6">
        <v>5394.0</v>
      </c>
      <c r="J98" s="7" t="str">
        <f>IFERROR(__xludf.DUMMYFUNCTION("IF(AND(REGEXMATCH($H98,""50( ?['fF]([oO]{2})?[tT]?)?( ?[eE][rR]{2}[oO][rR])"")=FALSE,$H98&lt;&gt;"""",$I98&lt;&gt;""""),HYPERLINK(""https://www.munzee.com/m/""&amp;$H98&amp;""/""&amp;$I98&amp;""/map/?lat=""&amp;$D98&amp;""&amp;lon=""&amp;$E98&amp;""&amp;type=""&amp;$F98&amp;""&amp;name=""&amp;SUBSTITUTE($A98,""#"",""%23"""&amp;"),$H98&amp;""/""&amp;$I98),IF($H98&lt;&gt;"""",IF(REGEXMATCH($H98,""50( ?['fF]([oO]{2})?[tT]?)?( ?[eE][rR]{2}[oO][rR])""),HYPERLINK(""https://www.munzee.com/map/?sandbox=1&amp;lat=""&amp;$D98&amp;""&amp;lon=""&amp;$E98&amp;""&amp;name=""&amp;SUBSTITUTE($A98,""#"",""%23""),""SANDBOX""),HYPERLINK(""htt"&amp;"ps://www.munzee.com/m/""&amp;$H98&amp;""/deploys/0/type/""&amp;IFNA(VLOOKUP($F98,IMPORTRANGE(""https://docs.google.com/spreadsheets/d/1DliIGyDywdzxhd4svtjaewR0p9Y5UBTMNMQ2PcXsqss"",""type data!E2:F""),2,FALSE),$F98)&amp;""/"",$H98)),""""))"),"5Star/5394")</f>
        <v>5Star/5394</v>
      </c>
      <c r="K98" s="6" t="b">
        <v>1</v>
      </c>
      <c r="L98" s="6"/>
      <c r="M98" s="9">
        <f t="shared" si="1"/>
        <v>1</v>
      </c>
    </row>
    <row r="99">
      <c r="A99" s="3" t="s">
        <v>241</v>
      </c>
      <c r="B99" s="3">
        <v>9.0</v>
      </c>
      <c r="C99" s="3">
        <v>13.0</v>
      </c>
      <c r="D99" s="4">
        <v>51.5846644809738</v>
      </c>
      <c r="E99" s="4">
        <v>-0.2183167532851</v>
      </c>
      <c r="F99" s="3" t="s">
        <v>196</v>
      </c>
      <c r="G99" s="3" t="s">
        <v>197</v>
      </c>
      <c r="H99" s="6" t="s">
        <v>242</v>
      </c>
      <c r="I99" s="6">
        <v>1589.0</v>
      </c>
      <c r="J99" s="7" t="str">
        <f>IFERROR(__xludf.DUMMYFUNCTION("IF(AND(REGEXMATCH($H99,""50( ?['fF]([oO]{2})?[tT]?)?( ?[eE][rR]{2}[oO][rR])"")=FALSE,$H99&lt;&gt;"""",$I99&lt;&gt;""""),HYPERLINK(""https://www.munzee.com/m/""&amp;$H99&amp;""/""&amp;$I99&amp;""/map/?lat=""&amp;$D99&amp;""&amp;lon=""&amp;$E99&amp;""&amp;type=""&amp;$F99&amp;""&amp;name=""&amp;SUBSTITUTE($A99,""#"",""%23"""&amp;"),$H99&amp;""/""&amp;$I99),IF($H99&lt;&gt;"""",IF(REGEXMATCH($H99,""50( ?['fF]([oO]{2})?[tT]?)?( ?[eE][rR]{2}[oO][rR])""),HYPERLINK(""https://www.munzee.com/map/?sandbox=1&amp;lat=""&amp;$D99&amp;""&amp;lon=""&amp;$E99&amp;""&amp;name=""&amp;SUBSTITUTE($A99,""#"",""%23""),""SANDBOX""),HYPERLINK(""htt"&amp;"ps://www.munzee.com/m/""&amp;$H99&amp;""/deploys/0/type/""&amp;IFNA(VLOOKUP($F99,IMPORTRANGE(""https://docs.google.com/spreadsheets/d/1DliIGyDywdzxhd4svtjaewR0p9Y5UBTMNMQ2PcXsqss"",""type data!E2:F""),2,FALSE),$F99)&amp;""/"",$H99)),""""))"),"Noisette/1589")</f>
        <v>Noisette/1589</v>
      </c>
      <c r="K99" s="6" t="b">
        <v>1</v>
      </c>
      <c r="L99" s="10"/>
      <c r="M99" s="9">
        <f t="shared" si="1"/>
        <v>4</v>
      </c>
    </row>
    <row r="100">
      <c r="A100" s="3" t="s">
        <v>243</v>
      </c>
      <c r="B100" s="3">
        <v>9.0</v>
      </c>
      <c r="C100" s="3">
        <v>14.0</v>
      </c>
      <c r="D100" s="4">
        <v>51.5846644807465</v>
      </c>
      <c r="E100" s="4">
        <v>-0.2180854364644</v>
      </c>
      <c r="F100" s="3" t="s">
        <v>165</v>
      </c>
      <c r="G100" s="3" t="s">
        <v>166</v>
      </c>
      <c r="H100" s="6" t="s">
        <v>116</v>
      </c>
      <c r="I100" s="6">
        <v>1840.0</v>
      </c>
      <c r="J100" s="7" t="str">
        <f>IFERROR(__xludf.DUMMYFUNCTION("IF(AND(REGEXMATCH($H100,""50( ?['fF]([oO]{2})?[tT]?)?( ?[eE][rR]{2}[oO][rR])"")=FALSE,$H100&lt;&gt;"""",$I100&lt;&gt;""""),HYPERLINK(""https://www.munzee.com/m/""&amp;$H100&amp;""/""&amp;$I100&amp;""/map/?lat=""&amp;$D100&amp;""&amp;lon=""&amp;$E100&amp;""&amp;type=""&amp;$F100&amp;""&amp;name=""&amp;SUBSTITUTE($A100,""#"&amp;""",""%23""),$H100&amp;""/""&amp;$I100),IF($H100&lt;&gt;"""",IF(REGEXMATCH($H100,""50( ?['fF]([oO]{2})?[tT]?)?( ?[eE][rR]{2}[oO][rR])""),HYPERLINK(""https://www.munzee.com/map/?sandbox=1&amp;lat=""&amp;$D100&amp;""&amp;lon=""&amp;$E100&amp;""&amp;name=""&amp;SUBSTITUTE($A100,""#"",""%23""),""SANDBOX"""&amp;"),HYPERLINK(""https://www.munzee.com/m/""&amp;$H100&amp;""/deploys/0/type/""&amp;IFNA(VLOOKUP($F100,IMPORTRANGE(""https://docs.google.com/spreadsheets/d/1DliIGyDywdzxhd4svtjaewR0p9Y5UBTMNMQ2PcXsqss"",""type data!E2:F""),2,FALSE),$F100)&amp;""/"",$H100)),""""))"),"IggiePiggie/1840")</f>
        <v>IggiePiggie/1840</v>
      </c>
      <c r="K100" s="6" t="b">
        <v>1</v>
      </c>
      <c r="L100" s="9"/>
      <c r="M100" s="9">
        <f t="shared" si="1"/>
        <v>7</v>
      </c>
    </row>
    <row r="101">
      <c r="A101" s="3" t="s">
        <v>244</v>
      </c>
      <c r="B101" s="3">
        <v>9.0</v>
      </c>
      <c r="C101" s="3">
        <v>15.0</v>
      </c>
      <c r="D101" s="4">
        <v>51.5846644805191</v>
      </c>
      <c r="E101" s="4">
        <v>-0.2178541196438</v>
      </c>
      <c r="F101" s="3" t="s">
        <v>29</v>
      </c>
      <c r="G101" s="3" t="s">
        <v>30</v>
      </c>
      <c r="H101" s="6" t="s">
        <v>245</v>
      </c>
      <c r="I101" s="6">
        <v>1797.0</v>
      </c>
      <c r="J101" s="7" t="str">
        <f>IFERROR(__xludf.DUMMYFUNCTION("IF(AND(REGEXMATCH($H101,""50( ?['fF]([oO]{2})?[tT]?)?( ?[eE][rR]{2}[oO][rR])"")=FALSE,$H101&lt;&gt;"""",$I101&lt;&gt;""""),HYPERLINK(""https://www.munzee.com/m/""&amp;$H101&amp;""/""&amp;$I101&amp;""/map/?lat=""&amp;$D101&amp;""&amp;lon=""&amp;$E101&amp;""&amp;type=""&amp;$F101&amp;""&amp;name=""&amp;SUBSTITUTE($A101,""#"&amp;""",""%23""),$H101&amp;""/""&amp;$I101),IF($H101&lt;&gt;"""",IF(REGEXMATCH($H101,""50( ?['fF]([oO]{2})?[tT]?)?( ?[eE][rR]{2}[oO][rR])""),HYPERLINK(""https://www.munzee.com/map/?sandbox=1&amp;lat=""&amp;$D101&amp;""&amp;lon=""&amp;$E101&amp;""&amp;name=""&amp;SUBSTITUTE($A101,""#"",""%23""),""SANDBOX"""&amp;"),HYPERLINK(""https://www.munzee.com/m/""&amp;$H101&amp;""/deploys/0/type/""&amp;IFNA(VLOOKUP($F101,IMPORTRANGE(""https://docs.google.com/spreadsheets/d/1DliIGyDywdzxhd4svtjaewR0p9Y5UBTMNMQ2PcXsqss"",""type data!E2:F""),2,FALSE),$F101)&amp;""/"",$H101)),""""))"),"fabiusz/1797")</f>
        <v>fabiusz/1797</v>
      </c>
      <c r="K101" s="6" t="b">
        <v>1</v>
      </c>
      <c r="L101" s="9"/>
      <c r="M101" s="9">
        <f t="shared" si="1"/>
        <v>1</v>
      </c>
    </row>
    <row r="102">
      <c r="A102" s="3" t="s">
        <v>246</v>
      </c>
      <c r="B102" s="3">
        <v>9.0</v>
      </c>
      <c r="C102" s="3">
        <v>16.0</v>
      </c>
      <c r="D102" s="4">
        <v>51.5846644802918</v>
      </c>
      <c r="E102" s="4">
        <v>-0.2176228028231</v>
      </c>
      <c r="F102" s="3" t="s">
        <v>29</v>
      </c>
      <c r="G102" s="3" t="s">
        <v>30</v>
      </c>
      <c r="H102" s="6" t="s">
        <v>53</v>
      </c>
      <c r="I102" s="6">
        <v>827.0</v>
      </c>
      <c r="J102" s="7" t="str">
        <f>IFERROR(__xludf.DUMMYFUNCTION("IF(AND(REGEXMATCH($H102,""50( ?['fF]([oO]{2})?[tT]?)?( ?[eE][rR]{2}[oO][rR])"")=FALSE,$H102&lt;&gt;"""",$I102&lt;&gt;""""),HYPERLINK(""https://www.munzee.com/m/""&amp;$H102&amp;""/""&amp;$I102&amp;""/map/?lat=""&amp;$D102&amp;""&amp;lon=""&amp;$E102&amp;""&amp;type=""&amp;$F102&amp;""&amp;name=""&amp;SUBSTITUTE($A102,""#"&amp;""",""%23""),$H102&amp;""/""&amp;$I102),IF($H102&lt;&gt;"""",IF(REGEXMATCH($H102,""50( ?['fF]([oO]{2})?[tT]?)?( ?[eE][rR]{2}[oO][rR])""),HYPERLINK(""https://www.munzee.com/map/?sandbox=1&amp;lat=""&amp;$D102&amp;""&amp;lon=""&amp;$E102&amp;""&amp;name=""&amp;SUBSTITUTE($A102,""#"",""%23""),""SANDBOX"""&amp;"),HYPERLINK(""https://www.munzee.com/m/""&amp;$H102&amp;""/deploys/0/type/""&amp;IFNA(VLOOKUP($F102,IMPORTRANGE(""https://docs.google.com/spreadsheets/d/1DliIGyDywdzxhd4svtjaewR0p9Y5UBTMNMQ2PcXsqss"",""type data!E2:F""),2,FALSE),$F102)&amp;""/"",$H102)),""""))"),"TMac2/827")</f>
        <v>TMac2/827</v>
      </c>
      <c r="K102" s="6" t="b">
        <v>1</v>
      </c>
      <c r="L102" s="9"/>
      <c r="M102" s="9">
        <f t="shared" si="1"/>
        <v>6</v>
      </c>
    </row>
    <row r="103">
      <c r="A103" s="3" t="s">
        <v>247</v>
      </c>
      <c r="B103" s="3">
        <v>9.0</v>
      </c>
      <c r="C103" s="3">
        <v>17.0</v>
      </c>
      <c r="D103" s="4">
        <v>51.5846644800645</v>
      </c>
      <c r="E103" s="4">
        <v>-0.2173914860025</v>
      </c>
      <c r="F103" s="3" t="s">
        <v>29</v>
      </c>
      <c r="G103" s="3" t="s">
        <v>30</v>
      </c>
      <c r="H103" s="6" t="s">
        <v>55</v>
      </c>
      <c r="I103" s="6">
        <v>681.0</v>
      </c>
      <c r="J103" s="7" t="str">
        <f>IFERROR(__xludf.DUMMYFUNCTION("IF(AND(REGEXMATCH($H103,""50( ?['fF]([oO]{2})?[tT]?)?( ?[eE][rR]{2}[oO][rR])"")=FALSE,$H103&lt;&gt;"""",$I103&lt;&gt;""""),HYPERLINK(""https://www.munzee.com/m/""&amp;$H103&amp;""/""&amp;$I103&amp;""/map/?lat=""&amp;$D103&amp;""&amp;lon=""&amp;$E103&amp;""&amp;type=""&amp;$F103&amp;""&amp;name=""&amp;SUBSTITUTE($A103,""#"&amp;""",""%23""),$H103&amp;""/""&amp;$I103),IF($H103&lt;&gt;"""",IF(REGEXMATCH($H103,""50( ?['fF]([oO]{2})?[tT]?)?( ?[eE][rR]{2}[oO][rR])""),HYPERLINK(""https://www.munzee.com/map/?sandbox=1&amp;lat=""&amp;$D103&amp;""&amp;lon=""&amp;$E103&amp;""&amp;name=""&amp;SUBSTITUTE($A103,""#"",""%23""),""SANDBOX"""&amp;"),HYPERLINK(""https://www.munzee.com/m/""&amp;$H103&amp;""/deploys/0/type/""&amp;IFNA(VLOOKUP($F103,IMPORTRANGE(""https://docs.google.com/spreadsheets/d/1DliIGyDywdzxhd4svtjaewR0p9Y5UBTMNMQ2PcXsqss"",""type data!E2:F""),2,FALSE),$F103)&amp;""/"",$H103)),""""))"),"SzymcioT/681")</f>
        <v>SzymcioT/681</v>
      </c>
      <c r="K103" s="6" t="b">
        <v>1</v>
      </c>
      <c r="L103" s="9"/>
      <c r="M103" s="9">
        <f t="shared" si="1"/>
        <v>6</v>
      </c>
    </row>
    <row r="104">
      <c r="A104" s="3" t="s">
        <v>248</v>
      </c>
      <c r="B104" s="3">
        <v>9.0</v>
      </c>
      <c r="C104" s="3">
        <v>18.0</v>
      </c>
      <c r="D104" s="4">
        <v>51.5846644798371</v>
      </c>
      <c r="E104" s="4">
        <v>-0.2171601691819</v>
      </c>
      <c r="F104" s="3" t="s">
        <v>70</v>
      </c>
      <c r="G104" s="3" t="s">
        <v>71</v>
      </c>
      <c r="H104" s="6" t="s">
        <v>249</v>
      </c>
      <c r="I104" s="6">
        <v>661.0</v>
      </c>
      <c r="J104" s="7" t="str">
        <f>IFERROR(__xludf.DUMMYFUNCTION("IF(AND(REGEXMATCH($H104,""50( ?['fF]([oO]{2})?[tT]?)?( ?[eE][rR]{2}[oO][rR])"")=FALSE,$H104&lt;&gt;"""",$I104&lt;&gt;""""),HYPERLINK(""https://www.munzee.com/m/""&amp;$H104&amp;""/""&amp;$I104&amp;""/map/?lat=""&amp;$D104&amp;""&amp;lon=""&amp;$E104&amp;""&amp;type=""&amp;$F104&amp;""&amp;name=""&amp;SUBSTITUTE($A104,""#"&amp;""",""%23""),$H104&amp;""/""&amp;$I104),IF($H104&lt;&gt;"""",IF(REGEXMATCH($H104,""50( ?['fF]([oO]{2})?[tT]?)?( ?[eE][rR]{2}[oO][rR])""),HYPERLINK(""https://www.munzee.com/map/?sandbox=1&amp;lat=""&amp;$D104&amp;""&amp;lon=""&amp;$E104&amp;""&amp;name=""&amp;SUBSTITUTE($A104,""#"",""%23""),""SANDBOX"""&amp;"),HYPERLINK(""https://www.munzee.com/m/""&amp;$H104&amp;""/deploys/0/type/""&amp;IFNA(VLOOKUP($F104,IMPORTRANGE(""https://docs.google.com/spreadsheets/d/1DliIGyDywdzxhd4svtjaewR0p9Y5UBTMNMQ2PcXsqss"",""type data!E2:F""),2,FALSE),$F104)&amp;""/"",$H104)),""""))"),"mossieman/661")</f>
        <v>mossieman/661</v>
      </c>
      <c r="K104" s="6" t="b">
        <v>1</v>
      </c>
      <c r="L104" s="10"/>
      <c r="M104" s="9">
        <f t="shared" si="1"/>
        <v>1</v>
      </c>
    </row>
    <row r="105">
      <c r="A105" s="3" t="s">
        <v>250</v>
      </c>
      <c r="B105" s="3">
        <v>9.0</v>
      </c>
      <c r="C105" s="3">
        <v>19.0</v>
      </c>
      <c r="D105" s="4">
        <v>51.5846644796098</v>
      </c>
      <c r="E105" s="4">
        <v>-0.2169288523612</v>
      </c>
      <c r="F105" s="3" t="s">
        <v>44</v>
      </c>
      <c r="G105" s="3" t="s">
        <v>45</v>
      </c>
      <c r="H105" s="6" t="s">
        <v>179</v>
      </c>
      <c r="I105" s="6">
        <v>19282.0</v>
      </c>
      <c r="J105" s="7" t="str">
        <f>IFERROR(__xludf.DUMMYFUNCTION("IF(AND(REGEXMATCH($H105,""50( ?['fF]([oO]{2})?[tT]?)?( ?[eE][rR]{2}[oO][rR])"")=FALSE,$H105&lt;&gt;"""",$I105&lt;&gt;""""),HYPERLINK(""https://www.munzee.com/m/""&amp;$H105&amp;""/""&amp;$I105&amp;""/map/?lat=""&amp;$D105&amp;""&amp;lon=""&amp;$E105&amp;""&amp;type=""&amp;$F105&amp;""&amp;name=""&amp;SUBSTITUTE($A105,""#"&amp;""",""%23""),$H105&amp;""/""&amp;$I105),IF($H105&lt;&gt;"""",IF(REGEXMATCH($H105,""50( ?['fF]([oO]{2})?[tT]?)?( ?[eE][rR]{2}[oO][rR])""),HYPERLINK(""https://www.munzee.com/map/?sandbox=1&amp;lat=""&amp;$D105&amp;""&amp;lon=""&amp;$E105&amp;""&amp;name=""&amp;SUBSTITUTE($A105,""#"",""%23""),""SANDBOX"""&amp;"),HYPERLINK(""https://www.munzee.com/m/""&amp;$H105&amp;""/deploys/0/type/""&amp;IFNA(VLOOKUP($F105,IMPORTRANGE(""https://docs.google.com/spreadsheets/d/1DliIGyDywdzxhd4svtjaewR0p9Y5UBTMNMQ2PcXsqss"",""type data!E2:F""),2,FALSE),$F105)&amp;""/"",$H105)),""""))"),"WanderingAus/19282")</f>
        <v>WanderingAus/19282</v>
      </c>
      <c r="K105" s="6" t="b">
        <v>1</v>
      </c>
      <c r="L105" s="9"/>
      <c r="M105" s="9">
        <f t="shared" si="1"/>
        <v>10</v>
      </c>
    </row>
    <row r="106">
      <c r="A106" s="3" t="s">
        <v>251</v>
      </c>
      <c r="B106" s="3">
        <v>9.0</v>
      </c>
      <c r="C106" s="3">
        <v>20.0</v>
      </c>
      <c r="D106" s="4">
        <v>51.5846644793825</v>
      </c>
      <c r="E106" s="4">
        <v>-0.2166975355406</v>
      </c>
      <c r="F106" s="3" t="s">
        <v>39</v>
      </c>
      <c r="G106" s="3" t="s">
        <v>40</v>
      </c>
      <c r="H106" s="6" t="s">
        <v>116</v>
      </c>
      <c r="I106" s="6">
        <v>1978.0</v>
      </c>
      <c r="J106" s="7" t="str">
        <f>IFERROR(__xludf.DUMMYFUNCTION("IF(AND(REGEXMATCH($H106,""50( ?['fF]([oO]{2})?[tT]?)?( ?[eE][rR]{2}[oO][rR])"")=FALSE,$H106&lt;&gt;"""",$I106&lt;&gt;""""),HYPERLINK(""https://www.munzee.com/m/""&amp;$H106&amp;""/""&amp;$I106&amp;""/map/?lat=""&amp;$D106&amp;""&amp;lon=""&amp;$E106&amp;""&amp;type=""&amp;$F106&amp;""&amp;name=""&amp;SUBSTITUTE($A106,""#"&amp;""",""%23""),$H106&amp;""/""&amp;$I106),IF($H106&lt;&gt;"""",IF(REGEXMATCH($H106,""50( ?['fF]([oO]{2})?[tT]?)?( ?[eE][rR]{2}[oO][rR])""),HYPERLINK(""https://www.munzee.com/map/?sandbox=1&amp;lat=""&amp;$D106&amp;""&amp;lon=""&amp;$E106&amp;""&amp;name=""&amp;SUBSTITUTE($A106,""#"",""%23""),""SANDBOX"""&amp;"),HYPERLINK(""https://www.munzee.com/m/""&amp;$H106&amp;""/deploys/0/type/""&amp;IFNA(VLOOKUP($F106,IMPORTRANGE(""https://docs.google.com/spreadsheets/d/1DliIGyDywdzxhd4svtjaewR0p9Y5UBTMNMQ2PcXsqss"",""type data!E2:F""),2,FALSE),$F106)&amp;""/"",$H106)),""""))"),"IggiePiggie/1978")</f>
        <v>IggiePiggie/1978</v>
      </c>
      <c r="K106" s="6" t="b">
        <v>1</v>
      </c>
      <c r="L106" s="9"/>
      <c r="M106" s="9">
        <f t="shared" si="1"/>
        <v>7</v>
      </c>
    </row>
    <row r="107">
      <c r="A107" s="3" t="s">
        <v>252</v>
      </c>
      <c r="B107" s="3">
        <v>10.0</v>
      </c>
      <c r="C107" s="3">
        <v>1.0</v>
      </c>
      <c r="D107" s="4">
        <v>51.5845207532563</v>
      </c>
      <c r="E107" s="4">
        <v>-0.2210925697666</v>
      </c>
      <c r="F107" s="3" t="s">
        <v>14</v>
      </c>
      <c r="G107" s="3" t="s">
        <v>15</v>
      </c>
      <c r="H107" s="6" t="s">
        <v>99</v>
      </c>
      <c r="I107" s="6">
        <v>5819.0</v>
      </c>
      <c r="J107" s="7" t="str">
        <f>IFERROR(__xludf.DUMMYFUNCTION("IF(AND(REGEXMATCH($H107,""50( ?['fF]([oO]{2})?[tT]?)?( ?[eE][rR]{2}[oO][rR])"")=FALSE,$H107&lt;&gt;"""",$I107&lt;&gt;""""),HYPERLINK(""https://www.munzee.com/m/""&amp;$H107&amp;""/""&amp;$I107&amp;""/map/?lat=""&amp;$D107&amp;""&amp;lon=""&amp;$E107&amp;""&amp;type=""&amp;$F107&amp;""&amp;name=""&amp;SUBSTITUTE($A107,""#"&amp;""",""%23""),$H107&amp;""/""&amp;$I107),IF($H107&lt;&gt;"""",IF(REGEXMATCH($H107,""50( ?['fF]([oO]{2})?[tT]?)?( ?[eE][rR]{2}[oO][rR])""),HYPERLINK(""https://www.munzee.com/map/?sandbox=1&amp;lat=""&amp;$D107&amp;""&amp;lon=""&amp;$E107&amp;""&amp;name=""&amp;SUBSTITUTE($A107,""#"",""%23""),""SANDBOX"""&amp;"),HYPERLINK(""https://www.munzee.com/m/""&amp;$H107&amp;""/deploys/0/type/""&amp;IFNA(VLOOKUP($F107,IMPORTRANGE(""https://docs.google.com/spreadsheets/d/1DliIGyDywdzxhd4svtjaewR0p9Y5UBTMNMQ2PcXsqss"",""type data!E2:F""),2,FALSE),$F107)&amp;""/"",$H107)),""""))"),"Amadoreugen/5819")</f>
        <v>Amadoreugen/5819</v>
      </c>
      <c r="K107" s="6" t="b">
        <v>1</v>
      </c>
      <c r="L107" s="9"/>
      <c r="M107" s="9">
        <f t="shared" si="1"/>
        <v>7</v>
      </c>
    </row>
    <row r="108">
      <c r="A108" s="3" t="s">
        <v>253</v>
      </c>
      <c r="B108" s="3">
        <v>10.0</v>
      </c>
      <c r="C108" s="3">
        <v>2.0</v>
      </c>
      <c r="D108" s="4">
        <v>51.584520753029</v>
      </c>
      <c r="E108" s="4">
        <v>-0.2208612536776</v>
      </c>
      <c r="F108" s="3" t="s">
        <v>29</v>
      </c>
      <c r="G108" s="3" t="s">
        <v>30</v>
      </c>
      <c r="H108" s="6" t="s">
        <v>254</v>
      </c>
      <c r="I108" s="6">
        <v>3865.0</v>
      </c>
      <c r="J108" s="7" t="str">
        <f>IFERROR(__xludf.DUMMYFUNCTION("IF(AND(REGEXMATCH($H108,""50( ?['fF]([oO]{2})?[tT]?)?( ?[eE][rR]{2}[oO][rR])"")=FALSE,$H108&lt;&gt;"""",$I108&lt;&gt;""""),HYPERLINK(""https://www.munzee.com/m/""&amp;$H108&amp;""/""&amp;$I108&amp;""/map/?lat=""&amp;$D108&amp;""&amp;lon=""&amp;$E108&amp;""&amp;type=""&amp;$F108&amp;""&amp;name=""&amp;SUBSTITUTE($A108,""#"&amp;""",""%23""),$H108&amp;""/""&amp;$I108),IF($H108&lt;&gt;"""",IF(REGEXMATCH($H108,""50( ?['fF]([oO]{2})?[tT]?)?( ?[eE][rR]{2}[oO][rR])""),HYPERLINK(""https://www.munzee.com/map/?sandbox=1&amp;lat=""&amp;$D108&amp;""&amp;lon=""&amp;$E108&amp;""&amp;name=""&amp;SUBSTITUTE($A108,""#"",""%23""),""SANDBOX"""&amp;"),HYPERLINK(""https://www.munzee.com/m/""&amp;$H108&amp;""/deploys/0/type/""&amp;IFNA(VLOOKUP($F108,IMPORTRANGE(""https://docs.google.com/spreadsheets/d/1DliIGyDywdzxhd4svtjaewR0p9Y5UBTMNMQ2PcXsqss"",""type data!E2:F""),2,FALSE),$F108)&amp;""/"",$H108)),""""))"),"spdx2/3865")</f>
        <v>spdx2/3865</v>
      </c>
      <c r="K108" s="6" t="b">
        <v>1</v>
      </c>
      <c r="L108" s="9"/>
      <c r="M108" s="9">
        <f t="shared" si="1"/>
        <v>1</v>
      </c>
    </row>
    <row r="109">
      <c r="A109" s="3" t="s">
        <v>255</v>
      </c>
      <c r="B109" s="3">
        <v>10.0</v>
      </c>
      <c r="C109" s="3">
        <v>3.0</v>
      </c>
      <c r="D109" s="4">
        <v>51.5845207528017</v>
      </c>
      <c r="E109" s="4">
        <v>-0.2206299375887</v>
      </c>
      <c r="F109" s="3" t="s">
        <v>51</v>
      </c>
      <c r="G109" s="3" t="s">
        <v>52</v>
      </c>
      <c r="H109" s="6" t="s">
        <v>53</v>
      </c>
      <c r="I109" s="11">
        <v>734.0</v>
      </c>
      <c r="J109" s="7" t="str">
        <f>IFERROR(__xludf.DUMMYFUNCTION("IF(AND(REGEXMATCH($H109,""50( ?['fF]([oO]{2})?[tT]?)?( ?[eE][rR]{2}[oO][rR])"")=FALSE,$H109&lt;&gt;"""",$I109&lt;&gt;""""),HYPERLINK(""https://www.munzee.com/m/""&amp;$H109&amp;""/""&amp;$I109&amp;""/map/?lat=""&amp;$D109&amp;""&amp;lon=""&amp;$E109&amp;""&amp;type=""&amp;$F109&amp;""&amp;name=""&amp;SUBSTITUTE($A109,""#"&amp;""",""%23""),$H109&amp;""/""&amp;$I109),IF($H109&lt;&gt;"""",IF(REGEXMATCH($H109,""50( ?['fF]([oO]{2})?[tT]?)?( ?[eE][rR]{2}[oO][rR])""),HYPERLINK(""https://www.munzee.com/map/?sandbox=1&amp;lat=""&amp;$D109&amp;""&amp;lon=""&amp;$E109&amp;""&amp;name=""&amp;SUBSTITUTE($A109,""#"",""%23""),""SANDBOX"""&amp;"),HYPERLINK(""https://www.munzee.com/m/""&amp;$H109&amp;""/deploys/0/type/""&amp;IFNA(VLOOKUP($F109,IMPORTRANGE(""https://docs.google.com/spreadsheets/d/1DliIGyDywdzxhd4svtjaewR0p9Y5UBTMNMQ2PcXsqss"",""type data!E2:F""),2,FALSE),$F109)&amp;""/"",$H109)),""""))"),"TMac2/734")</f>
        <v>TMac2/734</v>
      </c>
      <c r="K109" s="6" t="b">
        <v>1</v>
      </c>
      <c r="L109" s="9"/>
      <c r="M109" s="9">
        <f t="shared" si="1"/>
        <v>6</v>
      </c>
    </row>
    <row r="110">
      <c r="A110" s="3" t="s">
        <v>256</v>
      </c>
      <c r="B110" s="3">
        <v>10.0</v>
      </c>
      <c r="C110" s="3">
        <v>4.0</v>
      </c>
      <c r="D110" s="4">
        <v>51.5845207525744</v>
      </c>
      <c r="E110" s="4">
        <v>-0.2203986214997</v>
      </c>
      <c r="F110" s="3" t="s">
        <v>70</v>
      </c>
      <c r="G110" s="3" t="s">
        <v>71</v>
      </c>
      <c r="H110" s="6" t="s">
        <v>257</v>
      </c>
      <c r="I110" s="6">
        <v>1164.0</v>
      </c>
      <c r="J110" s="7" t="str">
        <f>IFERROR(__xludf.DUMMYFUNCTION("IF(AND(REGEXMATCH($H110,""50( ?['fF]([oO]{2})?[tT]?)?( ?[eE][rR]{2}[oO][rR])"")=FALSE,$H110&lt;&gt;"""",$I110&lt;&gt;""""),HYPERLINK(""https://www.munzee.com/m/""&amp;$H110&amp;""/""&amp;$I110&amp;""/map/?lat=""&amp;$D110&amp;""&amp;lon=""&amp;$E110&amp;""&amp;type=""&amp;$F110&amp;""&amp;name=""&amp;SUBSTITUTE($A110,""#"&amp;""",""%23""),$H110&amp;""/""&amp;$I110),IF($H110&lt;&gt;"""",IF(REGEXMATCH($H110,""50( ?['fF]([oO]{2})?[tT]?)?( ?[eE][rR]{2}[oO][rR])""),HYPERLINK(""https://www.munzee.com/map/?sandbox=1&amp;lat=""&amp;$D110&amp;""&amp;lon=""&amp;$E110&amp;""&amp;name=""&amp;SUBSTITUTE($A110,""#"",""%23""),""SANDBOX"""&amp;"),HYPERLINK(""https://www.munzee.com/m/""&amp;$H110&amp;""/deploys/0/type/""&amp;IFNA(VLOOKUP($F110,IMPORTRANGE(""https://docs.google.com/spreadsheets/d/1DliIGyDywdzxhd4svtjaewR0p9Y5UBTMNMQ2PcXsqss"",""type data!E2:F""),2,FALSE),$F110)&amp;""/"",$H110)),""""))"),"TeamTazmina/1164")</f>
        <v>TeamTazmina/1164</v>
      </c>
      <c r="K110" s="6" t="b">
        <v>1</v>
      </c>
      <c r="L110" s="9"/>
      <c r="M110" s="9">
        <f t="shared" si="1"/>
        <v>1</v>
      </c>
    </row>
    <row r="111">
      <c r="A111" s="3" t="s">
        <v>258</v>
      </c>
      <c r="B111" s="3">
        <v>10.0</v>
      </c>
      <c r="C111" s="3">
        <v>5.0</v>
      </c>
      <c r="D111" s="4">
        <v>51.584520752347</v>
      </c>
      <c r="E111" s="4">
        <v>-0.2201673054108</v>
      </c>
      <c r="F111" s="3" t="s">
        <v>29</v>
      </c>
      <c r="G111" s="3" t="s">
        <v>30</v>
      </c>
      <c r="H111" s="6" t="s">
        <v>259</v>
      </c>
      <c r="I111" s="6">
        <v>7222.0</v>
      </c>
      <c r="J111" s="7" t="str">
        <f>IFERROR(__xludf.DUMMYFUNCTION("IF(AND(REGEXMATCH($H111,""50( ?['fF]([oO]{2})?[tT]?)?( ?[eE][rR]{2}[oO][rR])"")=FALSE,$H111&lt;&gt;"""",$I111&lt;&gt;""""),HYPERLINK(""https://www.munzee.com/m/""&amp;$H111&amp;""/""&amp;$I111&amp;""/map/?lat=""&amp;$D111&amp;""&amp;lon=""&amp;$E111&amp;""&amp;type=""&amp;$F111&amp;""&amp;name=""&amp;SUBSTITUTE($A111,""#"&amp;""",""%23""),$H111&amp;""/""&amp;$I111),IF($H111&lt;&gt;"""",IF(REGEXMATCH($H111,""50( ?['fF]([oO]{2})?[tT]?)?( ?[eE][rR]{2}[oO][rR])""),HYPERLINK(""https://www.munzee.com/map/?sandbox=1&amp;lat=""&amp;$D111&amp;""&amp;lon=""&amp;$E111&amp;""&amp;name=""&amp;SUBSTITUTE($A111,""#"",""%23""),""SANDBOX"""&amp;"),HYPERLINK(""https://www.munzee.com/m/""&amp;$H111&amp;""/deploys/0/type/""&amp;IFNA(VLOOKUP($F111,IMPORTRANGE(""https://docs.google.com/spreadsheets/d/1DliIGyDywdzxhd4svtjaewR0p9Y5UBTMNMQ2PcXsqss"",""type data!E2:F""),2,FALSE),$F111)&amp;""/"",$H111)),""""))"),"mortonfox/7222")</f>
        <v>mortonfox/7222</v>
      </c>
      <c r="K111" s="6" t="b">
        <v>1</v>
      </c>
      <c r="L111" s="9"/>
      <c r="M111" s="9">
        <f t="shared" si="1"/>
        <v>1</v>
      </c>
    </row>
    <row r="112">
      <c r="A112" s="3" t="s">
        <v>260</v>
      </c>
      <c r="B112" s="3">
        <v>10.0</v>
      </c>
      <c r="C112" s="3">
        <v>6.0</v>
      </c>
      <c r="D112" s="4">
        <v>51.5845207521197</v>
      </c>
      <c r="E112" s="4">
        <v>-0.2199359893218</v>
      </c>
      <c r="F112" s="3" t="s">
        <v>132</v>
      </c>
      <c r="G112" s="3" t="s">
        <v>133</v>
      </c>
      <c r="H112" s="6" t="s">
        <v>242</v>
      </c>
      <c r="I112" s="6">
        <v>1590.0</v>
      </c>
      <c r="J112" s="7" t="str">
        <f>IFERROR(__xludf.DUMMYFUNCTION("IF(AND(REGEXMATCH($H112,""50( ?['fF]([oO]{2})?[tT]?)?( ?[eE][rR]{2}[oO][rR])"")=FALSE,$H112&lt;&gt;"""",$I112&lt;&gt;""""),HYPERLINK(""https://www.munzee.com/m/""&amp;$H112&amp;""/""&amp;$I112&amp;""/map/?lat=""&amp;$D112&amp;""&amp;lon=""&amp;$E112&amp;""&amp;type=""&amp;$F112&amp;""&amp;name=""&amp;SUBSTITUTE($A112,""#"&amp;""",""%23""),$H112&amp;""/""&amp;$I112),IF($H112&lt;&gt;"""",IF(REGEXMATCH($H112,""50( ?['fF]([oO]{2})?[tT]?)?( ?[eE][rR]{2}[oO][rR])""),HYPERLINK(""https://www.munzee.com/map/?sandbox=1&amp;lat=""&amp;$D112&amp;""&amp;lon=""&amp;$E112&amp;""&amp;name=""&amp;SUBSTITUTE($A112,""#"",""%23""),""SANDBOX"""&amp;"),HYPERLINK(""https://www.munzee.com/m/""&amp;$H112&amp;""/deploys/0/type/""&amp;IFNA(VLOOKUP($F112,IMPORTRANGE(""https://docs.google.com/spreadsheets/d/1DliIGyDywdzxhd4svtjaewR0p9Y5UBTMNMQ2PcXsqss"",""type data!E2:F""),2,FALSE),$F112)&amp;""/"",$H112)),""""))"),"Noisette/1590")</f>
        <v>Noisette/1590</v>
      </c>
      <c r="K112" s="6" t="b">
        <v>1</v>
      </c>
      <c r="L112" s="10"/>
      <c r="M112" s="9">
        <f t="shared" si="1"/>
        <v>4</v>
      </c>
    </row>
    <row r="113">
      <c r="A113" s="3" t="s">
        <v>261</v>
      </c>
      <c r="B113" s="3">
        <v>10.0</v>
      </c>
      <c r="C113" s="3">
        <v>7.0</v>
      </c>
      <c r="D113" s="4">
        <v>51.5845207518924</v>
      </c>
      <c r="E113" s="4">
        <v>-0.2197046732329</v>
      </c>
      <c r="F113" s="3" t="s">
        <v>165</v>
      </c>
      <c r="G113" s="3" t="s">
        <v>166</v>
      </c>
      <c r="H113" s="6" t="s">
        <v>262</v>
      </c>
      <c r="I113" s="6">
        <v>8677.0</v>
      </c>
      <c r="J113" s="7" t="str">
        <f>IFERROR(__xludf.DUMMYFUNCTION("IF(AND(REGEXMATCH($H113,""50( ?['fF]([oO]{2})?[tT]?)?( ?[eE][rR]{2}[oO][rR])"")=FALSE,$H113&lt;&gt;"""",$I113&lt;&gt;""""),HYPERLINK(""https://www.munzee.com/m/""&amp;$H113&amp;""/""&amp;$I113&amp;""/map/?lat=""&amp;$D113&amp;""&amp;lon=""&amp;$E113&amp;""&amp;type=""&amp;$F113&amp;""&amp;name=""&amp;SUBSTITUTE($A113,""#"&amp;""",""%23""),$H113&amp;""/""&amp;$I113),IF($H113&lt;&gt;"""",IF(REGEXMATCH($H113,""50( ?['fF]([oO]{2})?[tT]?)?( ?[eE][rR]{2}[oO][rR])""),HYPERLINK(""https://www.munzee.com/map/?sandbox=1&amp;lat=""&amp;$D113&amp;""&amp;lon=""&amp;$E113&amp;""&amp;name=""&amp;SUBSTITUTE($A113,""#"",""%23""),""SANDBOX"""&amp;"),HYPERLINK(""https://www.munzee.com/m/""&amp;$H113&amp;""/deploys/0/type/""&amp;IFNA(VLOOKUP($F113,IMPORTRANGE(""https://docs.google.com/spreadsheets/d/1DliIGyDywdzxhd4svtjaewR0p9Y5UBTMNMQ2PcXsqss"",""type data!E2:F""),2,FALSE),$F113)&amp;""/"",$H113)),""""))"),"Peter1980/8677")</f>
        <v>Peter1980/8677</v>
      </c>
      <c r="K113" s="6"/>
      <c r="L113" s="6"/>
      <c r="M113" s="9">
        <f t="shared" si="1"/>
        <v>0</v>
      </c>
    </row>
    <row r="114">
      <c r="A114" s="3" t="s">
        <v>263</v>
      </c>
      <c r="B114" s="3">
        <v>10.0</v>
      </c>
      <c r="C114" s="3">
        <v>8.0</v>
      </c>
      <c r="D114" s="4">
        <v>51.584520751665</v>
      </c>
      <c r="E114" s="4">
        <v>-0.2194733571439</v>
      </c>
      <c r="F114" s="3" t="s">
        <v>196</v>
      </c>
      <c r="G114" s="3" t="s">
        <v>197</v>
      </c>
      <c r="H114" s="6" t="s">
        <v>264</v>
      </c>
      <c r="I114" s="6">
        <v>1373.0</v>
      </c>
      <c r="J114" s="7" t="str">
        <f>IFERROR(__xludf.DUMMYFUNCTION("IF(AND(REGEXMATCH($H114,""50( ?['fF]([oO]{2})?[tT]?)?( ?[eE][rR]{2}[oO][rR])"")=FALSE,$H114&lt;&gt;"""",$I114&lt;&gt;""""),HYPERLINK(""https://www.munzee.com/m/""&amp;$H114&amp;""/""&amp;$I114&amp;""/map/?lat=""&amp;$D114&amp;""&amp;lon=""&amp;$E114&amp;""&amp;type=""&amp;$F114&amp;""&amp;name=""&amp;SUBSTITUTE($A114,""#"&amp;""",""%23""),$H114&amp;""/""&amp;$I114),IF($H114&lt;&gt;"""",IF(REGEXMATCH($H114,""50( ?['fF]([oO]{2})?[tT]?)?( ?[eE][rR]{2}[oO][rR])""),HYPERLINK(""https://www.munzee.com/map/?sandbox=1&amp;lat=""&amp;$D114&amp;""&amp;lon=""&amp;$E114&amp;""&amp;name=""&amp;SUBSTITUTE($A114,""#"",""%23""),""SANDBOX"""&amp;"),HYPERLINK(""https://www.munzee.com/m/""&amp;$H114&amp;""/deploys/0/type/""&amp;IFNA(VLOOKUP($F114,IMPORTRANGE(""https://docs.google.com/spreadsheets/d/1DliIGyDywdzxhd4svtjaewR0p9Y5UBTMNMQ2PcXsqss"",""type data!E2:F""),2,FALSE),$F114)&amp;""/"",$H114)),""""))"),"SammIam/1373")</f>
        <v>SammIam/1373</v>
      </c>
      <c r="K114" s="6" t="b">
        <v>1</v>
      </c>
      <c r="L114" s="9"/>
      <c r="M114" s="9">
        <f t="shared" si="1"/>
        <v>1</v>
      </c>
    </row>
    <row r="115">
      <c r="A115" s="3" t="s">
        <v>265</v>
      </c>
      <c r="B115" s="3">
        <v>10.0</v>
      </c>
      <c r="C115" s="3">
        <v>9.0</v>
      </c>
      <c r="D115" s="4">
        <v>51.5845207514377</v>
      </c>
      <c r="E115" s="4">
        <v>-0.2192420410549</v>
      </c>
      <c r="F115" s="3" t="s">
        <v>235</v>
      </c>
      <c r="G115" s="3" t="s">
        <v>236</v>
      </c>
      <c r="H115" s="6" t="s">
        <v>266</v>
      </c>
      <c r="I115" s="6">
        <v>437.0</v>
      </c>
      <c r="J115" s="7" t="str">
        <f>IFERROR(__xludf.DUMMYFUNCTION("IF(AND(REGEXMATCH($H115,""50( ?['fF]([oO]{2})?[tT]?)?( ?[eE][rR]{2}[oO][rR])"")=FALSE,$H115&lt;&gt;"""",$I115&lt;&gt;""""),HYPERLINK(""https://www.munzee.com/m/""&amp;$H115&amp;""/""&amp;$I115&amp;""/map/?lat=""&amp;$D115&amp;""&amp;lon=""&amp;$E115&amp;""&amp;type=""&amp;$F115&amp;""&amp;name=""&amp;SUBSTITUTE($A115,""#"&amp;""",""%23""),$H115&amp;""/""&amp;$I115),IF($H115&lt;&gt;"""",IF(REGEXMATCH($H115,""50( ?['fF]([oO]{2})?[tT]?)?( ?[eE][rR]{2}[oO][rR])""),HYPERLINK(""https://www.munzee.com/map/?sandbox=1&amp;lat=""&amp;$D115&amp;""&amp;lon=""&amp;$E115&amp;""&amp;name=""&amp;SUBSTITUTE($A115,""#"",""%23""),""SANDBOX"""&amp;"),HYPERLINK(""https://www.munzee.com/m/""&amp;$H115&amp;""/deploys/0/type/""&amp;IFNA(VLOOKUP($F115,IMPORTRANGE(""https://docs.google.com/spreadsheets/d/1DliIGyDywdzxhd4svtjaewR0p9Y5UBTMNMQ2PcXsqss"",""type data!E2:F""),2,FALSE),$F115)&amp;""/"",$H115)),""""))"),"ArchieRuby/437")</f>
        <v>ArchieRuby/437</v>
      </c>
      <c r="K115" s="6" t="b">
        <v>1</v>
      </c>
      <c r="L115" s="9"/>
      <c r="M115" s="9">
        <f t="shared" si="1"/>
        <v>1</v>
      </c>
    </row>
    <row r="116">
      <c r="A116" s="3" t="s">
        <v>267</v>
      </c>
      <c r="B116" s="3">
        <v>10.0</v>
      </c>
      <c r="C116" s="3">
        <v>10.0</v>
      </c>
      <c r="D116" s="4">
        <v>51.5845207512104</v>
      </c>
      <c r="E116" s="4">
        <v>-0.219010724966</v>
      </c>
      <c r="F116" s="3" t="s">
        <v>268</v>
      </c>
      <c r="G116" s="3" t="s">
        <v>269</v>
      </c>
      <c r="H116" s="6" t="s">
        <v>118</v>
      </c>
      <c r="I116" s="6">
        <v>7323.0</v>
      </c>
      <c r="J116" s="7" t="str">
        <f>IFERROR(__xludf.DUMMYFUNCTION("IF(AND(REGEXMATCH($H116,""50( ?['fF]([oO]{2})?[tT]?)?( ?[eE][rR]{2}[oO][rR])"")=FALSE,$H116&lt;&gt;"""",$I116&lt;&gt;""""),HYPERLINK(""https://www.munzee.com/m/""&amp;$H116&amp;""/""&amp;$I116&amp;""/map/?lat=""&amp;$D116&amp;""&amp;lon=""&amp;$E116&amp;""&amp;type=""&amp;$F116&amp;""&amp;name=""&amp;SUBSTITUTE($A116,""#"&amp;""",""%23""),$H116&amp;""/""&amp;$I116),IF($H116&lt;&gt;"""",IF(REGEXMATCH($H116,""50( ?['fF]([oO]{2})?[tT]?)?( ?[eE][rR]{2}[oO][rR])""),HYPERLINK(""https://www.munzee.com/map/?sandbox=1&amp;lat=""&amp;$D116&amp;""&amp;lon=""&amp;$E116&amp;""&amp;name=""&amp;SUBSTITUTE($A116,""#"",""%23""),""SANDBOX"""&amp;"),HYPERLINK(""https://www.munzee.com/m/""&amp;$H116&amp;""/deploys/0/type/""&amp;IFNA(VLOOKUP($F116,IMPORTRANGE(""https://docs.google.com/spreadsheets/d/1DliIGyDywdzxhd4svtjaewR0p9Y5UBTMNMQ2PcXsqss"",""type data!E2:F""),2,FALSE),$F116)&amp;""/"",$H116)),""""))"),"monrose/7323")</f>
        <v>monrose/7323</v>
      </c>
      <c r="K116" s="6" t="b">
        <v>1</v>
      </c>
      <c r="L116" s="6"/>
      <c r="M116" s="9">
        <f t="shared" si="1"/>
        <v>3</v>
      </c>
    </row>
    <row r="117">
      <c r="A117" s="3" t="s">
        <v>270</v>
      </c>
      <c r="B117" s="3">
        <v>10.0</v>
      </c>
      <c r="C117" s="3">
        <v>11.0</v>
      </c>
      <c r="D117" s="4">
        <v>51.584520750983</v>
      </c>
      <c r="E117" s="4">
        <v>-0.2187794088771</v>
      </c>
      <c r="F117" s="3" t="s">
        <v>271</v>
      </c>
      <c r="G117" s="3" t="s">
        <v>272</v>
      </c>
      <c r="H117" s="14" t="s">
        <v>273</v>
      </c>
      <c r="I117" s="6"/>
      <c r="J117" s="7" t="str">
        <f>IFERROR(__xludf.DUMMYFUNCTION("IF(AND(REGEXMATCH($H117,""50( ?['fF]([oO]{2})?[tT]?)?( ?[eE][rR]{2}[oO][rR])"")=FALSE,$H117&lt;&gt;"""",$I117&lt;&gt;""""),HYPERLINK(""https://www.munzee.com/m/""&amp;$H117&amp;""/""&amp;$I117&amp;""/map/?lat=""&amp;$D117&amp;""&amp;lon=""&amp;$E117&amp;""&amp;type=""&amp;$F117&amp;""&amp;name=""&amp;SUBSTITUTE($A117,""#"&amp;""",""%23""),$H117&amp;""/""&amp;$I117),IF($H117&lt;&gt;"""",IF(REGEXMATCH($H117,""50( ?['fF]([oO]{2})?[tT]?)?( ?[eE][rR]{2}[oO][rR])""),HYPERLINK(""https://www.munzee.com/map/?sandbox=1&amp;lat=""&amp;$D117&amp;""&amp;lon=""&amp;$E117&amp;""&amp;name=""&amp;SUBSTITUTE($A117,""#"",""%23""),""SANDBOX"""&amp;"),HYPERLINK(""https://www.munzee.com/m/""&amp;$H117&amp;""/deploys/0/type/""&amp;IFNA(VLOOKUP($F117,IMPORTRANGE(""https://docs.google.com/spreadsheets/d/1DliIGyDywdzxhd4svtjaewR0p9Y5UBTMNMQ2PcXsqss"",""type data!E2:F""),2,FALSE),$F117)&amp;""/"",$H117)),""""))"),"SANDBOX")</f>
        <v>SANDBOX</v>
      </c>
      <c r="K117" s="6"/>
      <c r="L117" s="20" t="s">
        <v>274</v>
      </c>
      <c r="M117" s="9">
        <f t="shared" si="1"/>
        <v>0</v>
      </c>
    </row>
    <row r="118">
      <c r="A118" s="3" t="s">
        <v>275</v>
      </c>
      <c r="B118" s="3">
        <v>10.0</v>
      </c>
      <c r="C118" s="3">
        <v>12.0</v>
      </c>
      <c r="D118" s="4">
        <v>51.5845207507557</v>
      </c>
      <c r="E118" s="4">
        <v>-0.2185480927883</v>
      </c>
      <c r="F118" s="3" t="s">
        <v>268</v>
      </c>
      <c r="G118" s="3" t="s">
        <v>269</v>
      </c>
      <c r="H118" s="6" t="s">
        <v>276</v>
      </c>
      <c r="I118" s="6">
        <v>4144.0</v>
      </c>
      <c r="J118" s="7" t="str">
        <f>IFERROR(__xludf.DUMMYFUNCTION("IF(AND(REGEXMATCH($H118,""50( ?['fF]([oO]{2})?[tT]?)?( ?[eE][rR]{2}[oO][rR])"")=FALSE,$H118&lt;&gt;"""",$I118&lt;&gt;""""),HYPERLINK(""https://www.munzee.com/m/""&amp;$H118&amp;""/""&amp;$I118&amp;""/map/?lat=""&amp;$D118&amp;""&amp;lon=""&amp;$E118&amp;""&amp;type=""&amp;$F118&amp;""&amp;name=""&amp;SUBSTITUTE($A118,""#"&amp;""",""%23""),$H118&amp;""/""&amp;$I118),IF($H118&lt;&gt;"""",IF(REGEXMATCH($H118,""50( ?['fF]([oO]{2})?[tT]?)?( ?[eE][rR]{2}[oO][rR])""),HYPERLINK(""https://www.munzee.com/map/?sandbox=1&amp;lat=""&amp;$D118&amp;""&amp;lon=""&amp;$E118&amp;""&amp;name=""&amp;SUBSTITUTE($A118,""#"",""%23""),""SANDBOX"""&amp;"),HYPERLINK(""https://www.munzee.com/m/""&amp;$H118&amp;""/deploys/0/type/""&amp;IFNA(VLOOKUP($F118,IMPORTRANGE(""https://docs.google.com/spreadsheets/d/1DliIGyDywdzxhd4svtjaewR0p9Y5UBTMNMQ2PcXsqss"",""type data!E2:F""),2,FALSE),$F118)&amp;""/"",$H118)),""""))"),"mding4gold/4144")</f>
        <v>mding4gold/4144</v>
      </c>
      <c r="K118" s="6" t="b">
        <v>1</v>
      </c>
      <c r="L118" s="18" t="s">
        <v>277</v>
      </c>
      <c r="M118" s="9">
        <f t="shared" si="1"/>
        <v>1</v>
      </c>
    </row>
    <row r="119">
      <c r="A119" s="3" t="s">
        <v>278</v>
      </c>
      <c r="B119" s="3">
        <v>10.0</v>
      </c>
      <c r="C119" s="3">
        <v>13.0</v>
      </c>
      <c r="D119" s="4">
        <v>51.5845207505284</v>
      </c>
      <c r="E119" s="4">
        <v>-0.2183167766995</v>
      </c>
      <c r="F119" s="3" t="s">
        <v>235</v>
      </c>
      <c r="G119" s="3" t="s">
        <v>236</v>
      </c>
      <c r="H119" s="6" t="s">
        <v>279</v>
      </c>
      <c r="I119" s="6">
        <v>2885.0</v>
      </c>
      <c r="J119" s="7" t="str">
        <f>IFERROR(__xludf.DUMMYFUNCTION("IF(AND(REGEXMATCH($H119,""50( ?['fF]([oO]{2})?[tT]?)?( ?[eE][rR]{2}[oO][rR])"")=FALSE,$H119&lt;&gt;"""",$I119&lt;&gt;""""),HYPERLINK(""https://www.munzee.com/m/""&amp;$H119&amp;""/""&amp;$I119&amp;""/map/?lat=""&amp;$D119&amp;""&amp;lon=""&amp;$E119&amp;""&amp;type=""&amp;$F119&amp;""&amp;name=""&amp;SUBSTITUTE($A119,""#"&amp;""",""%23""),$H119&amp;""/""&amp;$I119),IF($H119&lt;&gt;"""",IF(REGEXMATCH($H119,""50( ?['fF]([oO]{2})?[tT]?)?( ?[eE][rR]{2}[oO][rR])""),HYPERLINK(""https://www.munzee.com/map/?sandbox=1&amp;lat=""&amp;$D119&amp;""&amp;lon=""&amp;$E119&amp;""&amp;name=""&amp;SUBSTITUTE($A119,""#"",""%23""),""SANDBOX"""&amp;"),HYPERLINK(""https://www.munzee.com/m/""&amp;$H119&amp;""/deploys/0/type/""&amp;IFNA(VLOOKUP($F119,IMPORTRANGE(""https://docs.google.com/spreadsheets/d/1DliIGyDywdzxhd4svtjaewR0p9Y5UBTMNMQ2PcXsqss"",""type data!E2:F""),2,FALSE),$F119)&amp;""/"",$H119)),""""))"),"Bungle/2885")</f>
        <v>Bungle/2885</v>
      </c>
      <c r="K119" s="6" t="b">
        <v>1</v>
      </c>
      <c r="L119" s="9"/>
      <c r="M119" s="9">
        <f t="shared" si="1"/>
        <v>1</v>
      </c>
    </row>
    <row r="120">
      <c r="A120" s="3" t="s">
        <v>280</v>
      </c>
      <c r="B120" s="3">
        <v>10.0</v>
      </c>
      <c r="C120" s="3">
        <v>14.0</v>
      </c>
      <c r="D120" s="4">
        <v>51.584520750301</v>
      </c>
      <c r="E120" s="4">
        <v>-0.2180854606106</v>
      </c>
      <c r="F120" s="3" t="s">
        <v>196</v>
      </c>
      <c r="G120" s="3" t="s">
        <v>197</v>
      </c>
      <c r="H120" s="6" t="s">
        <v>217</v>
      </c>
      <c r="I120" s="6">
        <v>2649.0</v>
      </c>
      <c r="J120" s="7" t="str">
        <f>IFERROR(__xludf.DUMMYFUNCTION("IF(AND(REGEXMATCH($H120,""50( ?['fF]([oO]{2})?[tT]?)?( ?[eE][rR]{2}[oO][rR])"")=FALSE,$H120&lt;&gt;"""",$I120&lt;&gt;""""),HYPERLINK(""https://www.munzee.com/m/""&amp;$H120&amp;""/""&amp;$I120&amp;""/map/?lat=""&amp;$D120&amp;""&amp;lon=""&amp;$E120&amp;""&amp;type=""&amp;$F120&amp;""&amp;name=""&amp;SUBSTITUTE($A120,""#"&amp;""",""%23""),$H120&amp;""/""&amp;$I120),IF($H120&lt;&gt;"""",IF(REGEXMATCH($H120,""50( ?['fF]([oO]{2})?[tT]?)?( ?[eE][rR]{2}[oO][rR])""),HYPERLINK(""https://www.munzee.com/map/?sandbox=1&amp;lat=""&amp;$D120&amp;""&amp;lon=""&amp;$E120&amp;""&amp;name=""&amp;SUBSTITUTE($A120,""#"",""%23""),""SANDBOX"""&amp;"),HYPERLINK(""https://www.munzee.com/m/""&amp;$H120&amp;""/deploys/0/type/""&amp;IFNA(VLOOKUP($F120,IMPORTRANGE(""https://docs.google.com/spreadsheets/d/1DliIGyDywdzxhd4svtjaewR0p9Y5UBTMNMQ2PcXsqss"",""type data!E2:F""),2,FALSE),$F120)&amp;""/"",$H120)),""""))"),"Beermaven/2649")</f>
        <v>Beermaven/2649</v>
      </c>
      <c r="K120" s="6" t="b">
        <v>1</v>
      </c>
      <c r="L120" s="16" t="s">
        <v>281</v>
      </c>
      <c r="M120" s="9">
        <f t="shared" si="1"/>
        <v>4</v>
      </c>
    </row>
    <row r="121">
      <c r="A121" s="3" t="s">
        <v>282</v>
      </c>
      <c r="B121" s="3">
        <v>10.0</v>
      </c>
      <c r="C121" s="3">
        <v>15.0</v>
      </c>
      <c r="D121" s="4">
        <v>51.5845207500737</v>
      </c>
      <c r="E121" s="4">
        <v>-0.2178541445218</v>
      </c>
      <c r="F121" s="3" t="s">
        <v>165</v>
      </c>
      <c r="G121" s="3" t="s">
        <v>166</v>
      </c>
      <c r="H121" s="3" t="s">
        <v>283</v>
      </c>
      <c r="I121" s="6">
        <v>6821.0</v>
      </c>
      <c r="J121" s="7" t="str">
        <f>IFERROR(__xludf.DUMMYFUNCTION("IF(AND(REGEXMATCH($H121,""50( ?['fF]([oO]{2})?[tT]?)?( ?[eE][rR]{2}[oO][rR])"")=FALSE,$H121&lt;&gt;"""",$I121&lt;&gt;""""),HYPERLINK(""https://www.munzee.com/m/""&amp;$H121&amp;""/""&amp;$I121&amp;""/map/?lat=""&amp;$D121&amp;""&amp;lon=""&amp;$E121&amp;""&amp;type=""&amp;$F121&amp;""&amp;name=""&amp;SUBSTITUTE($A121,""#"&amp;""",""%23""),$H121&amp;""/""&amp;$I121),IF($H121&lt;&gt;"""",IF(REGEXMATCH($H121,""50( ?['fF]([oO]{2})?[tT]?)?( ?[eE][rR]{2}[oO][rR])""),HYPERLINK(""https://www.munzee.com/map/?sandbox=1&amp;lat=""&amp;$D121&amp;""&amp;lon=""&amp;$E121&amp;""&amp;name=""&amp;SUBSTITUTE($A121,""#"",""%23""),""SANDBOX"""&amp;"),HYPERLINK(""https://www.munzee.com/m/""&amp;$H121&amp;""/deploys/0/type/""&amp;IFNA(VLOOKUP($F121,IMPORTRANGE(""https://docs.google.com/spreadsheets/d/1DliIGyDywdzxhd4svtjaewR0p9Y5UBTMNMQ2PcXsqss"",""type data!E2:F""),2,FALSE),$F121)&amp;""/"",$H121)),""""))"),"shrekmiester/6821")</f>
        <v>shrekmiester/6821</v>
      </c>
      <c r="K121" s="6" t="b">
        <v>1</v>
      </c>
      <c r="L121" s="9"/>
      <c r="M121" s="9">
        <f t="shared" si="1"/>
        <v>1</v>
      </c>
    </row>
    <row r="122">
      <c r="A122" s="3" t="s">
        <v>284</v>
      </c>
      <c r="B122" s="3">
        <v>10.0</v>
      </c>
      <c r="C122" s="3">
        <v>16.0</v>
      </c>
      <c r="D122" s="4">
        <v>51.5845207498464</v>
      </c>
      <c r="E122" s="4">
        <v>-0.2176228284329</v>
      </c>
      <c r="F122" s="3" t="s">
        <v>132</v>
      </c>
      <c r="G122" s="3" t="s">
        <v>133</v>
      </c>
      <c r="H122" s="3" t="s">
        <v>285</v>
      </c>
      <c r="I122" s="6">
        <v>7037.0</v>
      </c>
      <c r="J122" s="7" t="str">
        <f>IFERROR(__xludf.DUMMYFUNCTION("IF(AND(REGEXMATCH($H122,""50( ?['fF]([oO]{2})?[tT]?)?( ?[eE][rR]{2}[oO][rR])"")=FALSE,$H122&lt;&gt;"""",$I122&lt;&gt;""""),HYPERLINK(""https://www.munzee.com/m/""&amp;$H122&amp;""/""&amp;$I122&amp;""/map/?lat=""&amp;$D122&amp;""&amp;lon=""&amp;$E122&amp;""&amp;type=""&amp;$F122&amp;""&amp;name=""&amp;SUBSTITUTE($A122,""#"&amp;""",""%23""),$H122&amp;""/""&amp;$I122),IF($H122&lt;&gt;"""",IF(REGEXMATCH($H122,""50( ?['fF]([oO]{2})?[tT]?)?( ?[eE][rR]{2}[oO][rR])""),HYPERLINK(""https://www.munzee.com/map/?sandbox=1&amp;lat=""&amp;$D122&amp;""&amp;lon=""&amp;$E122&amp;""&amp;name=""&amp;SUBSTITUTE($A122,""#"",""%23""),""SANDBOX"""&amp;"),HYPERLINK(""https://www.munzee.com/m/""&amp;$H122&amp;""/deploys/0/type/""&amp;IFNA(VLOOKUP($F122,IMPORTRANGE(""https://docs.google.com/spreadsheets/d/1DliIGyDywdzxhd4svtjaewR0p9Y5UBTMNMQ2PcXsqss"",""type data!E2:F""),2,FALSE),$F122)&amp;""/"",$H122)),""""))"),"newbee/7037")</f>
        <v>newbee/7037</v>
      </c>
      <c r="K122" s="6" t="b">
        <v>1</v>
      </c>
      <c r="L122" s="9"/>
      <c r="M122" s="9">
        <f t="shared" si="1"/>
        <v>1</v>
      </c>
    </row>
    <row r="123">
      <c r="A123" s="3" t="s">
        <v>286</v>
      </c>
      <c r="B123" s="3">
        <v>10.0</v>
      </c>
      <c r="C123" s="3">
        <v>17.0</v>
      </c>
      <c r="D123" s="4">
        <v>51.584520749619</v>
      </c>
      <c r="E123" s="4">
        <v>-0.2173915123441</v>
      </c>
      <c r="F123" s="3" t="s">
        <v>29</v>
      </c>
      <c r="G123" s="3" t="s">
        <v>30</v>
      </c>
      <c r="H123" s="6" t="s">
        <v>287</v>
      </c>
      <c r="I123" s="6">
        <v>2738.0</v>
      </c>
      <c r="J123" s="7" t="str">
        <f>IFERROR(__xludf.DUMMYFUNCTION("IF(AND(REGEXMATCH($H123,""50( ?['fF]([oO]{2})?[tT]?)?( ?[eE][rR]{2}[oO][rR])"")=FALSE,$H123&lt;&gt;"""",$I123&lt;&gt;""""),HYPERLINK(""https://www.munzee.com/m/""&amp;$H123&amp;""/""&amp;$I123&amp;""/map/?lat=""&amp;$D123&amp;""&amp;lon=""&amp;$E123&amp;""&amp;type=""&amp;$F123&amp;""&amp;name=""&amp;SUBSTITUTE($A123,""#"&amp;""",""%23""),$H123&amp;""/""&amp;$I123),IF($H123&lt;&gt;"""",IF(REGEXMATCH($H123,""50( ?['fF]([oO]{2})?[tT]?)?( ?[eE][rR]{2}[oO][rR])""),HYPERLINK(""https://www.munzee.com/map/?sandbox=1&amp;lat=""&amp;$D123&amp;""&amp;lon=""&amp;$E123&amp;""&amp;name=""&amp;SUBSTITUTE($A123,""#"",""%23""),""SANDBOX"""&amp;"),HYPERLINK(""https://www.munzee.com/m/""&amp;$H123&amp;""/deploys/0/type/""&amp;IFNA(VLOOKUP($F123,IMPORTRANGE(""https://docs.google.com/spreadsheets/d/1DliIGyDywdzxhd4svtjaewR0p9Y5UBTMNMQ2PcXsqss"",""type data!E2:F""),2,FALSE),$F123)&amp;""/"",$H123)),""""))"),"Lehmis/2738")</f>
        <v>Lehmis/2738</v>
      </c>
      <c r="K123" s="6" t="b">
        <v>1</v>
      </c>
      <c r="L123" s="9"/>
      <c r="M123" s="9">
        <f t="shared" si="1"/>
        <v>1</v>
      </c>
    </row>
    <row r="124">
      <c r="A124" s="3" t="s">
        <v>288</v>
      </c>
      <c r="B124" s="3">
        <v>10.0</v>
      </c>
      <c r="C124" s="3">
        <v>18.0</v>
      </c>
      <c r="D124" s="4">
        <v>51.5845207493917</v>
      </c>
      <c r="E124" s="4">
        <v>-0.2171601962552</v>
      </c>
      <c r="F124" s="3" t="s">
        <v>70</v>
      </c>
      <c r="G124" s="3" t="s">
        <v>71</v>
      </c>
      <c r="H124" s="6" t="s">
        <v>289</v>
      </c>
      <c r="I124" s="6">
        <v>2586.0</v>
      </c>
      <c r="J124" s="7" t="str">
        <f>IFERROR(__xludf.DUMMYFUNCTION("IF(AND(REGEXMATCH($H124,""50( ?['fF]([oO]{2})?[tT]?)?( ?[eE][rR]{2}[oO][rR])"")=FALSE,$H124&lt;&gt;"""",$I124&lt;&gt;""""),HYPERLINK(""https://www.munzee.com/m/""&amp;$H124&amp;""/""&amp;$I124&amp;""/map/?lat=""&amp;$D124&amp;""&amp;lon=""&amp;$E124&amp;""&amp;type=""&amp;$F124&amp;""&amp;name=""&amp;SUBSTITUTE($A124,""#"&amp;""",""%23""),$H124&amp;""/""&amp;$I124),IF($H124&lt;&gt;"""",IF(REGEXMATCH($H124,""50( ?['fF]([oO]{2})?[tT]?)?( ?[eE][rR]{2}[oO][rR])""),HYPERLINK(""https://www.munzee.com/map/?sandbox=1&amp;lat=""&amp;$D124&amp;""&amp;lon=""&amp;$E124&amp;""&amp;name=""&amp;SUBSTITUTE($A124,""#"",""%23""),""SANDBOX"""&amp;"),HYPERLINK(""https://www.munzee.com/m/""&amp;$H124&amp;""/deploys/0/type/""&amp;IFNA(VLOOKUP($F124,IMPORTRANGE(""https://docs.google.com/spreadsheets/d/1DliIGyDywdzxhd4svtjaewR0p9Y5UBTMNMQ2PcXsqss"",""type data!E2:F""),2,FALSE),$F124)&amp;""/"",$H124)),""""))"),"flipperandco/2586")</f>
        <v>flipperandco/2586</v>
      </c>
      <c r="K124" s="6" t="b">
        <v>1</v>
      </c>
      <c r="L124" s="10"/>
      <c r="M124" s="9">
        <f t="shared" si="1"/>
        <v>1</v>
      </c>
    </row>
    <row r="125">
      <c r="A125" s="3" t="s">
        <v>290</v>
      </c>
      <c r="B125" s="3">
        <v>10.0</v>
      </c>
      <c r="C125" s="3">
        <v>19.0</v>
      </c>
      <c r="D125" s="4">
        <v>51.5845207491644</v>
      </c>
      <c r="E125" s="4">
        <v>-0.2169288801664</v>
      </c>
      <c r="F125" s="3" t="s">
        <v>51</v>
      </c>
      <c r="G125" s="3" t="s">
        <v>52</v>
      </c>
      <c r="H125" s="6" t="s">
        <v>291</v>
      </c>
      <c r="I125" s="11">
        <v>13515.0</v>
      </c>
      <c r="J125" s="7" t="str">
        <f>IFERROR(__xludf.DUMMYFUNCTION("IF(AND(REGEXMATCH($H125,""50( ?['fF]([oO]{2})?[tT]?)?( ?[eE][rR]{2}[oO][rR])"")=FALSE,$H125&lt;&gt;"""",$I125&lt;&gt;""""),HYPERLINK(""https://www.munzee.com/m/""&amp;$H125&amp;""/""&amp;$I125&amp;""/map/?lat=""&amp;$D125&amp;""&amp;lon=""&amp;$E125&amp;""&amp;type=""&amp;$F125&amp;""&amp;name=""&amp;SUBSTITUTE($A125,""#"&amp;""",""%23""),$H125&amp;""/""&amp;$I125),IF($H125&lt;&gt;"""",IF(REGEXMATCH($H125,""50( ?['fF]([oO]{2})?[tT]?)?( ?[eE][rR]{2}[oO][rR])""),HYPERLINK(""https://www.munzee.com/map/?sandbox=1&amp;lat=""&amp;$D125&amp;""&amp;lon=""&amp;$E125&amp;""&amp;name=""&amp;SUBSTITUTE($A125,""#"",""%23""),""SANDBOX"""&amp;"),HYPERLINK(""https://www.munzee.com/m/""&amp;$H125&amp;""/deploys/0/type/""&amp;IFNA(VLOOKUP($F125,IMPORTRANGE(""https://docs.google.com/spreadsheets/d/1DliIGyDywdzxhd4svtjaewR0p9Y5UBTMNMQ2PcXsqss"",""type data!E2:F""),2,FALSE),$F125)&amp;""/"",$H125)),""""))"),"denali0407/13515")</f>
        <v>denali0407/13515</v>
      </c>
      <c r="K125" s="6" t="b">
        <v>1</v>
      </c>
      <c r="L125" s="9"/>
      <c r="M125" s="9">
        <f t="shared" si="1"/>
        <v>1</v>
      </c>
    </row>
    <row r="126">
      <c r="A126" s="3" t="s">
        <v>292</v>
      </c>
      <c r="B126" s="3">
        <v>10.0</v>
      </c>
      <c r="C126" s="3">
        <v>20.0</v>
      </c>
      <c r="D126" s="4">
        <v>51.5845207489371</v>
      </c>
      <c r="E126" s="4">
        <v>-0.2166975640775</v>
      </c>
      <c r="F126" s="3" t="s">
        <v>29</v>
      </c>
      <c r="G126" s="3" t="s">
        <v>30</v>
      </c>
      <c r="H126" s="6" t="s">
        <v>171</v>
      </c>
      <c r="I126" s="6">
        <v>819.0</v>
      </c>
      <c r="J126" s="7" t="str">
        <f>IFERROR(__xludf.DUMMYFUNCTION("IF(AND(REGEXMATCH($H126,""50( ?['fF]([oO]{2})?[tT]?)?( ?[eE][rR]{2}[oO][rR])"")=FALSE,$H126&lt;&gt;"""",$I126&lt;&gt;""""),HYPERLINK(""https://www.munzee.com/m/""&amp;$H126&amp;""/""&amp;$I126&amp;""/map/?lat=""&amp;$D126&amp;""&amp;lon=""&amp;$E126&amp;""&amp;type=""&amp;$F126&amp;""&amp;name=""&amp;SUBSTITUTE($A126,""#"&amp;""",""%23""),$H126&amp;""/""&amp;$I126),IF($H126&lt;&gt;"""",IF(REGEXMATCH($H126,""50( ?['fF]([oO]{2})?[tT]?)?( ?[eE][rR]{2}[oO][rR])""),HYPERLINK(""https://www.munzee.com/map/?sandbox=1&amp;lat=""&amp;$D126&amp;""&amp;lon=""&amp;$E126&amp;""&amp;name=""&amp;SUBSTITUTE($A126,""#"",""%23""),""SANDBOX"""&amp;"),HYPERLINK(""https://www.munzee.com/m/""&amp;$H126&amp;""/deploys/0/type/""&amp;IFNA(VLOOKUP($F126,IMPORTRANGE(""https://docs.google.com/spreadsheets/d/1DliIGyDywdzxhd4svtjaewR0p9Y5UBTMNMQ2PcXsqss"",""type data!E2:F""),2,FALSE),$F126)&amp;""/"",$H126)),""""))"),"klc1960/819")</f>
        <v>klc1960/819</v>
      </c>
      <c r="K126" s="6" t="b">
        <v>1</v>
      </c>
      <c r="L126" s="9"/>
      <c r="M126" s="9">
        <f t="shared" si="1"/>
        <v>6</v>
      </c>
    </row>
    <row r="127">
      <c r="A127" s="3" t="s">
        <v>293</v>
      </c>
      <c r="B127" s="3">
        <v>10.0</v>
      </c>
      <c r="C127" s="3">
        <v>21.0</v>
      </c>
      <c r="D127" s="4">
        <v>51.5845207487097</v>
      </c>
      <c r="E127" s="4">
        <v>-0.2164662479887</v>
      </c>
      <c r="F127" s="3" t="s">
        <v>14</v>
      </c>
      <c r="G127" s="3" t="s">
        <v>15</v>
      </c>
      <c r="H127" s="6" t="s">
        <v>154</v>
      </c>
      <c r="I127" s="6">
        <v>3653.0</v>
      </c>
      <c r="J127" s="7" t="str">
        <f>IFERROR(__xludf.DUMMYFUNCTION("IF(AND(REGEXMATCH($H127,""50( ?['fF]([oO]{2})?[tT]?)?( ?[eE][rR]{2}[oO][rR])"")=FALSE,$H127&lt;&gt;"""",$I127&lt;&gt;""""),HYPERLINK(""https://www.munzee.com/m/""&amp;$H127&amp;""/""&amp;$I127&amp;""/map/?lat=""&amp;$D127&amp;""&amp;lon=""&amp;$E127&amp;""&amp;type=""&amp;$F127&amp;""&amp;name=""&amp;SUBSTITUTE($A127,""#"&amp;""",""%23""),$H127&amp;""/""&amp;$I127),IF($H127&lt;&gt;"""",IF(REGEXMATCH($H127,""50( ?['fF]([oO]{2})?[tT]?)?( ?[eE][rR]{2}[oO][rR])""),HYPERLINK(""https://www.munzee.com/map/?sandbox=1&amp;lat=""&amp;$D127&amp;""&amp;lon=""&amp;$E127&amp;""&amp;name=""&amp;SUBSTITUTE($A127,""#"",""%23""),""SANDBOX"""&amp;"),HYPERLINK(""https://www.munzee.com/m/""&amp;$H127&amp;""/deploys/0/type/""&amp;IFNA(VLOOKUP($F127,IMPORTRANGE(""https://docs.google.com/spreadsheets/d/1DliIGyDywdzxhd4svtjaewR0p9Y5UBTMNMQ2PcXsqss"",""type data!E2:F""),2,FALSE),$F127)&amp;""/"",$H127)),""""))"),"Fossillady/3653")</f>
        <v>Fossillady/3653</v>
      </c>
      <c r="K127" s="6" t="b">
        <v>1</v>
      </c>
      <c r="L127" s="6"/>
      <c r="M127" s="9">
        <f t="shared" si="1"/>
        <v>2</v>
      </c>
    </row>
    <row r="128">
      <c r="A128" s="3" t="s">
        <v>294</v>
      </c>
      <c r="B128" s="3">
        <v>11.0</v>
      </c>
      <c r="C128" s="3">
        <v>1.0</v>
      </c>
      <c r="D128" s="4">
        <v>51.5843770228109</v>
      </c>
      <c r="E128" s="4">
        <v>-0.2210925844016</v>
      </c>
      <c r="F128" s="3" t="s">
        <v>19</v>
      </c>
      <c r="G128" s="3" t="s">
        <v>20</v>
      </c>
      <c r="H128" s="6" t="s">
        <v>295</v>
      </c>
      <c r="I128" s="6">
        <v>1435.0</v>
      </c>
      <c r="J128" s="7" t="str">
        <f>IFERROR(__xludf.DUMMYFUNCTION("IF(AND(REGEXMATCH($H128,""50( ?['fF]([oO]{2})?[tT]?)?( ?[eE][rR]{2}[oO][rR])"")=FALSE,$H128&lt;&gt;"""",$I128&lt;&gt;""""),HYPERLINK(""https://www.munzee.com/m/""&amp;$H128&amp;""/""&amp;$I128&amp;""/map/?lat=""&amp;$D128&amp;""&amp;lon=""&amp;$E128&amp;""&amp;type=""&amp;$F128&amp;""&amp;name=""&amp;SUBSTITUTE($A128,""#"&amp;""",""%23""),$H128&amp;""/""&amp;$I128),IF($H128&lt;&gt;"""",IF(REGEXMATCH($H128,""50( ?['fF]([oO]{2})?[tT]?)?( ?[eE][rR]{2}[oO][rR])""),HYPERLINK(""https://www.munzee.com/map/?sandbox=1&amp;lat=""&amp;$D128&amp;""&amp;lon=""&amp;$E128&amp;""&amp;name=""&amp;SUBSTITUTE($A128,""#"",""%23""),""SANDBOX"""&amp;"),HYPERLINK(""https://www.munzee.com/m/""&amp;$H128&amp;""/deploys/0/type/""&amp;IFNA(VLOOKUP($F128,IMPORTRANGE(""https://docs.google.com/spreadsheets/d/1DliIGyDywdzxhd4svtjaewR0p9Y5UBTMNMQ2PcXsqss"",""type data!E2:F""),2,FALSE),$F128)&amp;""/"",$H128)),""""))"),"ruckus2012/1435")</f>
        <v>ruckus2012/1435</v>
      </c>
      <c r="K128" s="6"/>
      <c r="L128" s="6" t="s">
        <v>296</v>
      </c>
      <c r="M128" s="9">
        <f t="shared" si="1"/>
        <v>0</v>
      </c>
    </row>
    <row r="129">
      <c r="A129" s="3" t="s">
        <v>297</v>
      </c>
      <c r="B129" s="3">
        <v>11.0</v>
      </c>
      <c r="C129" s="3">
        <v>2.0</v>
      </c>
      <c r="D129" s="4">
        <v>51.5843770225836</v>
      </c>
      <c r="E129" s="4">
        <v>-0.2208612690445</v>
      </c>
      <c r="F129" s="3" t="s">
        <v>33</v>
      </c>
      <c r="G129" s="3" t="s">
        <v>34</v>
      </c>
      <c r="H129" s="6" t="s">
        <v>298</v>
      </c>
      <c r="I129" s="6">
        <v>10480.0</v>
      </c>
      <c r="J129" s="7" t="str">
        <f>IFERROR(__xludf.DUMMYFUNCTION("IF(AND(REGEXMATCH($H129,""50( ?['fF]([oO]{2})?[tT]?)?( ?[eE][rR]{2}[oO][rR])"")=FALSE,$H129&lt;&gt;"""",$I129&lt;&gt;""""),HYPERLINK(""https://www.munzee.com/m/""&amp;$H129&amp;""/""&amp;$I129&amp;""/map/?lat=""&amp;$D129&amp;""&amp;lon=""&amp;$E129&amp;""&amp;type=""&amp;$F129&amp;""&amp;name=""&amp;SUBSTITUTE($A129,""#"&amp;""",""%23""),$H129&amp;""/""&amp;$I129),IF($H129&lt;&gt;"""",IF(REGEXMATCH($H129,""50( ?['fF]([oO]{2})?[tT]?)?( ?[eE][rR]{2}[oO][rR])""),HYPERLINK(""https://www.munzee.com/map/?sandbox=1&amp;lat=""&amp;$D129&amp;""&amp;lon=""&amp;$E129&amp;""&amp;name=""&amp;SUBSTITUTE($A129,""#"",""%23""),""SANDBOX"""&amp;"),HYPERLINK(""https://www.munzee.com/m/""&amp;$H129&amp;""/deploys/0/type/""&amp;IFNA(VLOOKUP($F129,IMPORTRANGE(""https://docs.google.com/spreadsheets/d/1DliIGyDywdzxhd4svtjaewR0p9Y5UBTMNMQ2PcXsqss"",""type data!E2:F""),2,FALSE),$F129)&amp;""/"",$H129)),""""))"),"roughdraft/10480")</f>
        <v>roughdraft/10480</v>
      </c>
      <c r="K129" s="6" t="b">
        <v>1</v>
      </c>
      <c r="L129" s="9"/>
      <c r="M129" s="9">
        <f t="shared" si="1"/>
        <v>1</v>
      </c>
    </row>
    <row r="130">
      <c r="A130" s="3" t="s">
        <v>299</v>
      </c>
      <c r="B130" s="3">
        <v>11.0</v>
      </c>
      <c r="C130" s="3">
        <v>3.0</v>
      </c>
      <c r="D130" s="4">
        <v>51.5843770223562</v>
      </c>
      <c r="E130" s="4">
        <v>-0.2206299536873</v>
      </c>
      <c r="F130" s="3" t="s">
        <v>51</v>
      </c>
      <c r="G130" s="3" t="s">
        <v>52</v>
      </c>
      <c r="H130" s="6" t="s">
        <v>300</v>
      </c>
      <c r="I130" s="6">
        <v>3746.0</v>
      </c>
      <c r="J130" s="7" t="str">
        <f>IFERROR(__xludf.DUMMYFUNCTION("IF(AND(REGEXMATCH($H130,""50( ?['fF]([oO]{2})?[tT]?)?( ?[eE][rR]{2}[oO][rR])"")=FALSE,$H130&lt;&gt;"""",$I130&lt;&gt;""""),HYPERLINK(""https://www.munzee.com/m/""&amp;$H130&amp;""/""&amp;$I130&amp;""/map/?lat=""&amp;$D130&amp;""&amp;lon=""&amp;$E130&amp;""&amp;type=""&amp;$F130&amp;""&amp;name=""&amp;SUBSTITUTE($A130,""#"&amp;""",""%23""),$H130&amp;""/""&amp;$I130),IF($H130&lt;&gt;"""",IF(REGEXMATCH($H130,""50( ?['fF]([oO]{2})?[tT]?)?( ?[eE][rR]{2}[oO][rR])""),HYPERLINK(""https://www.munzee.com/map/?sandbox=1&amp;lat=""&amp;$D130&amp;""&amp;lon=""&amp;$E130&amp;""&amp;name=""&amp;SUBSTITUTE($A130,""#"",""%23""),""SANDBOX"""&amp;"),HYPERLINK(""https://www.munzee.com/m/""&amp;$H130&amp;""/deploys/0/type/""&amp;IFNA(VLOOKUP($F130,IMPORTRANGE(""https://docs.google.com/spreadsheets/d/1DliIGyDywdzxhd4svtjaewR0p9Y5UBTMNMQ2PcXsqss"",""type data!E2:F""),2,FALSE),$F130)&amp;""/"",$H130)),""""))"),"NoahCache/3746")</f>
        <v>NoahCache/3746</v>
      </c>
      <c r="K130" s="6" t="b">
        <v>1</v>
      </c>
      <c r="L130" s="6"/>
      <c r="M130" s="9">
        <f t="shared" si="1"/>
        <v>2</v>
      </c>
    </row>
    <row r="131">
      <c r="A131" s="3" t="s">
        <v>301</v>
      </c>
      <c r="B131" s="3">
        <v>11.0</v>
      </c>
      <c r="C131" s="3">
        <v>4.0</v>
      </c>
      <c r="D131" s="4">
        <v>51.5843770221289</v>
      </c>
      <c r="E131" s="4">
        <v>-0.2203986383302</v>
      </c>
      <c r="F131" s="3" t="s">
        <v>70</v>
      </c>
      <c r="G131" s="3" t="s">
        <v>71</v>
      </c>
      <c r="H131" s="6" t="s">
        <v>130</v>
      </c>
      <c r="I131" s="6">
        <v>4513.0</v>
      </c>
      <c r="J131" s="7" t="str">
        <f>IFERROR(__xludf.DUMMYFUNCTION("IF(AND(REGEXMATCH($H131,""50( ?['fF]([oO]{2})?[tT]?)?( ?[eE][rR]{2}[oO][rR])"")=FALSE,$H131&lt;&gt;"""",$I131&lt;&gt;""""),HYPERLINK(""https://www.munzee.com/m/""&amp;$H131&amp;""/""&amp;$I131&amp;""/map/?lat=""&amp;$D131&amp;""&amp;lon=""&amp;$E131&amp;""&amp;type=""&amp;$F131&amp;""&amp;name=""&amp;SUBSTITUTE($A131,""#"&amp;""",""%23""),$H131&amp;""/""&amp;$I131),IF($H131&lt;&gt;"""",IF(REGEXMATCH($H131,""50( ?['fF]([oO]{2})?[tT]?)?( ?[eE][rR]{2}[oO][rR])""),HYPERLINK(""https://www.munzee.com/map/?sandbox=1&amp;lat=""&amp;$D131&amp;""&amp;lon=""&amp;$E131&amp;""&amp;name=""&amp;SUBSTITUTE($A131,""#"",""%23""),""SANDBOX"""&amp;"),HYPERLINK(""https://www.munzee.com/m/""&amp;$H131&amp;""/deploys/0/type/""&amp;IFNA(VLOOKUP($F131,IMPORTRANGE(""https://docs.google.com/spreadsheets/d/1DliIGyDywdzxhd4svtjaewR0p9Y5UBTMNMQ2PcXsqss"",""type data!E2:F""),2,FALSE),$F131)&amp;""/"",$H131)),""""))"),"raunas/4513")</f>
        <v>raunas/4513</v>
      </c>
      <c r="K131" s="6" t="b">
        <v>1</v>
      </c>
      <c r="L131" s="9"/>
      <c r="M131" s="9">
        <f t="shared" si="1"/>
        <v>7</v>
      </c>
    </row>
    <row r="132">
      <c r="A132" s="3" t="s">
        <v>302</v>
      </c>
      <c r="B132" s="3">
        <v>11.0</v>
      </c>
      <c r="C132" s="3">
        <v>5.0</v>
      </c>
      <c r="D132" s="4">
        <v>51.5843770219016</v>
      </c>
      <c r="E132" s="4">
        <v>-0.220167322973</v>
      </c>
      <c r="F132" s="3" t="s">
        <v>29</v>
      </c>
      <c r="G132" s="3" t="s">
        <v>30</v>
      </c>
      <c r="H132" s="6" t="s">
        <v>179</v>
      </c>
      <c r="I132" s="6">
        <v>24324.0</v>
      </c>
      <c r="J132" s="7" t="str">
        <f>IFERROR(__xludf.DUMMYFUNCTION("IF(AND(REGEXMATCH($H132,""50( ?['fF]([oO]{2})?[tT]?)?( ?[eE][rR]{2}[oO][rR])"")=FALSE,$H132&lt;&gt;"""",$I132&lt;&gt;""""),HYPERLINK(""https://www.munzee.com/m/""&amp;$H132&amp;""/""&amp;$I132&amp;""/map/?lat=""&amp;$D132&amp;""&amp;lon=""&amp;$E132&amp;""&amp;type=""&amp;$F132&amp;""&amp;name=""&amp;SUBSTITUTE($A132,""#"&amp;""",""%23""),$H132&amp;""/""&amp;$I132),IF($H132&lt;&gt;"""",IF(REGEXMATCH($H132,""50( ?['fF]([oO]{2})?[tT]?)?( ?[eE][rR]{2}[oO][rR])""),HYPERLINK(""https://www.munzee.com/map/?sandbox=1&amp;lat=""&amp;$D132&amp;""&amp;lon=""&amp;$E132&amp;""&amp;name=""&amp;SUBSTITUTE($A132,""#"",""%23""),""SANDBOX"""&amp;"),HYPERLINK(""https://www.munzee.com/m/""&amp;$H132&amp;""/deploys/0/type/""&amp;IFNA(VLOOKUP($F132,IMPORTRANGE(""https://docs.google.com/spreadsheets/d/1DliIGyDywdzxhd4svtjaewR0p9Y5UBTMNMQ2PcXsqss"",""type data!E2:F""),2,FALSE),$F132)&amp;""/"",$H132)),""""))"),"WanderingAus/24324")</f>
        <v>WanderingAus/24324</v>
      </c>
      <c r="K132" s="6" t="b">
        <v>1</v>
      </c>
      <c r="L132" s="9"/>
      <c r="M132" s="9">
        <f t="shared" si="1"/>
        <v>10</v>
      </c>
    </row>
    <row r="133">
      <c r="A133" s="3" t="s">
        <v>303</v>
      </c>
      <c r="B133" s="3">
        <v>11.0</v>
      </c>
      <c r="C133" s="3">
        <v>6.0</v>
      </c>
      <c r="D133" s="4">
        <v>51.5843770216742</v>
      </c>
      <c r="E133" s="4">
        <v>-0.2199360076158</v>
      </c>
      <c r="F133" s="3" t="s">
        <v>132</v>
      </c>
      <c r="G133" s="3" t="s">
        <v>133</v>
      </c>
      <c r="H133" s="6" t="s">
        <v>304</v>
      </c>
      <c r="I133" s="6">
        <v>6288.0</v>
      </c>
      <c r="J133" s="7" t="str">
        <f>IFERROR(__xludf.DUMMYFUNCTION("IF(AND(REGEXMATCH($H133,""50( ?['fF]([oO]{2})?[tT]?)?( ?[eE][rR]{2}[oO][rR])"")=FALSE,$H133&lt;&gt;"""",$I133&lt;&gt;""""),HYPERLINK(""https://www.munzee.com/m/""&amp;$H133&amp;""/""&amp;$I133&amp;""/map/?lat=""&amp;$D133&amp;""&amp;lon=""&amp;$E133&amp;""&amp;type=""&amp;$F133&amp;""&amp;name=""&amp;SUBSTITUTE($A133,""#"&amp;""",""%23""),$H133&amp;""/""&amp;$I133),IF($H133&lt;&gt;"""",IF(REGEXMATCH($H133,""50( ?['fF]([oO]{2})?[tT]?)?( ?[eE][rR]{2}[oO][rR])""),HYPERLINK(""https://www.munzee.com/map/?sandbox=1&amp;lat=""&amp;$D133&amp;""&amp;lon=""&amp;$E133&amp;""&amp;name=""&amp;SUBSTITUTE($A133,""#"",""%23""),""SANDBOX"""&amp;"),HYPERLINK(""https://www.munzee.com/m/""&amp;$H133&amp;""/deploys/0/type/""&amp;IFNA(VLOOKUP($F133,IMPORTRANGE(""https://docs.google.com/spreadsheets/d/1DliIGyDywdzxhd4svtjaewR0p9Y5UBTMNMQ2PcXsqss"",""type data!E2:F""),2,FALSE),$F133)&amp;""/"",$H133)),""""))"),"Newfruit/6288")</f>
        <v>Newfruit/6288</v>
      </c>
      <c r="K133" s="6" t="b">
        <v>1</v>
      </c>
      <c r="L133" s="9"/>
      <c r="M133" s="9">
        <f t="shared" si="1"/>
        <v>1</v>
      </c>
    </row>
    <row r="134">
      <c r="A134" s="3" t="s">
        <v>305</v>
      </c>
      <c r="B134" s="3">
        <v>11.0</v>
      </c>
      <c r="C134" s="3">
        <v>7.0</v>
      </c>
      <c r="D134" s="4">
        <v>51.5843770214469</v>
      </c>
      <c r="E134" s="4">
        <v>-0.2197046922587</v>
      </c>
      <c r="F134" s="3" t="s">
        <v>132</v>
      </c>
      <c r="G134" s="3" t="s">
        <v>133</v>
      </c>
      <c r="H134" s="6" t="s">
        <v>217</v>
      </c>
      <c r="I134" s="6">
        <v>3062.0</v>
      </c>
      <c r="J134" s="7" t="str">
        <f>IFERROR(__xludf.DUMMYFUNCTION("IF(AND(REGEXMATCH($H134,""50( ?['fF]([oO]{2})?[tT]?)?( ?[eE][rR]{2}[oO][rR])"")=FALSE,$H134&lt;&gt;"""",$I134&lt;&gt;""""),HYPERLINK(""https://www.munzee.com/m/""&amp;$H134&amp;""/""&amp;$I134&amp;""/map/?lat=""&amp;$D134&amp;""&amp;lon=""&amp;$E134&amp;""&amp;type=""&amp;$F134&amp;""&amp;name=""&amp;SUBSTITUTE($A134,""#"&amp;""",""%23""),$H134&amp;""/""&amp;$I134),IF($H134&lt;&gt;"""",IF(REGEXMATCH($H134,""50( ?['fF]([oO]{2})?[tT]?)?( ?[eE][rR]{2}[oO][rR])""),HYPERLINK(""https://www.munzee.com/map/?sandbox=1&amp;lat=""&amp;$D134&amp;""&amp;lon=""&amp;$E134&amp;""&amp;name=""&amp;SUBSTITUTE($A134,""#"",""%23""),""SANDBOX"""&amp;"),HYPERLINK(""https://www.munzee.com/m/""&amp;$H134&amp;""/deploys/0/type/""&amp;IFNA(VLOOKUP($F134,IMPORTRANGE(""https://docs.google.com/spreadsheets/d/1DliIGyDywdzxhd4svtjaewR0p9Y5UBTMNMQ2PcXsqss"",""type data!E2:F""),2,FALSE),$F134)&amp;""/"",$H134)),""""))"),"Beermaven/3062")</f>
        <v>Beermaven/3062</v>
      </c>
      <c r="K134" s="6" t="b">
        <v>1</v>
      </c>
      <c r="L134" s="16" t="s">
        <v>306</v>
      </c>
      <c r="M134" s="9">
        <f t="shared" si="1"/>
        <v>4</v>
      </c>
    </row>
    <row r="135">
      <c r="A135" s="3" t="s">
        <v>307</v>
      </c>
      <c r="B135" s="3">
        <v>11.0</v>
      </c>
      <c r="C135" s="3">
        <v>8.0</v>
      </c>
      <c r="D135" s="4">
        <v>51.5843770212196</v>
      </c>
      <c r="E135" s="4">
        <v>-0.2194733769015</v>
      </c>
      <c r="F135" s="3" t="s">
        <v>200</v>
      </c>
      <c r="G135" s="3" t="s">
        <v>201</v>
      </c>
      <c r="H135" s="6" t="s">
        <v>130</v>
      </c>
      <c r="I135" s="6">
        <v>4508.0</v>
      </c>
      <c r="J135" s="7" t="str">
        <f>IFERROR(__xludf.DUMMYFUNCTION("IF(AND(REGEXMATCH($H135,""50( ?['fF]([oO]{2})?[tT]?)?( ?[eE][rR]{2}[oO][rR])"")=FALSE,$H135&lt;&gt;"""",$I135&lt;&gt;""""),HYPERLINK(""https://www.munzee.com/m/""&amp;$H135&amp;""/""&amp;$I135&amp;""/map/?lat=""&amp;$D135&amp;""&amp;lon=""&amp;$E135&amp;""&amp;type=""&amp;$F135&amp;""&amp;name=""&amp;SUBSTITUTE($A135,""#"&amp;""",""%23""),$H135&amp;""/""&amp;$I135),IF($H135&lt;&gt;"""",IF(REGEXMATCH($H135,""50( ?['fF]([oO]{2})?[tT]?)?( ?[eE][rR]{2}[oO][rR])""),HYPERLINK(""https://www.munzee.com/map/?sandbox=1&amp;lat=""&amp;$D135&amp;""&amp;lon=""&amp;$E135&amp;""&amp;name=""&amp;SUBSTITUTE($A135,""#"",""%23""),""SANDBOX"""&amp;"),HYPERLINK(""https://www.munzee.com/m/""&amp;$H135&amp;""/deploys/0/type/""&amp;IFNA(VLOOKUP($F135,IMPORTRANGE(""https://docs.google.com/spreadsheets/d/1DliIGyDywdzxhd4svtjaewR0p9Y5UBTMNMQ2PcXsqss"",""type data!E2:F""),2,FALSE),$F135)&amp;""/"",$H135)),""""))"),"raunas/4508")</f>
        <v>raunas/4508</v>
      </c>
      <c r="K135" s="6" t="b">
        <v>1</v>
      </c>
      <c r="L135" s="9"/>
      <c r="M135" s="9">
        <f t="shared" si="1"/>
        <v>7</v>
      </c>
    </row>
    <row r="136">
      <c r="A136" s="3" t="s">
        <v>308</v>
      </c>
      <c r="B136" s="3">
        <v>11.0</v>
      </c>
      <c r="C136" s="3">
        <v>9.0</v>
      </c>
      <c r="D136" s="4">
        <v>51.5843770209922</v>
      </c>
      <c r="E136" s="4">
        <v>-0.2192420615444</v>
      </c>
      <c r="F136" s="3" t="s">
        <v>200</v>
      </c>
      <c r="G136" s="3" t="s">
        <v>201</v>
      </c>
      <c r="H136" s="6" t="s">
        <v>309</v>
      </c>
      <c r="I136" s="6">
        <v>10308.0</v>
      </c>
      <c r="J136" s="7" t="str">
        <f>IFERROR(__xludf.DUMMYFUNCTION("IF(AND(REGEXMATCH($H136,""50( ?['fF]([oO]{2})?[tT]?)?( ?[eE][rR]{2}[oO][rR])"")=FALSE,$H136&lt;&gt;"""",$I136&lt;&gt;""""),HYPERLINK(""https://www.munzee.com/m/""&amp;$H136&amp;""/""&amp;$I136&amp;""/map/?lat=""&amp;$D136&amp;""&amp;lon=""&amp;$E136&amp;""&amp;type=""&amp;$F136&amp;""&amp;name=""&amp;SUBSTITUTE($A136,""#"&amp;""",""%23""),$H136&amp;""/""&amp;$I136),IF($H136&lt;&gt;"""",IF(REGEXMATCH($H136,""50( ?['fF]([oO]{2})?[tT]?)?( ?[eE][rR]{2}[oO][rR])""),HYPERLINK(""https://www.munzee.com/map/?sandbox=1&amp;lat=""&amp;$D136&amp;""&amp;lon=""&amp;$E136&amp;""&amp;name=""&amp;SUBSTITUTE($A136,""#"",""%23""),""SANDBOX"""&amp;"),HYPERLINK(""https://www.munzee.com/m/""&amp;$H136&amp;""/deploys/0/type/""&amp;IFNA(VLOOKUP($F136,IMPORTRANGE(""https://docs.google.com/spreadsheets/d/1DliIGyDywdzxhd4svtjaewR0p9Y5UBTMNMQ2PcXsqss"",""type data!E2:F""),2,FALSE),$F136)&amp;""/"",$H136)),""""))"),"Derlame/10308")</f>
        <v>Derlame/10308</v>
      </c>
      <c r="K136" s="6" t="b">
        <v>1</v>
      </c>
      <c r="L136" s="9"/>
      <c r="M136" s="9">
        <f t="shared" si="1"/>
        <v>1</v>
      </c>
    </row>
    <row r="137">
      <c r="A137" s="3" t="s">
        <v>310</v>
      </c>
      <c r="B137" s="3">
        <v>11.0</v>
      </c>
      <c r="C137" s="3">
        <v>10.0</v>
      </c>
      <c r="D137" s="4">
        <v>51.5843770207649</v>
      </c>
      <c r="E137" s="4">
        <v>-0.2190107461872</v>
      </c>
      <c r="F137" s="3" t="s">
        <v>271</v>
      </c>
      <c r="G137" s="3" t="s">
        <v>272</v>
      </c>
      <c r="H137" s="6" t="s">
        <v>134</v>
      </c>
      <c r="I137" s="6">
        <v>4160.0</v>
      </c>
      <c r="J137" s="7" t="str">
        <f>IFERROR(__xludf.DUMMYFUNCTION("IF(AND(REGEXMATCH($H137,""50( ?['fF]([oO]{2})?[tT]?)?( ?[eE][rR]{2}[oO][rR])"")=FALSE,$H137&lt;&gt;"""",$I137&lt;&gt;""""),HYPERLINK(""https://www.munzee.com/m/""&amp;$H137&amp;""/""&amp;$I137&amp;""/map/?lat=""&amp;$D137&amp;""&amp;lon=""&amp;$E137&amp;""&amp;type=""&amp;$F137&amp;""&amp;name=""&amp;SUBSTITUTE($A137,""#"&amp;""",""%23""),$H137&amp;""/""&amp;$I137),IF($H137&lt;&gt;"""",IF(REGEXMATCH($H137,""50( ?['fF]([oO]{2})?[tT]?)?( ?[eE][rR]{2}[oO][rR])""),HYPERLINK(""https://www.munzee.com/map/?sandbox=1&amp;lat=""&amp;$D137&amp;""&amp;lon=""&amp;$E137&amp;""&amp;name=""&amp;SUBSTITUTE($A137,""#"",""%23""),""SANDBOX"""&amp;"),HYPERLINK(""https://www.munzee.com/m/""&amp;$H137&amp;""/deploys/0/type/""&amp;IFNA(VLOOKUP($F137,IMPORTRANGE(""https://docs.google.com/spreadsheets/d/1DliIGyDywdzxhd4svtjaewR0p9Y5UBTMNMQ2PcXsqss"",""type data!E2:F""),2,FALSE),$F137)&amp;""/"",$H137)),""""))"),"granitente/4160")</f>
        <v>granitente/4160</v>
      </c>
      <c r="K137" s="6" t="b">
        <v>1</v>
      </c>
      <c r="L137" s="9"/>
      <c r="M137" s="9">
        <f t="shared" si="1"/>
        <v>2</v>
      </c>
    </row>
    <row r="138">
      <c r="A138" s="3" t="s">
        <v>311</v>
      </c>
      <c r="B138" s="3">
        <v>11.0</v>
      </c>
      <c r="C138" s="3">
        <v>11.0</v>
      </c>
      <c r="D138" s="4">
        <v>51.5843770205376</v>
      </c>
      <c r="E138" s="4">
        <v>-0.2187794308301</v>
      </c>
      <c r="F138" s="3" t="s">
        <v>312</v>
      </c>
      <c r="G138" s="3" t="s">
        <v>313</v>
      </c>
      <c r="H138" s="14" t="s">
        <v>108</v>
      </c>
      <c r="I138" s="6">
        <v>1857.0</v>
      </c>
      <c r="J138" s="7" t="str">
        <f>IFERROR(__xludf.DUMMYFUNCTION("IF(AND(REGEXMATCH($H138,""50( ?['fF]([oO]{2})?[tT]?)?( ?[eE][rR]{2}[oO][rR])"")=FALSE,$H138&lt;&gt;"""",$I138&lt;&gt;""""),HYPERLINK(""https://www.munzee.com/m/""&amp;$H138&amp;""/""&amp;$I138&amp;""/map/?lat=""&amp;$D138&amp;""&amp;lon=""&amp;$E138&amp;""&amp;type=""&amp;$F138&amp;""&amp;name=""&amp;SUBSTITUTE($A138,""#"&amp;""",""%23""),$H138&amp;""/""&amp;$I138),IF($H138&lt;&gt;"""",IF(REGEXMATCH($H138,""50( ?['fF]([oO]{2})?[tT]?)?( ?[eE][rR]{2}[oO][rR])""),HYPERLINK(""https://www.munzee.com/map/?sandbox=1&amp;lat=""&amp;$D138&amp;""&amp;lon=""&amp;$E138&amp;""&amp;name=""&amp;SUBSTITUTE($A138,""#"",""%23""),""SANDBOX"""&amp;"),HYPERLINK(""https://www.munzee.com/m/""&amp;$H138&amp;""/deploys/0/type/""&amp;IFNA(VLOOKUP($F138,IMPORTRANGE(""https://docs.google.com/spreadsheets/d/1DliIGyDywdzxhd4svtjaewR0p9Y5UBTMNMQ2PcXsqss"",""type data!E2:F""),2,FALSE),$F138)&amp;""/"",$H138)),""""))"),"teamsturms/1857")</f>
        <v>teamsturms/1857</v>
      </c>
      <c r="K138" s="6" t="b">
        <v>1</v>
      </c>
      <c r="L138" s="6"/>
      <c r="M138" s="9">
        <f t="shared" si="1"/>
        <v>2</v>
      </c>
    </row>
    <row r="139">
      <c r="A139" s="3" t="s">
        <v>314</v>
      </c>
      <c r="B139" s="3">
        <v>11.0</v>
      </c>
      <c r="C139" s="3">
        <v>12.0</v>
      </c>
      <c r="D139" s="4">
        <v>51.5843770203103</v>
      </c>
      <c r="E139" s="4">
        <v>-0.2185481154729</v>
      </c>
      <c r="F139" s="3" t="s">
        <v>271</v>
      </c>
      <c r="G139" s="3" t="s">
        <v>272</v>
      </c>
      <c r="H139" s="6" t="s">
        <v>273</v>
      </c>
      <c r="I139" s="6"/>
      <c r="J139" s="7" t="str">
        <f>IFERROR(__xludf.DUMMYFUNCTION("IF(AND(REGEXMATCH($H139,""50( ?['fF]([oO]{2})?[tT]?)?( ?[eE][rR]{2}[oO][rR])"")=FALSE,$H139&lt;&gt;"""",$I139&lt;&gt;""""),HYPERLINK(""https://www.munzee.com/m/""&amp;$H139&amp;""/""&amp;$I139&amp;""/map/?lat=""&amp;$D139&amp;""&amp;lon=""&amp;$E139&amp;""&amp;type=""&amp;$F139&amp;""&amp;name=""&amp;SUBSTITUTE($A139,""#"&amp;""",""%23""),$H139&amp;""/""&amp;$I139),IF($H139&lt;&gt;"""",IF(REGEXMATCH($H139,""50( ?['fF]([oO]{2})?[tT]?)?( ?[eE][rR]{2}[oO][rR])""),HYPERLINK(""https://www.munzee.com/map/?sandbox=1&amp;lat=""&amp;$D139&amp;""&amp;lon=""&amp;$E139&amp;""&amp;name=""&amp;SUBSTITUTE($A139,""#"",""%23""),""SANDBOX"""&amp;"),HYPERLINK(""https://www.munzee.com/m/""&amp;$H139&amp;""/deploys/0/type/""&amp;IFNA(VLOOKUP($F139,IMPORTRANGE(""https://docs.google.com/spreadsheets/d/1DliIGyDywdzxhd4svtjaewR0p9Y5UBTMNMQ2PcXsqss"",""type data!E2:F""),2,FALSE),$F139)&amp;""/"",$H139)),""""))"),"SANDBOX")</f>
        <v>SANDBOX</v>
      </c>
      <c r="K139" s="6"/>
      <c r="L139" s="14" t="s">
        <v>315</v>
      </c>
      <c r="M139" s="9">
        <f t="shared" si="1"/>
        <v>0</v>
      </c>
    </row>
    <row r="140">
      <c r="A140" s="3" t="s">
        <v>316</v>
      </c>
      <c r="B140" s="3">
        <v>11.0</v>
      </c>
      <c r="C140" s="3">
        <v>13.0</v>
      </c>
      <c r="D140" s="4">
        <v>51.5843770200829</v>
      </c>
      <c r="E140" s="4">
        <v>-0.2183168001158</v>
      </c>
      <c r="F140" s="3" t="s">
        <v>200</v>
      </c>
      <c r="G140" s="3" t="s">
        <v>201</v>
      </c>
      <c r="H140" s="6" t="s">
        <v>317</v>
      </c>
      <c r="I140" s="6">
        <v>3937.0</v>
      </c>
      <c r="J140" s="7" t="str">
        <f>IFERROR(__xludf.DUMMYFUNCTION("IF(AND(REGEXMATCH($H140,""50( ?['fF]([oO]{2})?[tT]?)?( ?[eE][rR]{2}[oO][rR])"")=FALSE,$H140&lt;&gt;"""",$I140&lt;&gt;""""),HYPERLINK(""https://www.munzee.com/m/""&amp;$H140&amp;""/""&amp;$I140&amp;""/map/?lat=""&amp;$D140&amp;""&amp;lon=""&amp;$E140&amp;""&amp;type=""&amp;$F140&amp;""&amp;name=""&amp;SUBSTITUTE($A140,""#"&amp;""",""%23""),$H140&amp;""/""&amp;$I140),IF($H140&lt;&gt;"""",IF(REGEXMATCH($H140,""50( ?['fF]([oO]{2})?[tT]?)?( ?[eE][rR]{2}[oO][rR])""),HYPERLINK(""https://www.munzee.com/map/?sandbox=1&amp;lat=""&amp;$D140&amp;""&amp;lon=""&amp;$E140&amp;""&amp;name=""&amp;SUBSTITUTE($A140,""#"",""%23""),""SANDBOX"""&amp;"),HYPERLINK(""https://www.munzee.com/m/""&amp;$H140&amp;""/deploys/0/type/""&amp;IFNA(VLOOKUP($F140,IMPORTRANGE(""https://docs.google.com/spreadsheets/d/1DliIGyDywdzxhd4svtjaewR0p9Y5UBTMNMQ2PcXsqss"",""type data!E2:F""),2,FALSE),$F140)&amp;""/"",$H140)),""""))"),"all0123/3937")</f>
        <v>all0123/3937</v>
      </c>
      <c r="K140" s="6" t="b">
        <v>1</v>
      </c>
      <c r="L140" s="6"/>
      <c r="M140" s="9">
        <f t="shared" si="1"/>
        <v>1</v>
      </c>
    </row>
    <row r="141">
      <c r="A141" s="3" t="s">
        <v>318</v>
      </c>
      <c r="B141" s="3">
        <v>11.0</v>
      </c>
      <c r="C141" s="3">
        <v>14.0</v>
      </c>
      <c r="D141" s="4">
        <v>51.5843770198556</v>
      </c>
      <c r="E141" s="4">
        <v>-0.2180854847586</v>
      </c>
      <c r="F141" s="3" t="s">
        <v>200</v>
      </c>
      <c r="G141" s="3" t="s">
        <v>201</v>
      </c>
      <c r="H141" s="6" t="s">
        <v>319</v>
      </c>
      <c r="I141" s="6">
        <v>18783.0</v>
      </c>
      <c r="J141" s="7" t="str">
        <f>IFERROR(__xludf.DUMMYFUNCTION("IF(AND(REGEXMATCH($H141,""50( ?['fF]([oO]{2})?[tT]?)?( ?[eE][rR]{2}[oO][rR])"")=FALSE,$H141&lt;&gt;"""",$I141&lt;&gt;""""),HYPERLINK(""https://www.munzee.com/m/""&amp;$H141&amp;""/""&amp;$I141&amp;""/map/?lat=""&amp;$D141&amp;""&amp;lon=""&amp;$E141&amp;""&amp;type=""&amp;$F141&amp;""&amp;name=""&amp;SUBSTITUTE($A141,""#"&amp;""",""%23""),$H141&amp;""/""&amp;$I141),IF($H141&lt;&gt;"""",IF(REGEXMATCH($H141,""50( ?['fF]([oO]{2})?[tT]?)?( ?[eE][rR]{2}[oO][rR])""),HYPERLINK(""https://www.munzee.com/map/?sandbox=1&amp;lat=""&amp;$D141&amp;""&amp;lon=""&amp;$E141&amp;""&amp;name=""&amp;SUBSTITUTE($A141,""#"",""%23""),""SANDBOX"""&amp;"),HYPERLINK(""https://www.munzee.com/m/""&amp;$H141&amp;""/deploys/0/type/""&amp;IFNA(VLOOKUP($F141,IMPORTRANGE(""https://docs.google.com/spreadsheets/d/1DliIGyDywdzxhd4svtjaewR0p9Y5UBTMNMQ2PcXsqss"",""type data!E2:F""),2,FALSE),$F141)&amp;""/"",$H141)),""""))"),"taxi343/18783")</f>
        <v>taxi343/18783</v>
      </c>
      <c r="K141" s="6" t="b">
        <v>1</v>
      </c>
      <c r="L141" s="9"/>
      <c r="M141" s="9">
        <f t="shared" si="1"/>
        <v>1</v>
      </c>
    </row>
    <row r="142">
      <c r="A142" s="3" t="s">
        <v>320</v>
      </c>
      <c r="B142" s="3">
        <v>11.0</v>
      </c>
      <c r="C142" s="3">
        <v>15.0</v>
      </c>
      <c r="D142" s="4">
        <v>51.5843770196283</v>
      </c>
      <c r="E142" s="4">
        <v>-0.2178541694014</v>
      </c>
      <c r="F142" s="3" t="s">
        <v>132</v>
      </c>
      <c r="G142" s="3" t="s">
        <v>133</v>
      </c>
      <c r="H142" s="6" t="s">
        <v>179</v>
      </c>
      <c r="I142" s="6">
        <v>21603.0</v>
      </c>
      <c r="J142" s="7" t="str">
        <f>IFERROR(__xludf.DUMMYFUNCTION("IF(AND(REGEXMATCH($H142,""50( ?['fF]([oO]{2})?[tT]?)?( ?[eE][rR]{2}[oO][rR])"")=FALSE,$H142&lt;&gt;"""",$I142&lt;&gt;""""),HYPERLINK(""https://www.munzee.com/m/""&amp;$H142&amp;""/""&amp;$I142&amp;""/map/?lat=""&amp;$D142&amp;""&amp;lon=""&amp;$E142&amp;""&amp;type=""&amp;$F142&amp;""&amp;name=""&amp;SUBSTITUTE($A142,""#"&amp;""",""%23""),$H142&amp;""/""&amp;$I142),IF($H142&lt;&gt;"""",IF(REGEXMATCH($H142,""50( ?['fF]([oO]{2})?[tT]?)?( ?[eE][rR]{2}[oO][rR])""),HYPERLINK(""https://www.munzee.com/map/?sandbox=1&amp;lat=""&amp;$D142&amp;""&amp;lon=""&amp;$E142&amp;""&amp;name=""&amp;SUBSTITUTE($A142,""#"",""%23""),""SANDBOX"""&amp;"),HYPERLINK(""https://www.munzee.com/m/""&amp;$H142&amp;""/deploys/0/type/""&amp;IFNA(VLOOKUP($F142,IMPORTRANGE(""https://docs.google.com/spreadsheets/d/1DliIGyDywdzxhd4svtjaewR0p9Y5UBTMNMQ2PcXsqss"",""type data!E2:F""),2,FALSE),$F142)&amp;""/"",$H142)),""""))"),"WanderingAus/21603")</f>
        <v>WanderingAus/21603</v>
      </c>
      <c r="K142" s="6" t="b">
        <v>1</v>
      </c>
      <c r="L142" s="9"/>
      <c r="M142" s="9">
        <f t="shared" si="1"/>
        <v>10</v>
      </c>
    </row>
    <row r="143">
      <c r="A143" s="3" t="s">
        <v>321</v>
      </c>
      <c r="B143" s="3">
        <v>11.0</v>
      </c>
      <c r="C143" s="3">
        <v>16.0</v>
      </c>
      <c r="D143" s="4">
        <v>51.5843770194009</v>
      </c>
      <c r="E143" s="4">
        <v>-0.2176228540443</v>
      </c>
      <c r="F143" s="3" t="s">
        <v>132</v>
      </c>
      <c r="G143" s="3" t="s">
        <v>133</v>
      </c>
      <c r="H143" s="6" t="s">
        <v>322</v>
      </c>
      <c r="I143" s="6">
        <v>382.0</v>
      </c>
      <c r="J143" s="7" t="str">
        <f>IFERROR(__xludf.DUMMYFUNCTION("IF(AND(REGEXMATCH($H143,""50( ?['fF]([oO]{2})?[tT]?)?( ?[eE][rR]{2}[oO][rR])"")=FALSE,$H143&lt;&gt;"""",$I143&lt;&gt;""""),HYPERLINK(""https://www.munzee.com/m/""&amp;$H143&amp;""/""&amp;$I143&amp;""/map/?lat=""&amp;$D143&amp;""&amp;lon=""&amp;$E143&amp;""&amp;type=""&amp;$F143&amp;""&amp;name=""&amp;SUBSTITUTE($A143,""#"&amp;""",""%23""),$H143&amp;""/""&amp;$I143),IF($H143&lt;&gt;"""",IF(REGEXMATCH($H143,""50( ?['fF]([oO]{2})?[tT]?)?( ?[eE][rR]{2}[oO][rR])""),HYPERLINK(""https://www.munzee.com/map/?sandbox=1&amp;lat=""&amp;$D143&amp;""&amp;lon=""&amp;$E143&amp;""&amp;name=""&amp;SUBSTITUTE($A143,""#"",""%23""),""SANDBOX"""&amp;"),HYPERLINK(""https://www.munzee.com/m/""&amp;$H143&amp;""/deploys/0/type/""&amp;IFNA(VLOOKUP($F143,IMPORTRANGE(""https://docs.google.com/spreadsheets/d/1DliIGyDywdzxhd4svtjaewR0p9Y5UBTMNMQ2PcXsqss"",""type data!E2:F""),2,FALSE),$F143)&amp;""/"",$H143)),""""))"),"WhatsItAllAbout/382")</f>
        <v>WhatsItAllAbout/382</v>
      </c>
      <c r="K143" s="6" t="b">
        <v>1</v>
      </c>
      <c r="L143" s="18" t="s">
        <v>323</v>
      </c>
      <c r="M143" s="9">
        <f t="shared" si="1"/>
        <v>1</v>
      </c>
    </row>
    <row r="144">
      <c r="A144" s="3" t="s">
        <v>324</v>
      </c>
      <c r="B144" s="3">
        <v>11.0</v>
      </c>
      <c r="C144" s="3">
        <v>17.0</v>
      </c>
      <c r="D144" s="4">
        <v>51.5843770191736</v>
      </c>
      <c r="E144" s="4">
        <v>-0.2173915386871</v>
      </c>
      <c r="F144" s="3" t="s">
        <v>29</v>
      </c>
      <c r="G144" s="3" t="s">
        <v>30</v>
      </c>
      <c r="H144" s="6" t="s">
        <v>325</v>
      </c>
      <c r="I144" s="11">
        <v>371.0</v>
      </c>
      <c r="J144" s="7" t="str">
        <f>IFERROR(__xludf.DUMMYFUNCTION("IF(AND(REGEXMATCH($H144,""50( ?['fF]([oO]{2})?[tT]?)?( ?[eE][rR]{2}[oO][rR])"")=FALSE,$H144&lt;&gt;"""",$I144&lt;&gt;""""),HYPERLINK(""https://www.munzee.com/m/""&amp;$H144&amp;""/""&amp;$I144&amp;""/map/?lat=""&amp;$D144&amp;""&amp;lon=""&amp;$E144&amp;""&amp;type=""&amp;$F144&amp;""&amp;name=""&amp;SUBSTITUTE($A144,""#"&amp;""",""%23""),$H144&amp;""/""&amp;$I144),IF($H144&lt;&gt;"""",IF(REGEXMATCH($H144,""50( ?['fF]([oO]{2})?[tT]?)?( ?[eE][rR]{2}[oO][rR])""),HYPERLINK(""https://www.munzee.com/map/?sandbox=1&amp;lat=""&amp;$D144&amp;""&amp;lon=""&amp;$E144&amp;""&amp;name=""&amp;SUBSTITUTE($A144,""#"",""%23""),""SANDBOX"""&amp;"),HYPERLINK(""https://www.munzee.com/m/""&amp;$H144&amp;""/deploys/0/type/""&amp;IFNA(VLOOKUP($F144,IMPORTRANGE(""https://docs.google.com/spreadsheets/d/1DliIGyDywdzxhd4svtjaewR0p9Y5UBTMNMQ2PcXsqss"",""type data!E2:F""),2,FALSE),$F144)&amp;""/"",$H144)),""""))"),"Tanzy/371")</f>
        <v>Tanzy/371</v>
      </c>
      <c r="K144" s="6" t="b">
        <v>1</v>
      </c>
      <c r="L144" s="9"/>
      <c r="M144" s="9">
        <f t="shared" si="1"/>
        <v>3</v>
      </c>
    </row>
    <row r="145">
      <c r="A145" s="3" t="s">
        <v>326</v>
      </c>
      <c r="B145" s="3">
        <v>11.0</v>
      </c>
      <c r="C145" s="3">
        <v>18.0</v>
      </c>
      <c r="D145" s="4">
        <v>51.5843770189463</v>
      </c>
      <c r="E145" s="4">
        <v>-0.21716022333</v>
      </c>
      <c r="F145" s="3" t="s">
        <v>70</v>
      </c>
      <c r="G145" s="3" t="s">
        <v>71</v>
      </c>
      <c r="H145" s="6" t="s">
        <v>162</v>
      </c>
      <c r="I145" s="6">
        <v>3680.0</v>
      </c>
      <c r="J145" s="7" t="str">
        <f>IFERROR(__xludf.DUMMYFUNCTION("IF(AND(REGEXMATCH($H145,""50( ?['fF]([oO]{2})?[tT]?)?( ?[eE][rR]{2}[oO][rR])"")=FALSE,$H145&lt;&gt;"""",$I145&lt;&gt;""""),HYPERLINK(""https://www.munzee.com/m/""&amp;$H145&amp;""/""&amp;$I145&amp;""/map/?lat=""&amp;$D145&amp;""&amp;lon=""&amp;$E145&amp;""&amp;type=""&amp;$F145&amp;""&amp;name=""&amp;SUBSTITUTE($A145,""#"&amp;""",""%23""),$H145&amp;""/""&amp;$I145),IF($H145&lt;&gt;"""",IF(REGEXMATCH($H145,""50( ?['fF]([oO]{2})?[tT]?)?( ?[eE][rR]{2}[oO][rR])""),HYPERLINK(""https://www.munzee.com/map/?sandbox=1&amp;lat=""&amp;$D145&amp;""&amp;lon=""&amp;$E145&amp;""&amp;name=""&amp;SUBSTITUTE($A145,""#"",""%23""),""SANDBOX"""&amp;"),HYPERLINK(""https://www.munzee.com/m/""&amp;$H145&amp;""/deploys/0/type/""&amp;IFNA(VLOOKUP($F145,IMPORTRANGE(""https://docs.google.com/spreadsheets/d/1DliIGyDywdzxhd4svtjaewR0p9Y5UBTMNMQ2PcXsqss"",""type data!E2:F""),2,FALSE),$F145)&amp;""/"",$H145)),""""))"),"Clareppuccino/3680")</f>
        <v>Clareppuccino/3680</v>
      </c>
      <c r="K145" s="6" t="b">
        <v>1</v>
      </c>
      <c r="L145" s="9"/>
      <c r="M145" s="9">
        <f t="shared" si="1"/>
        <v>4</v>
      </c>
    </row>
    <row r="146">
      <c r="A146" s="3" t="s">
        <v>327</v>
      </c>
      <c r="B146" s="3">
        <v>11.0</v>
      </c>
      <c r="C146" s="3">
        <v>19.0</v>
      </c>
      <c r="D146" s="4">
        <v>51.5843770187189</v>
      </c>
      <c r="E146" s="4">
        <v>-0.2169289079728</v>
      </c>
      <c r="F146" s="3" t="s">
        <v>51</v>
      </c>
      <c r="G146" s="3" t="s">
        <v>52</v>
      </c>
      <c r="H146" s="6" t="s">
        <v>300</v>
      </c>
      <c r="I146" s="6">
        <v>3693.0</v>
      </c>
      <c r="J146" s="7" t="str">
        <f>IFERROR(__xludf.DUMMYFUNCTION("IF(AND(REGEXMATCH($H146,""50( ?['fF]([oO]{2})?[tT]?)?( ?[eE][rR]{2}[oO][rR])"")=FALSE,$H146&lt;&gt;"""",$I146&lt;&gt;""""),HYPERLINK(""https://www.munzee.com/m/""&amp;$H146&amp;""/""&amp;$I146&amp;""/map/?lat=""&amp;$D146&amp;""&amp;lon=""&amp;$E146&amp;""&amp;type=""&amp;$F146&amp;""&amp;name=""&amp;SUBSTITUTE($A146,""#"&amp;""",""%23""),$H146&amp;""/""&amp;$I146),IF($H146&lt;&gt;"""",IF(REGEXMATCH($H146,""50( ?['fF]([oO]{2})?[tT]?)?( ?[eE][rR]{2}[oO][rR])""),HYPERLINK(""https://www.munzee.com/map/?sandbox=1&amp;lat=""&amp;$D146&amp;""&amp;lon=""&amp;$E146&amp;""&amp;name=""&amp;SUBSTITUTE($A146,""#"",""%23""),""SANDBOX"""&amp;"),HYPERLINK(""https://www.munzee.com/m/""&amp;$H146&amp;""/deploys/0/type/""&amp;IFNA(VLOOKUP($F146,IMPORTRANGE(""https://docs.google.com/spreadsheets/d/1DliIGyDywdzxhd4svtjaewR0p9Y5UBTMNMQ2PcXsqss"",""type data!E2:F""),2,FALSE),$F146)&amp;""/"",$H146)),""""))"),"NoahCache/3693")</f>
        <v>NoahCache/3693</v>
      </c>
      <c r="K146" s="6" t="b">
        <v>1</v>
      </c>
      <c r="L146" s="6"/>
      <c r="M146" s="9">
        <f t="shared" si="1"/>
        <v>2</v>
      </c>
    </row>
    <row r="147">
      <c r="A147" s="3" t="s">
        <v>328</v>
      </c>
      <c r="B147" s="3">
        <v>11.0</v>
      </c>
      <c r="C147" s="3">
        <v>20.0</v>
      </c>
      <c r="D147" s="4">
        <v>51.5843770184916</v>
      </c>
      <c r="E147" s="4">
        <v>-0.2166975926157</v>
      </c>
      <c r="F147" s="3" t="s">
        <v>33</v>
      </c>
      <c r="G147" s="3" t="s">
        <v>34</v>
      </c>
      <c r="H147" s="6" t="s">
        <v>329</v>
      </c>
      <c r="I147" s="6">
        <v>3576.0</v>
      </c>
      <c r="J147" s="7" t="str">
        <f>IFERROR(__xludf.DUMMYFUNCTION("IF(AND(REGEXMATCH($H147,""50( ?['fF]([oO]{2})?[tT]?)?( ?[eE][rR]{2}[oO][rR])"")=FALSE,$H147&lt;&gt;"""",$I147&lt;&gt;""""),HYPERLINK(""https://www.munzee.com/m/""&amp;$H147&amp;""/""&amp;$I147&amp;""/map/?lat=""&amp;$D147&amp;""&amp;lon=""&amp;$E147&amp;""&amp;type=""&amp;$F147&amp;""&amp;name=""&amp;SUBSTITUTE($A147,""#"&amp;""",""%23""),$H147&amp;""/""&amp;$I147),IF($H147&lt;&gt;"""",IF(REGEXMATCH($H147,""50( ?['fF]([oO]{2})?[tT]?)?( ?[eE][rR]{2}[oO][rR])""),HYPERLINK(""https://www.munzee.com/map/?sandbox=1&amp;lat=""&amp;$D147&amp;""&amp;lon=""&amp;$E147&amp;""&amp;name=""&amp;SUBSTITUTE($A147,""#"",""%23""),""SANDBOX"""&amp;"),HYPERLINK(""https://www.munzee.com/m/""&amp;$H147&amp;""/deploys/0/type/""&amp;IFNA(VLOOKUP($F147,IMPORTRANGE(""https://docs.google.com/spreadsheets/d/1DliIGyDywdzxhd4svtjaewR0p9Y5UBTMNMQ2PcXsqss"",""type data!E2:F""),2,FALSE),$F147)&amp;""/"",$H147)),""""))"),"cuttingcrew/3576")</f>
        <v>cuttingcrew/3576</v>
      </c>
      <c r="K147" s="6" t="b">
        <v>1</v>
      </c>
      <c r="L147" s="6"/>
      <c r="M147" s="9">
        <f t="shared" si="1"/>
        <v>1</v>
      </c>
    </row>
    <row r="148">
      <c r="A148" s="3" t="s">
        <v>330</v>
      </c>
      <c r="B148" s="3">
        <v>11.0</v>
      </c>
      <c r="C148" s="3">
        <v>21.0</v>
      </c>
      <c r="D148" s="4">
        <v>51.5843770182643</v>
      </c>
      <c r="E148" s="4">
        <v>-0.2164662772585</v>
      </c>
      <c r="F148" s="3" t="s">
        <v>19</v>
      </c>
      <c r="G148" s="3" t="s">
        <v>20</v>
      </c>
      <c r="H148" s="6" t="s">
        <v>99</v>
      </c>
      <c r="I148" s="6">
        <v>6089.0</v>
      </c>
      <c r="J148" s="7" t="str">
        <f>IFERROR(__xludf.DUMMYFUNCTION("IF(AND(REGEXMATCH($H148,""50( ?['fF]([oO]{2})?[tT]?)?( ?[eE][rR]{2}[oO][rR])"")=FALSE,$H148&lt;&gt;"""",$I148&lt;&gt;""""),HYPERLINK(""https://www.munzee.com/m/""&amp;$H148&amp;""/""&amp;$I148&amp;""/map/?lat=""&amp;$D148&amp;""&amp;lon=""&amp;$E148&amp;""&amp;type=""&amp;$F148&amp;""&amp;name=""&amp;SUBSTITUTE($A148,""#"&amp;""",""%23""),$H148&amp;""/""&amp;$I148),IF($H148&lt;&gt;"""",IF(REGEXMATCH($H148,""50( ?['fF]([oO]{2})?[tT]?)?( ?[eE][rR]{2}[oO][rR])""),HYPERLINK(""https://www.munzee.com/map/?sandbox=1&amp;lat=""&amp;$D148&amp;""&amp;lon=""&amp;$E148&amp;""&amp;name=""&amp;SUBSTITUTE($A148,""#"",""%23""),""SANDBOX"""&amp;"),HYPERLINK(""https://www.munzee.com/m/""&amp;$H148&amp;""/deploys/0/type/""&amp;IFNA(VLOOKUP($F148,IMPORTRANGE(""https://docs.google.com/spreadsheets/d/1DliIGyDywdzxhd4svtjaewR0p9Y5UBTMNMQ2PcXsqss"",""type data!E2:F""),2,FALSE),$F148)&amp;""/"",$H148)),""""))"),"Amadoreugen/6089")</f>
        <v>Amadoreugen/6089</v>
      </c>
      <c r="K148" s="6" t="b">
        <v>1</v>
      </c>
      <c r="L148" s="9"/>
      <c r="M148" s="9">
        <f t="shared" si="1"/>
        <v>7</v>
      </c>
    </row>
    <row r="149">
      <c r="A149" s="3" t="s">
        <v>331</v>
      </c>
      <c r="B149" s="3">
        <v>12.0</v>
      </c>
      <c r="C149" s="3">
        <v>1.0</v>
      </c>
      <c r="D149" s="4">
        <v>51.5842332923654</v>
      </c>
      <c r="E149" s="4">
        <v>-0.2210925990363</v>
      </c>
      <c r="F149" s="3" t="s">
        <v>14</v>
      </c>
      <c r="G149" s="3" t="s">
        <v>15</v>
      </c>
      <c r="H149" s="6" t="s">
        <v>179</v>
      </c>
      <c r="I149" s="6">
        <v>25518.0</v>
      </c>
      <c r="J149" s="7" t="str">
        <f>IFERROR(__xludf.DUMMYFUNCTION("IF(AND(REGEXMATCH($H149,""50( ?['fF]([oO]{2})?[tT]?)?( ?[eE][rR]{2}[oO][rR])"")=FALSE,$H149&lt;&gt;"""",$I149&lt;&gt;""""),HYPERLINK(""https://www.munzee.com/m/""&amp;$H149&amp;""/""&amp;$I149&amp;""/map/?lat=""&amp;$D149&amp;""&amp;lon=""&amp;$E149&amp;""&amp;type=""&amp;$F149&amp;""&amp;name=""&amp;SUBSTITUTE($A149,""#"&amp;""",""%23""),$H149&amp;""/""&amp;$I149),IF($H149&lt;&gt;"""",IF(REGEXMATCH($H149,""50( ?['fF]([oO]{2})?[tT]?)?( ?[eE][rR]{2}[oO][rR])""),HYPERLINK(""https://www.munzee.com/map/?sandbox=1&amp;lat=""&amp;$D149&amp;""&amp;lon=""&amp;$E149&amp;""&amp;name=""&amp;SUBSTITUTE($A149,""#"",""%23""),""SANDBOX"""&amp;"),HYPERLINK(""https://www.munzee.com/m/""&amp;$H149&amp;""/deploys/0/type/""&amp;IFNA(VLOOKUP($F149,IMPORTRANGE(""https://docs.google.com/spreadsheets/d/1DliIGyDywdzxhd4svtjaewR0p9Y5UBTMNMQ2PcXsqss"",""type data!E2:F""),2,FALSE),$F149)&amp;""/"",$H149)),""""))"),"WanderingAus/25518")</f>
        <v>WanderingAus/25518</v>
      </c>
      <c r="K149" s="6" t="b">
        <v>1</v>
      </c>
      <c r="L149" s="9"/>
      <c r="M149" s="9">
        <f t="shared" si="1"/>
        <v>10</v>
      </c>
    </row>
    <row r="150">
      <c r="A150" s="3" t="s">
        <v>332</v>
      </c>
      <c r="B150" s="3">
        <v>12.0</v>
      </c>
      <c r="C150" s="3">
        <v>2.0</v>
      </c>
      <c r="D150" s="4">
        <v>51.5842332921381</v>
      </c>
      <c r="E150" s="4">
        <v>-0.2208612844108</v>
      </c>
      <c r="F150" s="3" t="s">
        <v>29</v>
      </c>
      <c r="G150" s="3" t="s">
        <v>30</v>
      </c>
      <c r="H150" s="6" t="s">
        <v>333</v>
      </c>
      <c r="I150" s="6">
        <v>662.0</v>
      </c>
      <c r="J150" s="7" t="str">
        <f>IFERROR(__xludf.DUMMYFUNCTION("IF(AND(REGEXMATCH($H150,""50( ?['fF]([oO]{2})?[tT]?)?( ?[eE][rR]{2}[oO][rR])"")=FALSE,$H150&lt;&gt;"""",$I150&lt;&gt;""""),HYPERLINK(""https://www.munzee.com/m/""&amp;$H150&amp;""/""&amp;$I150&amp;""/map/?lat=""&amp;$D150&amp;""&amp;lon=""&amp;$E150&amp;""&amp;type=""&amp;$F150&amp;""&amp;name=""&amp;SUBSTITUTE($A150,""#"&amp;""",""%23""),$H150&amp;""/""&amp;$I150),IF($H150&lt;&gt;"""",IF(REGEXMATCH($H150,""50( ?['fF]([oO]{2})?[tT]?)?( ?[eE][rR]{2}[oO][rR])""),HYPERLINK(""https://www.munzee.com/map/?sandbox=1&amp;lat=""&amp;$D150&amp;""&amp;lon=""&amp;$E150&amp;""&amp;name=""&amp;SUBSTITUTE($A150,""#"",""%23""),""SANDBOX"""&amp;"),HYPERLINK(""https://www.munzee.com/m/""&amp;$H150&amp;""/deploys/0/type/""&amp;IFNA(VLOOKUP($F150,IMPORTRANGE(""https://docs.google.com/spreadsheets/d/1DliIGyDywdzxhd4svtjaewR0p9Y5UBTMNMQ2PcXsqss"",""type data!E2:F""),2,FALSE),$F150)&amp;""/"",$H150)),""""))"),"Humez/662")</f>
        <v>Humez/662</v>
      </c>
      <c r="K150" s="6" t="b">
        <v>1</v>
      </c>
      <c r="L150" s="6"/>
      <c r="M150" s="9">
        <f t="shared" si="1"/>
        <v>1</v>
      </c>
    </row>
    <row r="151">
      <c r="A151" s="3" t="s">
        <v>334</v>
      </c>
      <c r="B151" s="3">
        <v>12.0</v>
      </c>
      <c r="C151" s="3">
        <v>3.0</v>
      </c>
      <c r="D151" s="4">
        <v>51.5842332919108</v>
      </c>
      <c r="E151" s="4">
        <v>-0.2206299697854</v>
      </c>
      <c r="F151" s="3" t="s">
        <v>51</v>
      </c>
      <c r="G151" s="3" t="s">
        <v>52</v>
      </c>
      <c r="H151" s="6" t="s">
        <v>335</v>
      </c>
      <c r="I151" s="6">
        <v>4510.0</v>
      </c>
      <c r="J151" s="7" t="str">
        <f>IFERROR(__xludf.DUMMYFUNCTION("IF(AND(REGEXMATCH($H151,""50( ?['fF]([oO]{2})?[tT]?)?( ?[eE][rR]{2}[oO][rR])"")=FALSE,$H151&lt;&gt;"""",$I151&lt;&gt;""""),HYPERLINK(""https://www.munzee.com/m/""&amp;$H151&amp;""/""&amp;$I151&amp;""/map/?lat=""&amp;$D151&amp;""&amp;lon=""&amp;$E151&amp;""&amp;type=""&amp;$F151&amp;""&amp;name=""&amp;SUBSTITUTE($A151,""#"&amp;""",""%23""),$H151&amp;""/""&amp;$I151),IF($H151&lt;&gt;"""",IF(REGEXMATCH($H151,""50( ?['fF]([oO]{2})?[tT]?)?( ?[eE][rR]{2}[oO][rR])""),HYPERLINK(""https://www.munzee.com/map/?sandbox=1&amp;lat=""&amp;$D151&amp;""&amp;lon=""&amp;$E151&amp;""&amp;name=""&amp;SUBSTITUTE($A151,""#"",""%23""),""SANDBOX"""&amp;"),HYPERLINK(""https://www.munzee.com/m/""&amp;$H151&amp;""/deploys/0/type/""&amp;IFNA(VLOOKUP($F151,IMPORTRANGE(""https://docs.google.com/spreadsheets/d/1DliIGyDywdzxhd4svtjaewR0p9Y5UBTMNMQ2PcXsqss"",""type data!E2:F""),2,FALSE),$F151)&amp;""/"",$H151)),""""))"),"geckofreund/4510")</f>
        <v>geckofreund/4510</v>
      </c>
      <c r="K151" s="6" t="b">
        <v>1</v>
      </c>
      <c r="L151" s="6"/>
      <c r="M151" s="9">
        <f t="shared" si="1"/>
        <v>2</v>
      </c>
    </row>
    <row r="152">
      <c r="A152" s="3" t="s">
        <v>336</v>
      </c>
      <c r="B152" s="3">
        <v>12.0</v>
      </c>
      <c r="C152" s="3">
        <v>4.0</v>
      </c>
      <c r="D152" s="4">
        <v>51.5842332916834</v>
      </c>
      <c r="E152" s="4">
        <v>-0.2203986551599</v>
      </c>
      <c r="F152" s="3" t="s">
        <v>70</v>
      </c>
      <c r="G152" s="3" t="s">
        <v>71</v>
      </c>
      <c r="H152" s="6" t="s">
        <v>337</v>
      </c>
      <c r="I152" s="6">
        <v>4638.0</v>
      </c>
      <c r="J152" s="7" t="str">
        <f>IFERROR(__xludf.DUMMYFUNCTION("IF(AND(REGEXMATCH($H152,""50( ?['fF]([oO]{2})?[tT]?)?( ?[eE][rR]{2}[oO][rR])"")=FALSE,$H152&lt;&gt;"""",$I152&lt;&gt;""""),HYPERLINK(""https://www.munzee.com/m/""&amp;$H152&amp;""/""&amp;$I152&amp;""/map/?lat=""&amp;$D152&amp;""&amp;lon=""&amp;$E152&amp;""&amp;type=""&amp;$F152&amp;""&amp;name=""&amp;SUBSTITUTE($A152,""#"&amp;""",""%23""),$H152&amp;""/""&amp;$I152),IF($H152&lt;&gt;"""",IF(REGEXMATCH($H152,""50( ?['fF]([oO]{2})?[tT]?)?( ?[eE][rR]{2}[oO][rR])""),HYPERLINK(""https://www.munzee.com/map/?sandbox=1&amp;lat=""&amp;$D152&amp;""&amp;lon=""&amp;$E152&amp;""&amp;name=""&amp;SUBSTITUTE($A152,""#"",""%23""),""SANDBOX"""&amp;"),HYPERLINK(""https://www.munzee.com/m/""&amp;$H152&amp;""/deploys/0/type/""&amp;IFNA(VLOOKUP($F152,IMPORTRANGE(""https://docs.google.com/spreadsheets/d/1DliIGyDywdzxhd4svtjaewR0p9Y5UBTMNMQ2PcXsqss"",""type data!E2:F""),2,FALSE),$F152)&amp;""/"",$H152)),""""))"),"TheJenks7/4638")</f>
        <v>TheJenks7/4638</v>
      </c>
      <c r="K152" s="6" t="b">
        <v>1</v>
      </c>
      <c r="L152" s="9"/>
      <c r="M152" s="9">
        <f t="shared" si="1"/>
        <v>1</v>
      </c>
    </row>
    <row r="153">
      <c r="A153" s="3" t="s">
        <v>338</v>
      </c>
      <c r="B153" s="3">
        <v>12.0</v>
      </c>
      <c r="C153" s="3">
        <v>5.0</v>
      </c>
      <c r="D153" s="4">
        <v>51.5842332914561</v>
      </c>
      <c r="E153" s="4">
        <v>-0.2201673405344</v>
      </c>
      <c r="F153" s="3" t="s">
        <v>29</v>
      </c>
      <c r="G153" s="3" t="s">
        <v>30</v>
      </c>
      <c r="H153" s="6" t="s">
        <v>116</v>
      </c>
      <c r="I153" s="11">
        <v>2446.0</v>
      </c>
      <c r="J153" s="7" t="str">
        <f>IFERROR(__xludf.DUMMYFUNCTION("IF(AND(REGEXMATCH($H153,""50( ?['fF]([oO]{2})?[tT]?)?( ?[eE][rR]{2}[oO][rR])"")=FALSE,$H153&lt;&gt;"""",$I153&lt;&gt;""""),HYPERLINK(""https://www.munzee.com/m/""&amp;$H153&amp;""/""&amp;$I153&amp;""/map/?lat=""&amp;$D153&amp;""&amp;lon=""&amp;$E153&amp;""&amp;type=""&amp;$F153&amp;""&amp;name=""&amp;SUBSTITUTE($A153,""#"&amp;""",""%23""),$H153&amp;""/""&amp;$I153),IF($H153&lt;&gt;"""",IF(REGEXMATCH($H153,""50( ?['fF]([oO]{2})?[tT]?)?( ?[eE][rR]{2}[oO][rR])""),HYPERLINK(""https://www.munzee.com/map/?sandbox=1&amp;lat=""&amp;$D153&amp;""&amp;lon=""&amp;$E153&amp;""&amp;name=""&amp;SUBSTITUTE($A153,""#"",""%23""),""SANDBOX"""&amp;"),HYPERLINK(""https://www.munzee.com/m/""&amp;$H153&amp;""/deploys/0/type/""&amp;IFNA(VLOOKUP($F153,IMPORTRANGE(""https://docs.google.com/spreadsheets/d/1DliIGyDywdzxhd4svtjaewR0p9Y5UBTMNMQ2PcXsqss"",""type data!E2:F""),2,FALSE),$F153)&amp;""/"",$H153)),""""))"),"IggiePiggie/2446")</f>
        <v>IggiePiggie/2446</v>
      </c>
      <c r="K153" s="6" t="b">
        <v>1</v>
      </c>
      <c r="L153" s="9"/>
      <c r="M153" s="9">
        <f t="shared" si="1"/>
        <v>7</v>
      </c>
    </row>
    <row r="154">
      <c r="A154" s="3" t="s">
        <v>339</v>
      </c>
      <c r="B154" s="3">
        <v>12.0</v>
      </c>
      <c r="C154" s="3">
        <v>6.0</v>
      </c>
      <c r="D154" s="4">
        <v>51.5842332912288</v>
      </c>
      <c r="E154" s="4">
        <v>-0.219936025909</v>
      </c>
      <c r="F154" s="3" t="s">
        <v>132</v>
      </c>
      <c r="G154" s="3" t="s">
        <v>133</v>
      </c>
      <c r="H154" s="6" t="s">
        <v>340</v>
      </c>
      <c r="I154" s="6">
        <v>1816.0</v>
      </c>
      <c r="J154" s="7" t="str">
        <f>IFERROR(__xludf.DUMMYFUNCTION("IF(AND(REGEXMATCH($H154,""50( ?['fF]([oO]{2})?[tT]?)?( ?[eE][rR]{2}[oO][rR])"")=FALSE,$H154&lt;&gt;"""",$I154&lt;&gt;""""),HYPERLINK(""https://www.munzee.com/m/""&amp;$H154&amp;""/""&amp;$I154&amp;""/map/?lat=""&amp;$D154&amp;""&amp;lon=""&amp;$E154&amp;""&amp;type=""&amp;$F154&amp;""&amp;name=""&amp;SUBSTITUTE($A154,""#"&amp;""",""%23""),$H154&amp;""/""&amp;$I154),IF($H154&lt;&gt;"""",IF(REGEXMATCH($H154,""50( ?['fF]([oO]{2})?[tT]?)?( ?[eE][rR]{2}[oO][rR])""),HYPERLINK(""https://www.munzee.com/map/?sandbox=1&amp;lat=""&amp;$D154&amp;""&amp;lon=""&amp;$E154&amp;""&amp;name=""&amp;SUBSTITUTE($A154,""#"",""%23""),""SANDBOX"""&amp;"),HYPERLINK(""https://www.munzee.com/m/""&amp;$H154&amp;""/deploys/0/type/""&amp;IFNA(VLOOKUP($F154,IMPORTRANGE(""https://docs.google.com/spreadsheets/d/1DliIGyDywdzxhd4svtjaewR0p9Y5UBTMNMQ2PcXsqss"",""type data!E2:F""),2,FALSE),$F154)&amp;""/"",$H154)),""""))"),"PelicanRouge/1816")</f>
        <v>PelicanRouge/1816</v>
      </c>
      <c r="K154" s="6" t="b">
        <v>1</v>
      </c>
      <c r="L154" s="6" t="s">
        <v>341</v>
      </c>
      <c r="M154" s="9">
        <f t="shared" si="1"/>
        <v>1</v>
      </c>
    </row>
    <row r="155">
      <c r="A155" s="3" t="s">
        <v>342</v>
      </c>
      <c r="B155" s="3">
        <v>12.0</v>
      </c>
      <c r="C155" s="3">
        <v>7.0</v>
      </c>
      <c r="D155" s="4">
        <v>51.5842332910014</v>
      </c>
      <c r="E155" s="4">
        <v>-0.2197047112835</v>
      </c>
      <c r="F155" s="3" t="s">
        <v>165</v>
      </c>
      <c r="G155" s="3" t="s">
        <v>166</v>
      </c>
      <c r="H155" s="6" t="s">
        <v>208</v>
      </c>
      <c r="I155" s="6">
        <v>6300.0</v>
      </c>
      <c r="J155" s="7" t="str">
        <f>IFERROR(__xludf.DUMMYFUNCTION("IF(AND(REGEXMATCH($H155,""50( ?['fF]([oO]{2})?[tT]?)?( ?[eE][rR]{2}[oO][rR])"")=FALSE,$H155&lt;&gt;"""",$I155&lt;&gt;""""),HYPERLINK(""https://www.munzee.com/m/""&amp;$H155&amp;""/""&amp;$I155&amp;""/map/?lat=""&amp;$D155&amp;""&amp;lon=""&amp;$E155&amp;""&amp;type=""&amp;$F155&amp;""&amp;name=""&amp;SUBSTITUTE($A155,""#"&amp;""",""%23""),$H155&amp;""/""&amp;$I155),IF($H155&lt;&gt;"""",IF(REGEXMATCH($H155,""50( ?['fF]([oO]{2})?[tT]?)?( ?[eE][rR]{2}[oO][rR])""),HYPERLINK(""https://www.munzee.com/map/?sandbox=1&amp;lat=""&amp;$D155&amp;""&amp;lon=""&amp;$E155&amp;""&amp;name=""&amp;SUBSTITUTE($A155,""#"",""%23""),""SANDBOX"""&amp;"),HYPERLINK(""https://www.munzee.com/m/""&amp;$H155&amp;""/deploys/0/type/""&amp;IFNA(VLOOKUP($F155,IMPORTRANGE(""https://docs.google.com/spreadsheets/d/1DliIGyDywdzxhd4svtjaewR0p9Y5UBTMNMQ2PcXsqss"",""type data!E2:F""),2,FALSE),$F155)&amp;""/"",$H155)),""""))"),"janzattic/6300")</f>
        <v>janzattic/6300</v>
      </c>
      <c r="K155" s="6"/>
      <c r="L155" s="6" t="s">
        <v>343</v>
      </c>
      <c r="M155" s="9">
        <f t="shared" si="1"/>
        <v>2</v>
      </c>
    </row>
    <row r="156">
      <c r="A156" s="3" t="s">
        <v>344</v>
      </c>
      <c r="B156" s="3">
        <v>12.0</v>
      </c>
      <c r="C156" s="3">
        <v>8.0</v>
      </c>
      <c r="D156" s="4">
        <v>51.5842332907741</v>
      </c>
      <c r="E156" s="4">
        <v>-0.219473396658</v>
      </c>
      <c r="F156" s="3" t="s">
        <v>196</v>
      </c>
      <c r="G156" s="3" t="s">
        <v>197</v>
      </c>
      <c r="H156" s="6" t="s">
        <v>345</v>
      </c>
      <c r="I156" s="6">
        <v>11215.0</v>
      </c>
      <c r="J156" s="7" t="str">
        <f>IFERROR(__xludf.DUMMYFUNCTION("IF(AND(REGEXMATCH($H156,""50( ?['fF]([oO]{2})?[tT]?)?( ?[eE][rR]{2}[oO][rR])"")=FALSE,$H156&lt;&gt;"""",$I156&lt;&gt;""""),HYPERLINK(""https://www.munzee.com/m/""&amp;$H156&amp;""/""&amp;$I156&amp;""/map/?lat=""&amp;$D156&amp;""&amp;lon=""&amp;$E156&amp;""&amp;type=""&amp;$F156&amp;""&amp;name=""&amp;SUBSTITUTE($A156,""#"&amp;""",""%23""),$H156&amp;""/""&amp;$I156),IF($H156&lt;&gt;"""",IF(REGEXMATCH($H156,""50( ?['fF]([oO]{2})?[tT]?)?( ?[eE][rR]{2}[oO][rR])""),HYPERLINK(""https://www.munzee.com/map/?sandbox=1&amp;lat=""&amp;$D156&amp;""&amp;lon=""&amp;$E156&amp;""&amp;name=""&amp;SUBSTITUTE($A156,""#"",""%23""),""SANDBOX"""&amp;"),HYPERLINK(""https://www.munzee.com/m/""&amp;$H156&amp;""/deploys/0/type/""&amp;IFNA(VLOOKUP($F156,IMPORTRANGE(""https://docs.google.com/spreadsheets/d/1DliIGyDywdzxhd4svtjaewR0p9Y5UBTMNMQ2PcXsqss"",""type data!E2:F""),2,FALSE),$F156)&amp;""/"",$H156)),""""))"),"sportytaxi/11215")</f>
        <v>sportytaxi/11215</v>
      </c>
      <c r="K156" s="6" t="b">
        <v>1</v>
      </c>
      <c r="L156" s="9"/>
      <c r="M156" s="9">
        <f t="shared" si="1"/>
        <v>1</v>
      </c>
    </row>
    <row r="157">
      <c r="A157" s="3" t="s">
        <v>346</v>
      </c>
      <c r="B157" s="3">
        <v>12.0</v>
      </c>
      <c r="C157" s="3">
        <v>9.0</v>
      </c>
      <c r="D157" s="4">
        <v>51.5842332905468</v>
      </c>
      <c r="E157" s="4">
        <v>-0.2192420820326</v>
      </c>
      <c r="F157" s="3" t="s">
        <v>235</v>
      </c>
      <c r="G157" s="3" t="s">
        <v>236</v>
      </c>
      <c r="H157" s="6" t="s">
        <v>116</v>
      </c>
      <c r="I157" s="6">
        <v>2077.0</v>
      </c>
      <c r="J157" s="7" t="str">
        <f>IFERROR(__xludf.DUMMYFUNCTION("IF(AND(REGEXMATCH($H157,""50( ?['fF]([oO]{2})?[tT]?)?( ?[eE][rR]{2}[oO][rR])"")=FALSE,$H157&lt;&gt;"""",$I157&lt;&gt;""""),HYPERLINK(""https://www.munzee.com/m/""&amp;$H157&amp;""/""&amp;$I157&amp;""/map/?lat=""&amp;$D157&amp;""&amp;lon=""&amp;$E157&amp;""&amp;type=""&amp;$F157&amp;""&amp;name=""&amp;SUBSTITUTE($A157,""#"&amp;""",""%23""),$H157&amp;""/""&amp;$I157),IF($H157&lt;&gt;"""",IF(REGEXMATCH($H157,""50( ?['fF]([oO]{2})?[tT]?)?( ?[eE][rR]{2}[oO][rR])""),HYPERLINK(""https://www.munzee.com/map/?sandbox=1&amp;lat=""&amp;$D157&amp;""&amp;lon=""&amp;$E157&amp;""&amp;name=""&amp;SUBSTITUTE($A157,""#"",""%23""),""SANDBOX"""&amp;"),HYPERLINK(""https://www.munzee.com/m/""&amp;$H157&amp;""/deploys/0/type/""&amp;IFNA(VLOOKUP($F157,IMPORTRANGE(""https://docs.google.com/spreadsheets/d/1DliIGyDywdzxhd4svtjaewR0p9Y5UBTMNMQ2PcXsqss"",""type data!E2:F""),2,FALSE),$F157)&amp;""/"",$H157)),""""))"),"IggiePiggie/2077")</f>
        <v>IggiePiggie/2077</v>
      </c>
      <c r="K157" s="6" t="b">
        <v>1</v>
      </c>
      <c r="L157" s="9"/>
      <c r="M157" s="9">
        <f t="shared" si="1"/>
        <v>7</v>
      </c>
    </row>
    <row r="158">
      <c r="A158" s="3" t="s">
        <v>347</v>
      </c>
      <c r="B158" s="3">
        <v>12.0</v>
      </c>
      <c r="C158" s="3">
        <v>10.0</v>
      </c>
      <c r="D158" s="4">
        <v>51.5842332903195</v>
      </c>
      <c r="E158" s="4">
        <v>-0.2190107674071</v>
      </c>
      <c r="F158" s="3" t="s">
        <v>268</v>
      </c>
      <c r="G158" s="3" t="s">
        <v>269</v>
      </c>
      <c r="H158" s="6" t="s">
        <v>206</v>
      </c>
      <c r="I158" s="6">
        <v>10347.0</v>
      </c>
      <c r="J158" s="7" t="str">
        <f>IFERROR(__xludf.DUMMYFUNCTION("IF(AND(REGEXMATCH($H158,""50( ?['fF]([oO]{2})?[tT]?)?( ?[eE][rR]{2}[oO][rR])"")=FALSE,$H158&lt;&gt;"""",$I158&lt;&gt;""""),HYPERLINK(""https://www.munzee.com/m/""&amp;$H158&amp;""/""&amp;$I158&amp;""/map/?lat=""&amp;$D158&amp;""&amp;lon=""&amp;$E158&amp;""&amp;type=""&amp;$F158&amp;""&amp;name=""&amp;SUBSTITUTE($A158,""#"&amp;""",""%23""),$H158&amp;""/""&amp;$I158),IF($H158&lt;&gt;"""",IF(REGEXMATCH($H158,""50( ?['fF]([oO]{2})?[tT]?)?( ?[eE][rR]{2}[oO][rR])""),HYPERLINK(""https://www.munzee.com/map/?sandbox=1&amp;lat=""&amp;$D158&amp;""&amp;lon=""&amp;$E158&amp;""&amp;name=""&amp;SUBSTITUTE($A158,""#"",""%23""),""SANDBOX"""&amp;"),HYPERLINK(""https://www.munzee.com/m/""&amp;$H158&amp;""/deploys/0/type/""&amp;IFNA(VLOOKUP($F158,IMPORTRANGE(""https://docs.google.com/spreadsheets/d/1DliIGyDywdzxhd4svtjaewR0p9Y5UBTMNMQ2PcXsqss"",""type data!E2:F""),2,FALSE),$F158)&amp;""/"",$H158)),""""))"),"NYBOSS/10347")</f>
        <v>NYBOSS/10347</v>
      </c>
      <c r="K158" s="6" t="b">
        <v>1</v>
      </c>
      <c r="L158" s="6"/>
      <c r="M158" s="9">
        <f t="shared" si="1"/>
        <v>2</v>
      </c>
    </row>
    <row r="159">
      <c r="A159" s="3" t="s">
        <v>348</v>
      </c>
      <c r="B159" s="3">
        <v>12.0</v>
      </c>
      <c r="C159" s="3">
        <v>11.0</v>
      </c>
      <c r="D159" s="4">
        <v>51.5842332900921</v>
      </c>
      <c r="E159" s="4">
        <v>-0.2187794527816</v>
      </c>
      <c r="F159" s="3" t="s">
        <v>271</v>
      </c>
      <c r="G159" s="3" t="s">
        <v>272</v>
      </c>
      <c r="H159" s="6" t="s">
        <v>349</v>
      </c>
      <c r="I159" s="6">
        <v>354.0</v>
      </c>
      <c r="J159" s="7" t="str">
        <f>IFERROR(__xludf.DUMMYFUNCTION("IF(AND(REGEXMATCH($H159,""50( ?['fF]([oO]{2})?[tT]?)?( ?[eE][rR]{2}[oO][rR])"")=FALSE,$H159&lt;&gt;"""",$I159&lt;&gt;""""),HYPERLINK(""https://www.munzee.com/m/""&amp;$H159&amp;""/""&amp;$I159&amp;""/map/?lat=""&amp;$D159&amp;""&amp;lon=""&amp;$E159&amp;""&amp;type=""&amp;$F159&amp;""&amp;name=""&amp;SUBSTITUTE($A159,""#"&amp;""",""%23""),$H159&amp;""/""&amp;$I159),IF($H159&lt;&gt;"""",IF(REGEXMATCH($H159,""50( ?['fF]([oO]{2})?[tT]?)?( ?[eE][rR]{2}[oO][rR])""),HYPERLINK(""https://www.munzee.com/map/?sandbox=1&amp;lat=""&amp;$D159&amp;""&amp;lon=""&amp;$E159&amp;""&amp;name=""&amp;SUBSTITUTE($A159,""#"",""%23""),""SANDBOX"""&amp;"),HYPERLINK(""https://www.munzee.com/m/""&amp;$H159&amp;""/deploys/0/type/""&amp;IFNA(VLOOKUP($F159,IMPORTRANGE(""https://docs.google.com/spreadsheets/d/1DliIGyDywdzxhd4svtjaewR0p9Y5UBTMNMQ2PcXsqss"",""type data!E2:F""),2,FALSE),$F159)&amp;""/"",$H159)),""""))"),"ol0n0lo/354")</f>
        <v>ol0n0lo/354</v>
      </c>
      <c r="K159" s="6" t="b">
        <v>1</v>
      </c>
      <c r="L159" s="9"/>
      <c r="M159" s="9">
        <f t="shared" si="1"/>
        <v>1</v>
      </c>
    </row>
    <row r="160">
      <c r="A160" s="3" t="s">
        <v>350</v>
      </c>
      <c r="B160" s="3">
        <v>12.0</v>
      </c>
      <c r="C160" s="3">
        <v>12.0</v>
      </c>
      <c r="D160" s="4">
        <v>51.5842332898648</v>
      </c>
      <c r="E160" s="4">
        <v>-0.2185481381562</v>
      </c>
      <c r="F160" s="3" t="s">
        <v>268</v>
      </c>
      <c r="G160" s="3" t="s">
        <v>269</v>
      </c>
      <c r="H160" s="6" t="s">
        <v>55</v>
      </c>
      <c r="I160" s="15">
        <v>646.0</v>
      </c>
      <c r="J160" s="7" t="str">
        <f>IFERROR(__xludf.DUMMYFUNCTION("IF(AND(REGEXMATCH($H160,""50( ?['fF]([oO]{2})?[tT]?)?( ?[eE][rR]{2}[oO][rR])"")=FALSE,$H160&lt;&gt;"""",$I160&lt;&gt;""""),HYPERLINK(""https://www.munzee.com/m/""&amp;$H160&amp;""/""&amp;$I160&amp;""/map/?lat=""&amp;$D160&amp;""&amp;lon=""&amp;$E160&amp;""&amp;type=""&amp;$F160&amp;""&amp;name=""&amp;SUBSTITUTE($A160,""#"&amp;""",""%23""),$H160&amp;""/""&amp;$I160),IF($H160&lt;&gt;"""",IF(REGEXMATCH($H160,""50( ?['fF]([oO]{2})?[tT]?)?( ?[eE][rR]{2}[oO][rR])""),HYPERLINK(""https://www.munzee.com/map/?sandbox=1&amp;lat=""&amp;$D160&amp;""&amp;lon=""&amp;$E160&amp;""&amp;name=""&amp;SUBSTITUTE($A160,""#"",""%23""),""SANDBOX"""&amp;"),HYPERLINK(""https://www.munzee.com/m/""&amp;$H160&amp;""/deploys/0/type/""&amp;IFNA(VLOOKUP($F160,IMPORTRANGE(""https://docs.google.com/spreadsheets/d/1DliIGyDywdzxhd4svtjaewR0p9Y5UBTMNMQ2PcXsqss"",""type data!E2:F""),2,FALSE),$F160)&amp;""/"",$H160)),""""))"),"SzymcioT/646")</f>
        <v>SzymcioT/646</v>
      </c>
      <c r="K160" s="6" t="b">
        <v>1</v>
      </c>
      <c r="L160" s="21"/>
      <c r="M160" s="9">
        <f t="shared" si="1"/>
        <v>6</v>
      </c>
    </row>
    <row r="161">
      <c r="A161" s="3" t="s">
        <v>351</v>
      </c>
      <c r="B161" s="3">
        <v>12.0</v>
      </c>
      <c r="C161" s="3">
        <v>13.0</v>
      </c>
      <c r="D161" s="4">
        <v>51.5842332896375</v>
      </c>
      <c r="E161" s="4">
        <v>-0.2183168235307</v>
      </c>
      <c r="F161" s="3" t="s">
        <v>235</v>
      </c>
      <c r="G161" s="3" t="s">
        <v>236</v>
      </c>
      <c r="H161" s="6" t="s">
        <v>238</v>
      </c>
      <c r="I161" s="6">
        <v>4361.0</v>
      </c>
      <c r="J161" s="7" t="str">
        <f>IFERROR(__xludf.DUMMYFUNCTION("IF(AND(REGEXMATCH($H161,""50( ?['fF]([oO]{2})?[tT]?)?( ?[eE][rR]{2}[oO][rR])"")=FALSE,$H161&lt;&gt;"""",$I161&lt;&gt;""""),HYPERLINK(""https://www.munzee.com/m/""&amp;$H161&amp;""/""&amp;$I161&amp;""/map/?lat=""&amp;$D161&amp;""&amp;lon=""&amp;$E161&amp;""&amp;type=""&amp;$F161&amp;""&amp;name=""&amp;SUBSTITUTE($A161,""#"&amp;""",""%23""),$H161&amp;""/""&amp;$I161),IF($H161&lt;&gt;"""",IF(REGEXMATCH($H161,""50( ?['fF]([oO]{2})?[tT]?)?( ?[eE][rR]{2}[oO][rR])""),HYPERLINK(""https://www.munzee.com/map/?sandbox=1&amp;lat=""&amp;$D161&amp;""&amp;lon=""&amp;$E161&amp;""&amp;name=""&amp;SUBSTITUTE($A161,""#"",""%23""),""SANDBOX"""&amp;"),HYPERLINK(""https://www.munzee.com/m/""&amp;$H161&amp;""/deploys/0/type/""&amp;IFNA(VLOOKUP($F161,IMPORTRANGE(""https://docs.google.com/spreadsheets/d/1DliIGyDywdzxhd4svtjaewR0p9Y5UBTMNMQ2PcXsqss"",""type data!E2:F""),2,FALSE),$F161)&amp;""/"",$H161)),""""))"),"ivwarrior/4361")</f>
        <v>ivwarrior/4361</v>
      </c>
      <c r="K161" s="6" t="b">
        <v>1</v>
      </c>
      <c r="L161" s="9"/>
      <c r="M161" s="9">
        <f t="shared" si="1"/>
        <v>2</v>
      </c>
    </row>
    <row r="162">
      <c r="A162" s="3" t="s">
        <v>352</v>
      </c>
      <c r="B162" s="3">
        <v>12.0</v>
      </c>
      <c r="C162" s="3">
        <v>14.0</v>
      </c>
      <c r="D162" s="4">
        <v>51.5842332894101</v>
      </c>
      <c r="E162" s="4">
        <v>-0.2180855089052</v>
      </c>
      <c r="F162" s="3" t="s">
        <v>196</v>
      </c>
      <c r="G162" s="3" t="s">
        <v>197</v>
      </c>
      <c r="H162" s="6" t="s">
        <v>130</v>
      </c>
      <c r="I162" s="6">
        <v>4520.0</v>
      </c>
      <c r="J162" s="7" t="str">
        <f>IFERROR(__xludf.DUMMYFUNCTION("IF(AND(REGEXMATCH($H162,""50( ?['fF]([oO]{2})?[tT]?)?( ?[eE][rR]{2}[oO][rR])"")=FALSE,$H162&lt;&gt;"""",$I162&lt;&gt;""""),HYPERLINK(""https://www.munzee.com/m/""&amp;$H162&amp;""/""&amp;$I162&amp;""/map/?lat=""&amp;$D162&amp;""&amp;lon=""&amp;$E162&amp;""&amp;type=""&amp;$F162&amp;""&amp;name=""&amp;SUBSTITUTE($A162,""#"&amp;""",""%23""),$H162&amp;""/""&amp;$I162),IF($H162&lt;&gt;"""",IF(REGEXMATCH($H162,""50( ?['fF]([oO]{2})?[tT]?)?( ?[eE][rR]{2}[oO][rR])""),HYPERLINK(""https://www.munzee.com/map/?sandbox=1&amp;lat=""&amp;$D162&amp;""&amp;lon=""&amp;$E162&amp;""&amp;name=""&amp;SUBSTITUTE($A162,""#"",""%23""),""SANDBOX"""&amp;"),HYPERLINK(""https://www.munzee.com/m/""&amp;$H162&amp;""/deploys/0/type/""&amp;IFNA(VLOOKUP($F162,IMPORTRANGE(""https://docs.google.com/spreadsheets/d/1DliIGyDywdzxhd4svtjaewR0p9Y5UBTMNMQ2PcXsqss"",""type data!E2:F""),2,FALSE),$F162)&amp;""/"",$H162)),""""))"),"raunas/4520")</f>
        <v>raunas/4520</v>
      </c>
      <c r="K162" s="6" t="b">
        <v>1</v>
      </c>
      <c r="L162" s="9"/>
      <c r="M162" s="9">
        <f t="shared" si="1"/>
        <v>7</v>
      </c>
    </row>
    <row r="163">
      <c r="A163" s="3" t="s">
        <v>353</v>
      </c>
      <c r="B163" s="3">
        <v>12.0</v>
      </c>
      <c r="C163" s="3">
        <v>15.0</v>
      </c>
      <c r="D163" s="4">
        <v>51.5842332891828</v>
      </c>
      <c r="E163" s="4">
        <v>-0.2178541942798</v>
      </c>
      <c r="F163" s="3" t="s">
        <v>165</v>
      </c>
      <c r="G163" s="3" t="s">
        <v>166</v>
      </c>
      <c r="H163" s="3" t="s">
        <v>354</v>
      </c>
      <c r="I163" s="6">
        <v>7465.0</v>
      </c>
      <c r="J163" s="7" t="str">
        <f>IFERROR(__xludf.DUMMYFUNCTION("IF(AND(REGEXMATCH($H163,""50( ?['fF]([oO]{2})?[tT]?)?( ?[eE][rR]{2}[oO][rR])"")=FALSE,$H163&lt;&gt;"""",$I163&lt;&gt;""""),HYPERLINK(""https://www.munzee.com/m/""&amp;$H163&amp;""/""&amp;$I163&amp;""/map/?lat=""&amp;$D163&amp;""&amp;lon=""&amp;$E163&amp;""&amp;type=""&amp;$F163&amp;""&amp;name=""&amp;SUBSTITUTE($A163,""#"&amp;""",""%23""),$H163&amp;""/""&amp;$I163),IF($H163&lt;&gt;"""",IF(REGEXMATCH($H163,""50( ?['fF]([oO]{2})?[tT]?)?( ?[eE][rR]{2}[oO][rR])""),HYPERLINK(""https://www.munzee.com/map/?sandbox=1&amp;lat=""&amp;$D163&amp;""&amp;lon=""&amp;$E163&amp;""&amp;name=""&amp;SUBSTITUTE($A163,""#"",""%23""),""SANDBOX"""&amp;"),HYPERLINK(""https://www.munzee.com/m/""&amp;$H163&amp;""/deploys/0/type/""&amp;IFNA(VLOOKUP($F163,IMPORTRANGE(""https://docs.google.com/spreadsheets/d/1DliIGyDywdzxhd4svtjaewR0p9Y5UBTMNMQ2PcXsqss"",""type data!E2:F""),2,FALSE),$F163)&amp;""/"",$H163)),""""))"),"wanderingausl/7465")</f>
        <v>wanderingausl/7465</v>
      </c>
      <c r="K163" s="6" t="b">
        <v>1</v>
      </c>
      <c r="L163" s="9"/>
      <c r="M163" s="9">
        <f t="shared" si="1"/>
        <v>1</v>
      </c>
    </row>
    <row r="164">
      <c r="A164" s="3" t="s">
        <v>355</v>
      </c>
      <c r="B164" s="3">
        <v>12.0</v>
      </c>
      <c r="C164" s="3">
        <v>16.0</v>
      </c>
      <c r="D164" s="4">
        <v>51.5842332889555</v>
      </c>
      <c r="E164" s="4">
        <v>-0.2176228796543</v>
      </c>
      <c r="F164" s="3" t="s">
        <v>132</v>
      </c>
      <c r="G164" s="3" t="s">
        <v>133</v>
      </c>
      <c r="H164" s="6" t="s">
        <v>356</v>
      </c>
      <c r="I164" s="6">
        <v>8625.0</v>
      </c>
      <c r="J164" s="7" t="str">
        <f>IFERROR(__xludf.DUMMYFUNCTION("IF(AND(REGEXMATCH($H164,""50( ?['fF]([oO]{2})?[tT]?)?( ?[eE][rR]{2}[oO][rR])"")=FALSE,$H164&lt;&gt;"""",$I164&lt;&gt;""""),HYPERLINK(""https://www.munzee.com/m/""&amp;$H164&amp;""/""&amp;$I164&amp;""/map/?lat=""&amp;$D164&amp;""&amp;lon=""&amp;$E164&amp;""&amp;type=""&amp;$F164&amp;""&amp;name=""&amp;SUBSTITUTE($A164,""#"&amp;""",""%23""),$H164&amp;""/""&amp;$I164),IF($H164&lt;&gt;"""",IF(REGEXMATCH($H164,""50( ?['fF]([oO]{2})?[tT]?)?( ?[eE][rR]{2}[oO][rR])""),HYPERLINK(""https://www.munzee.com/map/?sandbox=1&amp;lat=""&amp;$D164&amp;""&amp;lon=""&amp;$E164&amp;""&amp;name=""&amp;SUBSTITUTE($A164,""#"",""%23""),""SANDBOX"""&amp;"),HYPERLINK(""https://www.munzee.com/m/""&amp;$H164&amp;""/deploys/0/type/""&amp;IFNA(VLOOKUP($F164,IMPORTRANGE(""https://docs.google.com/spreadsheets/d/1DliIGyDywdzxhd4svtjaewR0p9Y5UBTMNMQ2PcXsqss"",""type data!E2:F""),2,FALSE),$F164)&amp;""/"",$H164)),""""))"),"JaroslavKaas/8625")</f>
        <v>JaroslavKaas/8625</v>
      </c>
      <c r="K164" s="6" t="b">
        <v>1</v>
      </c>
      <c r="L164" s="6" t="s">
        <v>357</v>
      </c>
      <c r="M164" s="9">
        <f t="shared" si="1"/>
        <v>1</v>
      </c>
    </row>
    <row r="165">
      <c r="A165" s="3" t="s">
        <v>358</v>
      </c>
      <c r="B165" s="3">
        <v>12.0</v>
      </c>
      <c r="C165" s="3">
        <v>17.0</v>
      </c>
      <c r="D165" s="4">
        <v>51.5842332887281</v>
      </c>
      <c r="E165" s="4">
        <v>-0.2173915650288</v>
      </c>
      <c r="F165" s="3" t="s">
        <v>29</v>
      </c>
      <c r="G165" s="3" t="s">
        <v>30</v>
      </c>
      <c r="H165" s="6" t="s">
        <v>359</v>
      </c>
      <c r="I165" s="6">
        <v>1966.0</v>
      </c>
      <c r="J165" s="7" t="str">
        <f>IFERROR(__xludf.DUMMYFUNCTION("IF(AND(REGEXMATCH($H165,""50( ?['fF]([oO]{2})?[tT]?)?( ?[eE][rR]{2}[oO][rR])"")=FALSE,$H165&lt;&gt;"""",$I165&lt;&gt;""""),HYPERLINK(""https://www.munzee.com/m/""&amp;$H165&amp;""/""&amp;$I165&amp;""/map/?lat=""&amp;$D165&amp;""&amp;lon=""&amp;$E165&amp;""&amp;type=""&amp;$F165&amp;""&amp;name=""&amp;SUBSTITUTE($A165,""#"&amp;""",""%23""),$H165&amp;""/""&amp;$I165),IF($H165&lt;&gt;"""",IF(REGEXMATCH($H165,""50( ?['fF]([oO]{2})?[tT]?)?( ?[eE][rR]{2}[oO][rR])""),HYPERLINK(""https://www.munzee.com/map/?sandbox=1&amp;lat=""&amp;$D165&amp;""&amp;lon=""&amp;$E165&amp;""&amp;name=""&amp;SUBSTITUTE($A165,""#"",""%23""),""SANDBOX"""&amp;"),HYPERLINK(""https://www.munzee.com/m/""&amp;$H165&amp;""/deploys/0/type/""&amp;IFNA(VLOOKUP($F165,IMPORTRANGE(""https://docs.google.com/spreadsheets/d/1DliIGyDywdzxhd4svtjaewR0p9Y5UBTMNMQ2PcXsqss"",""type data!E2:F""),2,FALSE),$F165)&amp;""/"",$H165)),""""))"),"Maxi72/1966")</f>
        <v>Maxi72/1966</v>
      </c>
      <c r="K165" s="6" t="b">
        <v>1</v>
      </c>
      <c r="L165" s="6"/>
      <c r="M165" s="9">
        <f t="shared" si="1"/>
        <v>1</v>
      </c>
    </row>
    <row r="166">
      <c r="A166" s="3" t="s">
        <v>360</v>
      </c>
      <c r="B166" s="3">
        <v>12.0</v>
      </c>
      <c r="C166" s="3">
        <v>18.0</v>
      </c>
      <c r="D166" s="4">
        <v>51.5842332885008</v>
      </c>
      <c r="E166" s="4">
        <v>-0.2171602504034</v>
      </c>
      <c r="F166" s="3" t="s">
        <v>70</v>
      </c>
      <c r="G166" s="3" t="s">
        <v>71</v>
      </c>
      <c r="H166" s="6" t="s">
        <v>55</v>
      </c>
      <c r="I166" s="6">
        <v>960.0</v>
      </c>
      <c r="J166" s="7" t="str">
        <f>IFERROR(__xludf.DUMMYFUNCTION("IF(AND(REGEXMATCH($H166,""50( ?['fF]([oO]{2})?[tT]?)?( ?[eE][rR]{2}[oO][rR])"")=FALSE,$H166&lt;&gt;"""",$I166&lt;&gt;""""),HYPERLINK(""https://www.munzee.com/m/""&amp;$H166&amp;""/""&amp;$I166&amp;""/map/?lat=""&amp;$D166&amp;""&amp;lon=""&amp;$E166&amp;""&amp;type=""&amp;$F166&amp;""&amp;name=""&amp;SUBSTITUTE($A166,""#"&amp;""",""%23""),$H166&amp;""/""&amp;$I166),IF($H166&lt;&gt;"""",IF(REGEXMATCH($H166,""50( ?['fF]([oO]{2})?[tT]?)?( ?[eE][rR]{2}[oO][rR])""),HYPERLINK(""https://www.munzee.com/map/?sandbox=1&amp;lat=""&amp;$D166&amp;""&amp;lon=""&amp;$E166&amp;""&amp;name=""&amp;SUBSTITUTE($A166,""#"",""%23""),""SANDBOX"""&amp;"),HYPERLINK(""https://www.munzee.com/m/""&amp;$H166&amp;""/deploys/0/type/""&amp;IFNA(VLOOKUP($F166,IMPORTRANGE(""https://docs.google.com/spreadsheets/d/1DliIGyDywdzxhd4svtjaewR0p9Y5UBTMNMQ2PcXsqss"",""type data!E2:F""),2,FALSE),$F166)&amp;""/"",$H166)),""""))"),"SzymcioT/960")</f>
        <v>SzymcioT/960</v>
      </c>
      <c r="K166" s="6" t="b">
        <v>1</v>
      </c>
      <c r="L166" s="9"/>
      <c r="M166" s="9">
        <f t="shared" si="1"/>
        <v>6</v>
      </c>
    </row>
    <row r="167">
      <c r="A167" s="3" t="s">
        <v>361</v>
      </c>
      <c r="B167" s="3">
        <v>12.0</v>
      </c>
      <c r="C167" s="3">
        <v>19.0</v>
      </c>
      <c r="D167" s="4">
        <v>51.5842332882735</v>
      </c>
      <c r="E167" s="4">
        <v>-0.2169289357779</v>
      </c>
      <c r="F167" s="3" t="s">
        <v>51</v>
      </c>
      <c r="G167" s="3" t="s">
        <v>52</v>
      </c>
      <c r="H167" s="6" t="s">
        <v>362</v>
      </c>
      <c r="I167" s="6">
        <v>3763.0</v>
      </c>
      <c r="J167" s="7" t="str">
        <f>IFERROR(__xludf.DUMMYFUNCTION("IF(AND(REGEXMATCH($H167,""50( ?['fF]([oO]{2})?[tT]?)?( ?[eE][rR]{2}[oO][rR])"")=FALSE,$H167&lt;&gt;"""",$I167&lt;&gt;""""),HYPERLINK(""https://www.munzee.com/m/""&amp;$H167&amp;""/""&amp;$I167&amp;""/map/?lat=""&amp;$D167&amp;""&amp;lon=""&amp;$E167&amp;""&amp;type=""&amp;$F167&amp;""&amp;name=""&amp;SUBSTITUTE($A167,""#"&amp;""",""%23""),$H167&amp;""/""&amp;$I167),IF($H167&lt;&gt;"""",IF(REGEXMATCH($H167,""50( ?['fF]([oO]{2})?[tT]?)?( ?[eE][rR]{2}[oO][rR])""),HYPERLINK(""https://www.munzee.com/map/?sandbox=1&amp;lat=""&amp;$D167&amp;""&amp;lon=""&amp;$E167&amp;""&amp;name=""&amp;SUBSTITUTE($A167,""#"",""%23""),""SANDBOX"""&amp;"),HYPERLINK(""https://www.munzee.com/m/""&amp;$H167&amp;""/deploys/0/type/""&amp;IFNA(VLOOKUP($F167,IMPORTRANGE(""https://docs.google.com/spreadsheets/d/1DliIGyDywdzxhd4svtjaewR0p9Y5UBTMNMQ2PcXsqss"",""type data!E2:F""),2,FALSE),$F167)&amp;""/"",$H167)),""""))"),"Syrtene/3763")</f>
        <v>Syrtene/3763</v>
      </c>
      <c r="K167" s="6" t="b">
        <v>1</v>
      </c>
      <c r="L167" s="6"/>
      <c r="M167" s="9">
        <f t="shared" si="1"/>
        <v>2</v>
      </c>
    </row>
    <row r="168">
      <c r="A168" s="3" t="s">
        <v>363</v>
      </c>
      <c r="B168" s="3">
        <v>12.0</v>
      </c>
      <c r="C168" s="3">
        <v>20.0</v>
      </c>
      <c r="D168" s="4">
        <v>51.5842332880462</v>
      </c>
      <c r="E168" s="4">
        <v>-0.2166976211524</v>
      </c>
      <c r="F168" s="3" t="s">
        <v>29</v>
      </c>
      <c r="G168" s="3" t="s">
        <v>30</v>
      </c>
      <c r="H168" s="6" t="s">
        <v>198</v>
      </c>
      <c r="I168" s="6">
        <v>1836.0</v>
      </c>
      <c r="J168" s="7" t="str">
        <f>IFERROR(__xludf.DUMMYFUNCTION("IF(AND(REGEXMATCH($H168,""50( ?['fF]([oO]{2})?[tT]?)?( ?[eE][rR]{2}[oO][rR])"")=FALSE,$H168&lt;&gt;"""",$I168&lt;&gt;""""),HYPERLINK(""https://www.munzee.com/m/""&amp;$H168&amp;""/""&amp;$I168&amp;""/map/?lat=""&amp;$D168&amp;""&amp;lon=""&amp;$E168&amp;""&amp;type=""&amp;$F168&amp;""&amp;name=""&amp;SUBSTITUTE($A168,""#"&amp;""",""%23""),$H168&amp;""/""&amp;$I168),IF($H168&lt;&gt;"""",IF(REGEXMATCH($H168,""50( ?['fF]([oO]{2})?[tT]?)?( ?[eE][rR]{2}[oO][rR])""),HYPERLINK(""https://www.munzee.com/map/?sandbox=1&amp;lat=""&amp;$D168&amp;""&amp;lon=""&amp;$E168&amp;""&amp;name=""&amp;SUBSTITUTE($A168,""#"",""%23""),""SANDBOX"""&amp;"),HYPERLINK(""https://www.munzee.com/m/""&amp;$H168&amp;""/deploys/0/type/""&amp;IFNA(VLOOKUP($F168,IMPORTRANGE(""https://docs.google.com/spreadsheets/d/1DliIGyDywdzxhd4svtjaewR0p9Y5UBTMNMQ2PcXsqss"",""type data!E2:F""),2,FALSE),$F168)&amp;""/"",$H168)),""""))"),"iScreamBIue/1836")</f>
        <v>iScreamBIue/1836</v>
      </c>
      <c r="K168" s="6" t="b">
        <v>1</v>
      </c>
      <c r="L168" s="9"/>
      <c r="M168" s="9">
        <f t="shared" si="1"/>
        <v>2</v>
      </c>
    </row>
    <row r="169">
      <c r="A169" s="3" t="s">
        <v>364</v>
      </c>
      <c r="B169" s="3">
        <v>12.0</v>
      </c>
      <c r="C169" s="3">
        <v>21.0</v>
      </c>
      <c r="D169" s="4">
        <v>51.5842332878188</v>
      </c>
      <c r="E169" s="4">
        <v>-0.216466306527</v>
      </c>
      <c r="F169" s="3" t="s">
        <v>14</v>
      </c>
      <c r="G169" s="3" t="s">
        <v>15</v>
      </c>
      <c r="H169" s="6" t="s">
        <v>365</v>
      </c>
      <c r="I169" s="15">
        <v>12037.0</v>
      </c>
      <c r="J169" s="7" t="str">
        <f>IFERROR(__xludf.DUMMYFUNCTION("IF(AND(REGEXMATCH($H169,""50( ?['fF]([oO]{2})?[tT]?)?( ?[eE][rR]{2}[oO][rR])"")=FALSE,$H169&lt;&gt;"""",$I169&lt;&gt;""""),HYPERLINK(""https://www.munzee.com/m/""&amp;$H169&amp;""/""&amp;$I169&amp;""/map/?lat=""&amp;$D169&amp;""&amp;lon=""&amp;$E169&amp;""&amp;type=""&amp;$F169&amp;""&amp;name=""&amp;SUBSTITUTE($A169,""#"&amp;""",""%23""),$H169&amp;""/""&amp;$I169),IF($H169&lt;&gt;"""",IF(REGEXMATCH($H169,""50( ?['fF]([oO]{2})?[tT]?)?( ?[eE][rR]{2}[oO][rR])""),HYPERLINK(""https://www.munzee.com/map/?sandbox=1&amp;lat=""&amp;$D169&amp;""&amp;lon=""&amp;$E169&amp;""&amp;name=""&amp;SUBSTITUTE($A169,""#"",""%23""),""SANDBOX"""&amp;"),HYPERLINK(""https://www.munzee.com/m/""&amp;$H169&amp;""/deploys/0/type/""&amp;IFNA(VLOOKUP($F169,IMPORTRANGE(""https://docs.google.com/spreadsheets/d/1DliIGyDywdzxhd4svtjaewR0p9Y5UBTMNMQ2PcXsqss"",""type data!E2:F""),2,FALSE),$F169)&amp;""/"",$H169)),""""))"),"halizwein/12037")</f>
        <v>halizwein/12037</v>
      </c>
      <c r="K169" s="6" t="b">
        <v>1</v>
      </c>
      <c r="L169" s="9"/>
      <c r="M169" s="9">
        <f t="shared" si="1"/>
        <v>2</v>
      </c>
    </row>
    <row r="170">
      <c r="A170" s="3" t="s">
        <v>366</v>
      </c>
      <c r="B170" s="3">
        <v>13.0</v>
      </c>
      <c r="C170" s="3">
        <v>2.0</v>
      </c>
      <c r="D170" s="4">
        <v>51.5840895616927</v>
      </c>
      <c r="E170" s="4">
        <v>-0.2208612997763</v>
      </c>
      <c r="F170" s="3" t="s">
        <v>39</v>
      </c>
      <c r="G170" s="3" t="s">
        <v>40</v>
      </c>
      <c r="H170" s="6" t="s">
        <v>171</v>
      </c>
      <c r="I170" s="6">
        <v>950.0</v>
      </c>
      <c r="J170" s="7" t="str">
        <f>IFERROR(__xludf.DUMMYFUNCTION("IF(AND(REGEXMATCH($H170,""50( ?['fF]([oO]{2})?[tT]?)?( ?[eE][rR]{2}[oO][rR])"")=FALSE,$H170&lt;&gt;"""",$I170&lt;&gt;""""),HYPERLINK(""https://www.munzee.com/m/""&amp;$H170&amp;""/""&amp;$I170&amp;""/map/?lat=""&amp;$D170&amp;""&amp;lon=""&amp;$E170&amp;""&amp;type=""&amp;$F170&amp;""&amp;name=""&amp;SUBSTITUTE($A170,""#"&amp;""",""%23""),$H170&amp;""/""&amp;$I170),IF($H170&lt;&gt;"""",IF(REGEXMATCH($H170,""50( ?['fF]([oO]{2})?[tT]?)?( ?[eE][rR]{2}[oO][rR])""),HYPERLINK(""https://www.munzee.com/map/?sandbox=1&amp;lat=""&amp;$D170&amp;""&amp;lon=""&amp;$E170&amp;""&amp;name=""&amp;SUBSTITUTE($A170,""#"",""%23""),""SANDBOX"""&amp;"),HYPERLINK(""https://www.munzee.com/m/""&amp;$H170&amp;""/deploys/0/type/""&amp;IFNA(VLOOKUP($F170,IMPORTRANGE(""https://docs.google.com/spreadsheets/d/1DliIGyDywdzxhd4svtjaewR0p9Y5UBTMNMQ2PcXsqss"",""type data!E2:F""),2,FALSE),$F170)&amp;""/"",$H170)),""""))"),"klc1960/950")</f>
        <v>klc1960/950</v>
      </c>
      <c r="K170" s="6" t="b">
        <v>1</v>
      </c>
      <c r="L170" s="9"/>
      <c r="M170" s="9">
        <f t="shared" si="1"/>
        <v>6</v>
      </c>
    </row>
    <row r="171">
      <c r="A171" s="3" t="s">
        <v>367</v>
      </c>
      <c r="B171" s="3">
        <v>13.0</v>
      </c>
      <c r="C171" s="3">
        <v>3.0</v>
      </c>
      <c r="D171" s="4">
        <v>51.5840895614653</v>
      </c>
      <c r="E171" s="4">
        <v>-0.2206299858825</v>
      </c>
      <c r="F171" s="3" t="s">
        <v>44</v>
      </c>
      <c r="G171" s="3" t="s">
        <v>45</v>
      </c>
      <c r="H171" s="6" t="s">
        <v>217</v>
      </c>
      <c r="I171" s="6">
        <v>3077.0</v>
      </c>
      <c r="J171" s="7" t="str">
        <f>IFERROR(__xludf.DUMMYFUNCTION("IF(AND(REGEXMATCH($H171,""50( ?['fF]([oO]{2})?[tT]?)?( ?[eE][rR]{2}[oO][rR])"")=FALSE,$H171&lt;&gt;"""",$I171&lt;&gt;""""),HYPERLINK(""https://www.munzee.com/m/""&amp;$H171&amp;""/""&amp;$I171&amp;""/map/?lat=""&amp;$D171&amp;""&amp;lon=""&amp;$E171&amp;""&amp;type=""&amp;$F171&amp;""&amp;name=""&amp;SUBSTITUTE($A171,""#"&amp;""",""%23""),$H171&amp;""/""&amp;$I171),IF($H171&lt;&gt;"""",IF(REGEXMATCH($H171,""50( ?['fF]([oO]{2})?[tT]?)?( ?[eE][rR]{2}[oO][rR])""),HYPERLINK(""https://www.munzee.com/map/?sandbox=1&amp;lat=""&amp;$D171&amp;""&amp;lon=""&amp;$E171&amp;""&amp;name=""&amp;SUBSTITUTE($A171,""#"",""%23""),""SANDBOX"""&amp;"),HYPERLINK(""https://www.munzee.com/m/""&amp;$H171&amp;""/deploys/0/type/""&amp;IFNA(VLOOKUP($F171,IMPORTRANGE(""https://docs.google.com/spreadsheets/d/1DliIGyDywdzxhd4svtjaewR0p9Y5UBTMNMQ2PcXsqss"",""type data!E2:F""),2,FALSE),$F171)&amp;""/"",$H171)),""""))"),"Beermaven/3077")</f>
        <v>Beermaven/3077</v>
      </c>
      <c r="K171" s="6" t="b">
        <v>1</v>
      </c>
      <c r="L171" s="16" t="s">
        <v>368</v>
      </c>
      <c r="M171" s="9">
        <f t="shared" si="1"/>
        <v>4</v>
      </c>
    </row>
    <row r="172">
      <c r="A172" s="3" t="s">
        <v>369</v>
      </c>
      <c r="B172" s="3">
        <v>13.0</v>
      </c>
      <c r="C172" s="3">
        <v>4.0</v>
      </c>
      <c r="D172" s="4">
        <v>51.584089561238</v>
      </c>
      <c r="E172" s="4">
        <v>-0.2203986719887</v>
      </c>
      <c r="F172" s="3" t="s">
        <v>70</v>
      </c>
      <c r="G172" s="3" t="s">
        <v>71</v>
      </c>
      <c r="H172" s="6" t="s">
        <v>53</v>
      </c>
      <c r="I172" s="6">
        <v>1094.0</v>
      </c>
      <c r="J172" s="7" t="str">
        <f>IFERROR(__xludf.DUMMYFUNCTION("IF(AND(REGEXMATCH($H172,""50( ?['fF]([oO]{2})?[tT]?)?( ?[eE][rR]{2}[oO][rR])"")=FALSE,$H172&lt;&gt;"""",$I172&lt;&gt;""""),HYPERLINK(""https://www.munzee.com/m/""&amp;$H172&amp;""/""&amp;$I172&amp;""/map/?lat=""&amp;$D172&amp;""&amp;lon=""&amp;$E172&amp;""&amp;type=""&amp;$F172&amp;""&amp;name=""&amp;SUBSTITUTE($A172,""#"&amp;""",""%23""),$H172&amp;""/""&amp;$I172),IF($H172&lt;&gt;"""",IF(REGEXMATCH($H172,""50( ?['fF]([oO]{2})?[tT]?)?( ?[eE][rR]{2}[oO][rR])""),HYPERLINK(""https://www.munzee.com/map/?sandbox=1&amp;lat=""&amp;$D172&amp;""&amp;lon=""&amp;$E172&amp;""&amp;name=""&amp;SUBSTITUTE($A172,""#"",""%23""),""SANDBOX"""&amp;"),HYPERLINK(""https://www.munzee.com/m/""&amp;$H172&amp;""/deploys/0/type/""&amp;IFNA(VLOOKUP($F172,IMPORTRANGE(""https://docs.google.com/spreadsheets/d/1DliIGyDywdzxhd4svtjaewR0p9Y5UBTMNMQ2PcXsqss"",""type data!E2:F""),2,FALSE),$F172)&amp;""/"",$H172)),""""))"),"TMac2/1094")</f>
        <v>TMac2/1094</v>
      </c>
      <c r="K172" s="6" t="b">
        <v>1</v>
      </c>
      <c r="L172" s="9"/>
      <c r="M172" s="9">
        <f t="shared" si="1"/>
        <v>6</v>
      </c>
    </row>
    <row r="173">
      <c r="A173" s="3" t="s">
        <v>370</v>
      </c>
      <c r="B173" s="3">
        <v>13.0</v>
      </c>
      <c r="C173" s="3">
        <v>5.0</v>
      </c>
      <c r="D173" s="4">
        <v>51.5840895610107</v>
      </c>
      <c r="E173" s="4">
        <v>-0.220167358095</v>
      </c>
      <c r="F173" s="3" t="s">
        <v>29</v>
      </c>
      <c r="G173" s="3" t="s">
        <v>30</v>
      </c>
      <c r="H173" s="6" t="s">
        <v>142</v>
      </c>
      <c r="I173" s="6">
        <v>9552.0</v>
      </c>
      <c r="J173" s="7" t="str">
        <f>IFERROR(__xludf.DUMMYFUNCTION("IF(AND(REGEXMATCH($H173,""50( ?['fF]([oO]{2})?[tT]?)?( ?[eE][rR]{2}[oO][rR])"")=FALSE,$H173&lt;&gt;"""",$I173&lt;&gt;""""),HYPERLINK(""https://www.munzee.com/m/""&amp;$H173&amp;""/""&amp;$I173&amp;""/map/?lat=""&amp;$D173&amp;""&amp;lon=""&amp;$E173&amp;""&amp;type=""&amp;$F173&amp;""&amp;name=""&amp;SUBSTITUTE($A173,""#"&amp;""",""%23""),$H173&amp;""/""&amp;$I173),IF($H173&lt;&gt;"""",IF(REGEXMATCH($H173,""50( ?['fF]([oO]{2})?[tT]?)?( ?[eE][rR]{2}[oO][rR])""),HYPERLINK(""https://www.munzee.com/map/?sandbox=1&amp;lat=""&amp;$D173&amp;""&amp;lon=""&amp;$E173&amp;""&amp;name=""&amp;SUBSTITUTE($A173,""#"",""%23""),""SANDBOX"""&amp;"),HYPERLINK(""https://www.munzee.com/m/""&amp;$H173&amp;""/deploys/0/type/""&amp;IFNA(VLOOKUP($F173,IMPORTRANGE(""https://docs.google.com/spreadsheets/d/1DliIGyDywdzxhd4svtjaewR0p9Y5UBTMNMQ2PcXsqss"",""type data!E2:F""),2,FALSE),$F173)&amp;""/"",$H173)),""""))"),"georeyna/9552")</f>
        <v>georeyna/9552</v>
      </c>
      <c r="K173" s="6"/>
      <c r="L173" s="6" t="s">
        <v>371</v>
      </c>
      <c r="M173" s="9">
        <f t="shared" si="1"/>
        <v>4</v>
      </c>
    </row>
    <row r="174">
      <c r="A174" s="3" t="s">
        <v>372</v>
      </c>
      <c r="B174" s="3">
        <v>13.0</v>
      </c>
      <c r="C174" s="3">
        <v>6.0</v>
      </c>
      <c r="D174" s="4">
        <v>51.5840895607834</v>
      </c>
      <c r="E174" s="4">
        <v>-0.2199360442012</v>
      </c>
      <c r="F174" s="3" t="s">
        <v>29</v>
      </c>
      <c r="G174" s="3" t="s">
        <v>30</v>
      </c>
      <c r="H174" s="3" t="s">
        <v>373</v>
      </c>
      <c r="I174" s="6">
        <v>9973.0</v>
      </c>
      <c r="J174" s="7" t="str">
        <f>IFERROR(__xludf.DUMMYFUNCTION("IF(AND(REGEXMATCH($H174,""50( ?['fF]([oO]{2})?[tT]?)?( ?[eE][rR]{2}[oO][rR])"")=FALSE,$H174&lt;&gt;"""",$I174&lt;&gt;""""),HYPERLINK(""https://www.munzee.com/m/""&amp;$H174&amp;""/""&amp;$I174&amp;""/map/?lat=""&amp;$D174&amp;""&amp;lon=""&amp;$E174&amp;""&amp;type=""&amp;$F174&amp;""&amp;name=""&amp;SUBSTITUTE($A174,""#"&amp;""",""%23""),$H174&amp;""/""&amp;$I174),IF($H174&lt;&gt;"""",IF(REGEXMATCH($H174,""50( ?['fF]([oO]{2})?[tT]?)?( ?[eE][rR]{2}[oO][rR])""),HYPERLINK(""https://www.munzee.com/map/?sandbox=1&amp;lat=""&amp;$D174&amp;""&amp;lon=""&amp;$E174&amp;""&amp;name=""&amp;SUBSTITUTE($A174,""#"",""%23""),""SANDBOX"""&amp;"),HYPERLINK(""https://www.munzee.com/m/""&amp;$H174&amp;""/deploys/0/type/""&amp;IFNA(VLOOKUP($F174,IMPORTRANGE(""https://docs.google.com/spreadsheets/d/1DliIGyDywdzxhd4svtjaewR0p9Y5UBTMNMQ2PcXsqss"",""type data!E2:F""),2,FALSE),$F174)&amp;""/"",$H174)),""""))"),"JABIE28/9973")</f>
        <v>JABIE28/9973</v>
      </c>
      <c r="K174" s="6" t="b">
        <v>1</v>
      </c>
      <c r="L174" s="9"/>
      <c r="M174" s="9">
        <f t="shared" si="1"/>
        <v>3</v>
      </c>
    </row>
    <row r="175">
      <c r="A175" s="3" t="s">
        <v>374</v>
      </c>
      <c r="B175" s="3">
        <v>13.0</v>
      </c>
      <c r="C175" s="3">
        <v>7.0</v>
      </c>
      <c r="D175" s="4">
        <v>51.584089560556</v>
      </c>
      <c r="E175" s="4">
        <v>-0.2197047303074</v>
      </c>
      <c r="F175" s="3" t="s">
        <v>29</v>
      </c>
      <c r="G175" s="3" t="s">
        <v>30</v>
      </c>
      <c r="H175" s="22" t="s">
        <v>375</v>
      </c>
      <c r="I175" s="22">
        <v>12951.0</v>
      </c>
      <c r="J175" s="7" t="str">
        <f>IFERROR(__xludf.DUMMYFUNCTION("IF(AND(REGEXMATCH($H175,""50( ?['fF]([oO]{2})?[tT]?)?( ?[eE][rR]{2}[oO][rR])"")=FALSE,$H175&lt;&gt;"""",$I175&lt;&gt;""""),HYPERLINK(""https://www.munzee.com/m/""&amp;$H175&amp;""/""&amp;$I175&amp;""/map/?lat=""&amp;$D175&amp;""&amp;lon=""&amp;$E175&amp;""&amp;type=""&amp;$F175&amp;""&amp;name=""&amp;SUBSTITUTE($A175,""#"&amp;""",""%23""),$H175&amp;""/""&amp;$I175),IF($H175&lt;&gt;"""",IF(REGEXMATCH($H175,""50( ?['fF]([oO]{2})?[tT]?)?( ?[eE][rR]{2}[oO][rR])""),HYPERLINK(""https://www.munzee.com/map/?sandbox=1&amp;lat=""&amp;$D175&amp;""&amp;lon=""&amp;$E175&amp;""&amp;name=""&amp;SUBSTITUTE($A175,""#"",""%23""),""SANDBOX"""&amp;"),HYPERLINK(""https://www.munzee.com/m/""&amp;$H175&amp;""/deploys/0/type/""&amp;IFNA(VLOOKUP($F175,IMPORTRANGE(""https://docs.google.com/spreadsheets/d/1DliIGyDywdzxhd4svtjaewR0p9Y5UBTMNMQ2PcXsqss"",""type data!E2:F""),2,FALSE),$F175)&amp;""/"",$H175)),""""))"),"moonster/12951")</f>
        <v>moonster/12951</v>
      </c>
      <c r="K175" s="6" t="b">
        <v>1</v>
      </c>
      <c r="L175" s="9"/>
      <c r="M175" s="9">
        <f t="shared" si="1"/>
        <v>1</v>
      </c>
    </row>
    <row r="176">
      <c r="A176" s="3" t="s">
        <v>376</v>
      </c>
      <c r="B176" s="3">
        <v>13.0</v>
      </c>
      <c r="C176" s="3">
        <v>8.0</v>
      </c>
      <c r="D176" s="4">
        <v>51.5840895603287</v>
      </c>
      <c r="E176" s="4">
        <v>-0.2194734164136</v>
      </c>
      <c r="F176" s="3" t="s">
        <v>165</v>
      </c>
      <c r="G176" s="3" t="s">
        <v>166</v>
      </c>
      <c r="H176" s="6" t="s">
        <v>179</v>
      </c>
      <c r="I176" s="6">
        <v>22471.0</v>
      </c>
      <c r="J176" s="7" t="str">
        <f>IFERROR(__xludf.DUMMYFUNCTION("IF(AND(REGEXMATCH($H176,""50( ?['fF]([oO]{2})?[tT]?)?( ?[eE][rR]{2}[oO][rR])"")=FALSE,$H176&lt;&gt;"""",$I176&lt;&gt;""""),HYPERLINK(""https://www.munzee.com/m/""&amp;$H176&amp;""/""&amp;$I176&amp;""/map/?lat=""&amp;$D176&amp;""&amp;lon=""&amp;$E176&amp;""&amp;type=""&amp;$F176&amp;""&amp;name=""&amp;SUBSTITUTE($A176,""#"&amp;""",""%23""),$H176&amp;""/""&amp;$I176),IF($H176&lt;&gt;"""",IF(REGEXMATCH($H176,""50( ?['fF]([oO]{2})?[tT]?)?( ?[eE][rR]{2}[oO][rR])""),HYPERLINK(""https://www.munzee.com/map/?sandbox=1&amp;lat=""&amp;$D176&amp;""&amp;lon=""&amp;$E176&amp;""&amp;name=""&amp;SUBSTITUTE($A176,""#"",""%23""),""SANDBOX"""&amp;"),HYPERLINK(""https://www.munzee.com/m/""&amp;$H176&amp;""/deploys/0/type/""&amp;IFNA(VLOOKUP($F176,IMPORTRANGE(""https://docs.google.com/spreadsheets/d/1DliIGyDywdzxhd4svtjaewR0p9Y5UBTMNMQ2PcXsqss"",""type data!E2:F""),2,FALSE),$F176)&amp;""/"",$H176)),""""))"),"WanderingAus/22471")</f>
        <v>WanderingAus/22471</v>
      </c>
      <c r="K176" s="6" t="b">
        <v>1</v>
      </c>
      <c r="L176" s="9"/>
      <c r="M176" s="9">
        <f t="shared" si="1"/>
        <v>10</v>
      </c>
    </row>
    <row r="177">
      <c r="A177" s="3" t="s">
        <v>377</v>
      </c>
      <c r="B177" s="3">
        <v>13.0</v>
      </c>
      <c r="C177" s="3">
        <v>9.0</v>
      </c>
      <c r="D177" s="4">
        <v>51.5840895601014</v>
      </c>
      <c r="E177" s="4">
        <v>-0.2192421025198</v>
      </c>
      <c r="F177" s="3" t="s">
        <v>196</v>
      </c>
      <c r="G177" s="3" t="s">
        <v>197</v>
      </c>
      <c r="H177" s="6" t="s">
        <v>378</v>
      </c>
      <c r="I177" s="6">
        <v>3313.0</v>
      </c>
      <c r="J177" s="7" t="str">
        <f>IFERROR(__xludf.DUMMYFUNCTION("IF(AND(REGEXMATCH($H177,""50( ?['fF]([oO]{2})?[tT]?)?( ?[eE][rR]{2}[oO][rR])"")=FALSE,$H177&lt;&gt;"""",$I177&lt;&gt;""""),HYPERLINK(""https://www.munzee.com/m/""&amp;$H177&amp;""/""&amp;$I177&amp;""/map/?lat=""&amp;$D177&amp;""&amp;lon=""&amp;$E177&amp;""&amp;type=""&amp;$F177&amp;""&amp;name=""&amp;SUBSTITUTE($A177,""#"&amp;""",""%23""),$H177&amp;""/""&amp;$I177),IF($H177&lt;&gt;"""",IF(REGEXMATCH($H177,""50( ?['fF]([oO]{2})?[tT]?)?( ?[eE][rR]{2}[oO][rR])""),HYPERLINK(""https://www.munzee.com/map/?sandbox=1&amp;lat=""&amp;$D177&amp;""&amp;lon=""&amp;$E177&amp;""&amp;name=""&amp;SUBSTITUTE($A177,""#"",""%23""),""SANDBOX"""&amp;"),HYPERLINK(""https://www.munzee.com/m/""&amp;$H177&amp;""/deploys/0/type/""&amp;IFNA(VLOOKUP($F177,IMPORTRANGE(""https://docs.google.com/spreadsheets/d/1DliIGyDywdzxhd4svtjaewR0p9Y5UBTMNMQ2PcXsqss"",""type data!E2:F""),2,FALSE),$F177)&amp;""/"",$H177)),""""))"),"CoffeeEater/3313")</f>
        <v>CoffeeEater/3313</v>
      </c>
      <c r="K177" s="6" t="b">
        <v>1</v>
      </c>
      <c r="L177" s="9"/>
      <c r="M177" s="9">
        <f t="shared" si="1"/>
        <v>1</v>
      </c>
    </row>
    <row r="178">
      <c r="A178" s="3" t="s">
        <v>379</v>
      </c>
      <c r="B178" s="3">
        <v>13.0</v>
      </c>
      <c r="C178" s="3">
        <v>10.0</v>
      </c>
      <c r="D178" s="4">
        <v>51.584089559874</v>
      </c>
      <c r="E178" s="4">
        <v>-0.2190107886261</v>
      </c>
      <c r="F178" s="3" t="s">
        <v>235</v>
      </c>
      <c r="G178" s="3" t="s">
        <v>236</v>
      </c>
      <c r="H178" s="6" t="s">
        <v>380</v>
      </c>
      <c r="I178" s="6">
        <v>1631.0</v>
      </c>
      <c r="J178" s="7" t="str">
        <f>IFERROR(__xludf.DUMMYFUNCTION("IF(AND(REGEXMATCH($H178,""50( ?['fF]([oO]{2})?[tT]?)?( ?[eE][rR]{2}[oO][rR])"")=FALSE,$H178&lt;&gt;"""",$I178&lt;&gt;""""),HYPERLINK(""https://www.munzee.com/m/""&amp;$H178&amp;""/""&amp;$I178&amp;""/map/?lat=""&amp;$D178&amp;""&amp;lon=""&amp;$E178&amp;""&amp;type=""&amp;$F178&amp;""&amp;name=""&amp;SUBSTITUTE($A178,""#"&amp;""",""%23""),$H178&amp;""/""&amp;$I178),IF($H178&lt;&gt;"""",IF(REGEXMATCH($H178,""50( ?['fF]([oO]{2})?[tT]?)?( ?[eE][rR]{2}[oO][rR])""),HYPERLINK(""https://www.munzee.com/map/?sandbox=1&amp;lat=""&amp;$D178&amp;""&amp;lon=""&amp;$E178&amp;""&amp;name=""&amp;SUBSTITUTE($A178,""#"",""%23""),""SANDBOX"""&amp;"),HYPERLINK(""https://www.munzee.com/m/""&amp;$H178&amp;""/deploys/0/type/""&amp;IFNA(VLOOKUP($F178,IMPORTRANGE(""https://docs.google.com/spreadsheets/d/1DliIGyDywdzxhd4svtjaewR0p9Y5UBTMNMQ2PcXsqss"",""type data!E2:F""),2,FALSE),$F178)&amp;""/"",$H178)),""""))"),"Maattmoo/1631")</f>
        <v>Maattmoo/1631</v>
      </c>
      <c r="K178" s="6" t="b">
        <v>1</v>
      </c>
      <c r="L178" s="18" t="s">
        <v>381</v>
      </c>
      <c r="M178" s="9">
        <f t="shared" si="1"/>
        <v>1</v>
      </c>
    </row>
    <row r="179">
      <c r="A179" s="3" t="s">
        <v>382</v>
      </c>
      <c r="B179" s="3">
        <v>13.0</v>
      </c>
      <c r="C179" s="3">
        <v>11.0</v>
      </c>
      <c r="D179" s="4">
        <v>51.5840895596467</v>
      </c>
      <c r="E179" s="4">
        <v>-0.2187794747323</v>
      </c>
      <c r="F179" s="3" t="s">
        <v>200</v>
      </c>
      <c r="G179" s="3" t="s">
        <v>201</v>
      </c>
      <c r="H179" s="6" t="s">
        <v>242</v>
      </c>
      <c r="I179" s="6">
        <v>1591.0</v>
      </c>
      <c r="J179" s="7" t="str">
        <f>IFERROR(__xludf.DUMMYFUNCTION("IF(AND(REGEXMATCH($H179,""50( ?['fF]([oO]{2})?[tT]?)?( ?[eE][rR]{2}[oO][rR])"")=FALSE,$H179&lt;&gt;"""",$I179&lt;&gt;""""),HYPERLINK(""https://www.munzee.com/m/""&amp;$H179&amp;""/""&amp;$I179&amp;""/map/?lat=""&amp;$D179&amp;""&amp;lon=""&amp;$E179&amp;""&amp;type=""&amp;$F179&amp;""&amp;name=""&amp;SUBSTITUTE($A179,""#"&amp;""",""%23""),$H179&amp;""/""&amp;$I179),IF($H179&lt;&gt;"""",IF(REGEXMATCH($H179,""50( ?['fF]([oO]{2})?[tT]?)?( ?[eE][rR]{2}[oO][rR])""),HYPERLINK(""https://www.munzee.com/map/?sandbox=1&amp;lat=""&amp;$D179&amp;""&amp;lon=""&amp;$E179&amp;""&amp;name=""&amp;SUBSTITUTE($A179,""#"",""%23""),""SANDBOX"""&amp;"),HYPERLINK(""https://www.munzee.com/m/""&amp;$H179&amp;""/deploys/0/type/""&amp;IFNA(VLOOKUP($F179,IMPORTRANGE(""https://docs.google.com/spreadsheets/d/1DliIGyDywdzxhd4svtjaewR0p9Y5UBTMNMQ2PcXsqss"",""type data!E2:F""),2,FALSE),$F179)&amp;""/"",$H179)),""""))"),"Noisette/1591")</f>
        <v>Noisette/1591</v>
      </c>
      <c r="K179" s="6" t="b">
        <v>1</v>
      </c>
      <c r="L179" s="10"/>
      <c r="M179" s="9">
        <f t="shared" si="1"/>
        <v>4</v>
      </c>
    </row>
    <row r="180">
      <c r="A180" s="3" t="s">
        <v>383</v>
      </c>
      <c r="B180" s="3">
        <v>13.0</v>
      </c>
      <c r="C180" s="3">
        <v>12.0</v>
      </c>
      <c r="D180" s="4">
        <v>51.5840895594194</v>
      </c>
      <c r="E180" s="4">
        <v>-0.2185481608385</v>
      </c>
      <c r="F180" s="3" t="s">
        <v>235</v>
      </c>
      <c r="G180" s="3" t="s">
        <v>236</v>
      </c>
      <c r="H180" s="6" t="s">
        <v>384</v>
      </c>
      <c r="I180" s="6">
        <v>2634.0</v>
      </c>
      <c r="J180" s="7" t="str">
        <f>IFERROR(__xludf.DUMMYFUNCTION("IF(AND(REGEXMATCH($H180,""50( ?['fF]([oO]{2})?[tT]?)?( ?[eE][rR]{2}[oO][rR])"")=FALSE,$H180&lt;&gt;"""",$I180&lt;&gt;""""),HYPERLINK(""https://www.munzee.com/m/""&amp;$H180&amp;""/""&amp;$I180&amp;""/map/?lat=""&amp;$D180&amp;""&amp;lon=""&amp;$E180&amp;""&amp;type=""&amp;$F180&amp;""&amp;name=""&amp;SUBSTITUTE($A180,""#"&amp;""",""%23""),$H180&amp;""/""&amp;$I180),IF($H180&lt;&gt;"""",IF(REGEXMATCH($H180,""50( ?['fF]([oO]{2})?[tT]?)?( ?[eE][rR]{2}[oO][rR])""),HYPERLINK(""https://www.munzee.com/map/?sandbox=1&amp;lat=""&amp;$D180&amp;""&amp;lon=""&amp;$E180&amp;""&amp;name=""&amp;SUBSTITUTE($A180,""#"",""%23""),""SANDBOX"""&amp;"),HYPERLINK(""https://www.munzee.com/m/""&amp;$H180&amp;""/deploys/0/type/""&amp;IFNA(VLOOKUP($F180,IMPORTRANGE(""https://docs.google.com/spreadsheets/d/1DliIGyDywdzxhd4svtjaewR0p9Y5UBTMNMQ2PcXsqss"",""type data!E2:F""),2,FALSE),$F180)&amp;""/"",$H180)),""""))"),"Unicorn55/2634")</f>
        <v>Unicorn55/2634</v>
      </c>
      <c r="K180" s="6" t="b">
        <v>1</v>
      </c>
      <c r="L180" s="18" t="s">
        <v>385</v>
      </c>
      <c r="M180" s="9">
        <f t="shared" si="1"/>
        <v>1</v>
      </c>
    </row>
    <row r="181">
      <c r="A181" s="3" t="s">
        <v>386</v>
      </c>
      <c r="B181" s="3">
        <v>13.0</v>
      </c>
      <c r="C181" s="3">
        <v>13.0</v>
      </c>
      <c r="D181" s="4">
        <v>51.584089559192</v>
      </c>
      <c r="E181" s="4">
        <v>-0.2183168469447</v>
      </c>
      <c r="F181" s="3" t="s">
        <v>196</v>
      </c>
      <c r="G181" s="3" t="s">
        <v>197</v>
      </c>
      <c r="H181" s="6" t="s">
        <v>387</v>
      </c>
      <c r="I181" s="6">
        <v>11804.0</v>
      </c>
      <c r="J181" s="7" t="str">
        <f>IFERROR(__xludf.DUMMYFUNCTION("IF(AND(REGEXMATCH($H181,""50( ?['fF]([oO]{2})?[tT]?)?( ?[eE][rR]{2}[oO][rR])"")=FALSE,$H181&lt;&gt;"""",$I181&lt;&gt;""""),HYPERLINK(""https://www.munzee.com/m/""&amp;$H181&amp;""/""&amp;$I181&amp;""/map/?lat=""&amp;$D181&amp;""&amp;lon=""&amp;$E181&amp;""&amp;type=""&amp;$F181&amp;""&amp;name=""&amp;SUBSTITUTE($A181,""#"&amp;""",""%23""),$H181&amp;""/""&amp;$I181),IF($H181&lt;&gt;"""",IF(REGEXMATCH($H181,""50( ?['fF]([oO]{2})?[tT]?)?( ?[eE][rR]{2}[oO][rR])""),HYPERLINK(""https://www.munzee.com/map/?sandbox=1&amp;lat=""&amp;$D181&amp;""&amp;lon=""&amp;$E181&amp;""&amp;name=""&amp;SUBSTITUTE($A181,""#"",""%23""),""SANDBOX"""&amp;"),HYPERLINK(""https://www.munzee.com/m/""&amp;$H181&amp;""/deploys/0/type/""&amp;IFNA(VLOOKUP($F181,IMPORTRANGE(""https://docs.google.com/spreadsheets/d/1DliIGyDywdzxhd4svtjaewR0p9Y5UBTMNMQ2PcXsqss"",""type data!E2:F""),2,FALSE),$F181)&amp;""/"",$H181)),""""))"),"Sivontim/11804")</f>
        <v>Sivontim/11804</v>
      </c>
      <c r="K181" s="6" t="b">
        <v>1</v>
      </c>
      <c r="L181" s="9"/>
      <c r="M181" s="9">
        <f t="shared" si="1"/>
        <v>1</v>
      </c>
    </row>
    <row r="182">
      <c r="A182" s="3" t="s">
        <v>388</v>
      </c>
      <c r="B182" s="3">
        <v>13.0</v>
      </c>
      <c r="C182" s="3">
        <v>14.0</v>
      </c>
      <c r="D182" s="4">
        <v>51.5840895589647</v>
      </c>
      <c r="E182" s="4">
        <v>-0.218085533051</v>
      </c>
      <c r="F182" s="3" t="s">
        <v>165</v>
      </c>
      <c r="G182" s="3" t="s">
        <v>166</v>
      </c>
      <c r="H182" s="6" t="s">
        <v>389</v>
      </c>
      <c r="I182" s="6">
        <v>5360.0</v>
      </c>
      <c r="J182" s="7" t="str">
        <f>IFERROR(__xludf.DUMMYFUNCTION("IF(AND(REGEXMATCH($H182,""50( ?['fF]([oO]{2})?[tT]?)?( ?[eE][rR]{2}[oO][rR])"")=FALSE,$H182&lt;&gt;"""",$I182&lt;&gt;""""),HYPERLINK(""https://www.munzee.com/m/""&amp;$H182&amp;""/""&amp;$I182&amp;""/map/?lat=""&amp;$D182&amp;""&amp;lon=""&amp;$E182&amp;""&amp;type=""&amp;$F182&amp;""&amp;name=""&amp;SUBSTITUTE($A182,""#"&amp;""",""%23""),$H182&amp;""/""&amp;$I182),IF($H182&lt;&gt;"""",IF(REGEXMATCH($H182,""50( ?['fF]([oO]{2})?[tT]?)?( ?[eE][rR]{2}[oO][rR])""),HYPERLINK(""https://www.munzee.com/map/?sandbox=1&amp;lat=""&amp;$D182&amp;""&amp;lon=""&amp;$E182&amp;""&amp;name=""&amp;SUBSTITUTE($A182,""#"",""%23""),""SANDBOX"""&amp;"),HYPERLINK(""https://www.munzee.com/m/""&amp;$H182&amp;""/deploys/0/type/""&amp;IFNA(VLOOKUP($F182,IMPORTRANGE(""https://docs.google.com/spreadsheets/d/1DliIGyDywdzxhd4svtjaewR0p9Y5UBTMNMQ2PcXsqss"",""type data!E2:F""),2,FALSE),$F182)&amp;""/"",$H182)),""""))"),"Tornado/5360")</f>
        <v>Tornado/5360</v>
      </c>
      <c r="K182" s="6" t="b">
        <v>1</v>
      </c>
      <c r="L182" s="18" t="s">
        <v>390</v>
      </c>
      <c r="M182" s="9">
        <f t="shared" si="1"/>
        <v>2</v>
      </c>
    </row>
    <row r="183">
      <c r="A183" s="3" t="s">
        <v>391</v>
      </c>
      <c r="B183" s="3">
        <v>13.0</v>
      </c>
      <c r="C183" s="3">
        <v>15.0</v>
      </c>
      <c r="D183" s="4">
        <v>51.5840895587373</v>
      </c>
      <c r="E183" s="4">
        <v>-0.2178542191572</v>
      </c>
      <c r="F183" s="3" t="s">
        <v>29</v>
      </c>
      <c r="G183" s="3" t="s">
        <v>30</v>
      </c>
      <c r="H183" s="6" t="s">
        <v>177</v>
      </c>
      <c r="I183" s="6">
        <v>5923.0</v>
      </c>
      <c r="J183" s="7" t="str">
        <f>IFERROR(__xludf.DUMMYFUNCTION("IF(AND(REGEXMATCH($H183,""50( ?['fF]([oO]{2})?[tT]?)?( ?[eE][rR]{2}[oO][rR])"")=FALSE,$H183&lt;&gt;"""",$I183&lt;&gt;""""),HYPERLINK(""https://www.munzee.com/m/""&amp;$H183&amp;""/""&amp;$I183&amp;""/map/?lat=""&amp;$D183&amp;""&amp;lon=""&amp;$E183&amp;""&amp;type=""&amp;$F183&amp;""&amp;name=""&amp;SUBSTITUTE($A183,""#"&amp;""",""%23""),$H183&amp;""/""&amp;$I183),IF($H183&lt;&gt;"""",IF(REGEXMATCH($H183,""50( ?['fF]([oO]{2})?[tT]?)?( ?[eE][rR]{2}[oO][rR])""),HYPERLINK(""https://www.munzee.com/map/?sandbox=1&amp;lat=""&amp;$D183&amp;""&amp;lon=""&amp;$E183&amp;""&amp;name=""&amp;SUBSTITUTE($A183,""#"",""%23""),""SANDBOX"""&amp;"),HYPERLINK(""https://www.munzee.com/m/""&amp;$H183&amp;""/deploys/0/type/""&amp;IFNA(VLOOKUP($F183,IMPORTRANGE(""https://docs.google.com/spreadsheets/d/1DliIGyDywdzxhd4svtjaewR0p9Y5UBTMNMQ2PcXsqss"",""type data!E2:F""),2,FALSE),$F183)&amp;""/"",$H183)),""""))"),"kiitokurre/5923")</f>
        <v>kiitokurre/5923</v>
      </c>
      <c r="K183" s="6" t="b">
        <v>1</v>
      </c>
      <c r="L183" s="9"/>
      <c r="M183" s="9">
        <f t="shared" si="1"/>
        <v>2</v>
      </c>
    </row>
    <row r="184">
      <c r="A184" s="3" t="s">
        <v>392</v>
      </c>
      <c r="B184" s="3">
        <v>13.0</v>
      </c>
      <c r="C184" s="3">
        <v>16.0</v>
      </c>
      <c r="D184" s="4">
        <v>51.58408955851</v>
      </c>
      <c r="E184" s="4">
        <v>-0.2176229052634</v>
      </c>
      <c r="F184" s="3" t="s">
        <v>29</v>
      </c>
      <c r="G184" s="3" t="s">
        <v>30</v>
      </c>
      <c r="H184" s="6" t="s">
        <v>393</v>
      </c>
      <c r="I184" s="6">
        <v>843.0</v>
      </c>
      <c r="J184" s="7" t="str">
        <f>IFERROR(__xludf.DUMMYFUNCTION("IF(AND(REGEXMATCH($H184,""50( ?['fF]([oO]{2})?[tT]?)?( ?[eE][rR]{2}[oO][rR])"")=FALSE,$H184&lt;&gt;"""",$I184&lt;&gt;""""),HYPERLINK(""https://www.munzee.com/m/""&amp;$H184&amp;""/""&amp;$I184&amp;""/map/?lat=""&amp;$D184&amp;""&amp;lon=""&amp;$E184&amp;""&amp;type=""&amp;$F184&amp;""&amp;name=""&amp;SUBSTITUTE($A184,""#"&amp;""",""%23""),$H184&amp;""/""&amp;$I184),IF($H184&lt;&gt;"""",IF(REGEXMATCH($H184,""50( ?['fF]([oO]{2})?[tT]?)?( ?[eE][rR]{2}[oO][rR])""),HYPERLINK(""https://www.munzee.com/map/?sandbox=1&amp;lat=""&amp;$D184&amp;""&amp;lon=""&amp;$E184&amp;""&amp;name=""&amp;SUBSTITUTE($A184,""#"",""%23""),""SANDBOX"""&amp;"),HYPERLINK(""https://www.munzee.com/m/""&amp;$H184&amp;""/deploys/0/type/""&amp;IFNA(VLOOKUP($F184,IMPORTRANGE(""https://docs.google.com/spreadsheets/d/1DliIGyDywdzxhd4svtjaewR0p9Y5UBTMNMQ2PcXsqss"",""type data!E2:F""),2,FALSE),$F184)&amp;""/"",$H184)),""""))"),"JBurden/843")</f>
        <v>JBurden/843</v>
      </c>
      <c r="K184" s="6" t="b">
        <v>1</v>
      </c>
      <c r="L184" s="10"/>
      <c r="M184" s="9">
        <f t="shared" si="1"/>
        <v>1</v>
      </c>
    </row>
    <row r="185">
      <c r="A185" s="3" t="s">
        <v>394</v>
      </c>
      <c r="B185" s="3">
        <v>13.0</v>
      </c>
      <c r="C185" s="3">
        <v>17.0</v>
      </c>
      <c r="D185" s="4">
        <v>51.5840895582827</v>
      </c>
      <c r="E185" s="4">
        <v>-0.2173915913696</v>
      </c>
      <c r="F185" s="3" t="s">
        <v>29</v>
      </c>
      <c r="G185" s="3" t="s">
        <v>30</v>
      </c>
      <c r="H185" s="6" t="s">
        <v>395</v>
      </c>
      <c r="I185" s="6">
        <v>4878.0</v>
      </c>
      <c r="J185" s="7" t="str">
        <f>IFERROR(__xludf.DUMMYFUNCTION("IF(AND(REGEXMATCH($H185,""50( ?['fF]([oO]{2})?[tT]?)?( ?[eE][rR]{2}[oO][rR])"")=FALSE,$H185&lt;&gt;"""",$I185&lt;&gt;""""),HYPERLINK(""https://www.munzee.com/m/""&amp;$H185&amp;""/""&amp;$I185&amp;""/map/?lat=""&amp;$D185&amp;""&amp;lon=""&amp;$E185&amp;""&amp;type=""&amp;$F185&amp;""&amp;name=""&amp;SUBSTITUTE($A185,""#"&amp;""",""%23""),$H185&amp;""/""&amp;$I185),IF($H185&lt;&gt;"""",IF(REGEXMATCH($H185,""50( ?['fF]([oO]{2})?[tT]?)?( ?[eE][rR]{2}[oO][rR])""),HYPERLINK(""https://www.munzee.com/map/?sandbox=1&amp;lat=""&amp;$D185&amp;""&amp;lon=""&amp;$E185&amp;""&amp;name=""&amp;SUBSTITUTE($A185,""#"",""%23""),""SANDBOX"""&amp;"),HYPERLINK(""https://www.munzee.com/m/""&amp;$H185&amp;""/deploys/0/type/""&amp;IFNA(VLOOKUP($F185,IMPORTRANGE(""https://docs.google.com/spreadsheets/d/1DliIGyDywdzxhd4svtjaewR0p9Y5UBTMNMQ2PcXsqss"",""type data!E2:F""),2,FALSE),$F185)&amp;""/"",$H185)),""""))"),"barefootguru/4878")</f>
        <v>barefootguru/4878</v>
      </c>
      <c r="K185" s="6" t="b">
        <v>1</v>
      </c>
      <c r="L185" s="9"/>
      <c r="M185" s="9">
        <f t="shared" si="1"/>
        <v>1</v>
      </c>
    </row>
    <row r="186">
      <c r="A186" s="3" t="s">
        <v>396</v>
      </c>
      <c r="B186" s="3">
        <v>13.0</v>
      </c>
      <c r="C186" s="3">
        <v>18.0</v>
      </c>
      <c r="D186" s="4">
        <v>51.5840895580554</v>
      </c>
      <c r="E186" s="4">
        <v>-0.2171602774758</v>
      </c>
      <c r="F186" s="3" t="s">
        <v>70</v>
      </c>
      <c r="G186" s="3" t="s">
        <v>71</v>
      </c>
      <c r="H186" s="6" t="s">
        <v>397</v>
      </c>
      <c r="I186" s="6">
        <v>1143.0</v>
      </c>
      <c r="J186" s="7" t="str">
        <f>IFERROR(__xludf.DUMMYFUNCTION("IF(AND(REGEXMATCH($H186,""50( ?['fF]([oO]{2})?[tT]?)?( ?[eE][rR]{2}[oO][rR])"")=FALSE,$H186&lt;&gt;"""",$I186&lt;&gt;""""),HYPERLINK(""https://www.munzee.com/m/""&amp;$H186&amp;""/""&amp;$I186&amp;""/map/?lat=""&amp;$D186&amp;""&amp;lon=""&amp;$E186&amp;""&amp;type=""&amp;$F186&amp;""&amp;name=""&amp;SUBSTITUTE($A186,""#"&amp;""",""%23""),$H186&amp;""/""&amp;$I186),IF($H186&lt;&gt;"""",IF(REGEXMATCH($H186,""50( ?['fF]([oO]{2})?[tT]?)?( ?[eE][rR]{2}[oO][rR])""),HYPERLINK(""https://www.munzee.com/map/?sandbox=1&amp;lat=""&amp;$D186&amp;""&amp;lon=""&amp;$E186&amp;""&amp;name=""&amp;SUBSTITUTE($A186,""#"",""%23""),""SANDBOX"""&amp;"),HYPERLINK(""https://www.munzee.com/m/""&amp;$H186&amp;""/deploys/0/type/""&amp;IFNA(VLOOKUP($F186,IMPORTRANGE(""https://docs.google.com/spreadsheets/d/1DliIGyDywdzxhd4svtjaewR0p9Y5UBTMNMQ2PcXsqss"",""type data!E2:F""),2,FALSE),$F186)&amp;""/"",$H186)),""""))"),"lnlevy01/1143")</f>
        <v>lnlevy01/1143</v>
      </c>
      <c r="K186" s="6" t="b">
        <v>1</v>
      </c>
      <c r="L186" s="6"/>
      <c r="M186" s="9">
        <f t="shared" si="1"/>
        <v>2</v>
      </c>
    </row>
    <row r="187">
      <c r="A187" s="3" t="s">
        <v>398</v>
      </c>
      <c r="B187" s="3">
        <v>13.0</v>
      </c>
      <c r="C187" s="3">
        <v>19.0</v>
      </c>
      <c r="D187" s="4">
        <v>51.584089557828</v>
      </c>
      <c r="E187" s="4">
        <v>-0.2169289635821</v>
      </c>
      <c r="F187" s="3" t="s">
        <v>44</v>
      </c>
      <c r="G187" s="3" t="s">
        <v>45</v>
      </c>
      <c r="H187" s="6" t="s">
        <v>399</v>
      </c>
      <c r="I187" s="6">
        <v>4496.0</v>
      </c>
      <c r="J187" s="7" t="str">
        <f>IFERROR(__xludf.DUMMYFUNCTION("IF(AND(REGEXMATCH($H187,""50( ?['fF]([oO]{2})?[tT]?)?( ?[eE][rR]{2}[oO][rR])"")=FALSE,$H187&lt;&gt;"""",$I187&lt;&gt;""""),HYPERLINK(""https://www.munzee.com/m/""&amp;$H187&amp;""/""&amp;$I187&amp;""/map/?lat=""&amp;$D187&amp;""&amp;lon=""&amp;$E187&amp;""&amp;type=""&amp;$F187&amp;""&amp;name=""&amp;SUBSTITUTE($A187,""#"&amp;""",""%23""),$H187&amp;""/""&amp;$I187),IF($H187&lt;&gt;"""",IF(REGEXMATCH($H187,""50( ?['fF]([oO]{2})?[tT]?)?( ?[eE][rR]{2}[oO][rR])""),HYPERLINK(""https://www.munzee.com/map/?sandbox=1&amp;lat=""&amp;$D187&amp;""&amp;lon=""&amp;$E187&amp;""&amp;name=""&amp;SUBSTITUTE($A187,""#"",""%23""),""SANDBOX"""&amp;"),HYPERLINK(""https://www.munzee.com/m/""&amp;$H187&amp;""/deploys/0/type/""&amp;IFNA(VLOOKUP($F187,IMPORTRANGE(""https://docs.google.com/spreadsheets/d/1DliIGyDywdzxhd4svtjaewR0p9Y5UBTMNMQ2PcXsqss"",""type data!E2:F""),2,FALSE),$F187)&amp;""/"",$H187)),""""))"),"mihul/4496")</f>
        <v>mihul/4496</v>
      </c>
      <c r="K187" s="6" t="b">
        <v>1</v>
      </c>
      <c r="L187" s="9"/>
      <c r="M187" s="9">
        <f t="shared" si="1"/>
        <v>1</v>
      </c>
    </row>
    <row r="188">
      <c r="A188" s="3" t="s">
        <v>400</v>
      </c>
      <c r="B188" s="3">
        <v>13.0</v>
      </c>
      <c r="C188" s="3">
        <v>20.0</v>
      </c>
      <c r="D188" s="4">
        <v>51.5840895576007</v>
      </c>
      <c r="E188" s="4">
        <v>-0.2166976496883</v>
      </c>
      <c r="F188" s="3" t="s">
        <v>25</v>
      </c>
      <c r="G188" s="3" t="s">
        <v>26</v>
      </c>
      <c r="H188" s="6" t="s">
        <v>401</v>
      </c>
      <c r="I188" s="6">
        <v>2341.0</v>
      </c>
      <c r="J188" s="7" t="str">
        <f>IFERROR(__xludf.DUMMYFUNCTION("IF(AND(REGEXMATCH($H188,""50( ?['fF]([oO]{2})?[tT]?)?( ?[eE][rR]{2}[oO][rR])"")=FALSE,$H188&lt;&gt;"""",$I188&lt;&gt;""""),HYPERLINK(""https://www.munzee.com/m/""&amp;$H188&amp;""/""&amp;$I188&amp;""/map/?lat=""&amp;$D188&amp;""&amp;lon=""&amp;$E188&amp;""&amp;type=""&amp;$F188&amp;""&amp;name=""&amp;SUBSTITUTE($A188,""#"&amp;""",""%23""),$H188&amp;""/""&amp;$I188),IF($H188&lt;&gt;"""",IF(REGEXMATCH($H188,""50( ?['fF]([oO]{2})?[tT]?)?( ?[eE][rR]{2}[oO][rR])""),HYPERLINK(""https://www.munzee.com/map/?sandbox=1&amp;lat=""&amp;$D188&amp;""&amp;lon=""&amp;$E188&amp;""&amp;name=""&amp;SUBSTITUTE($A188,""#"",""%23""),""SANDBOX"""&amp;"),HYPERLINK(""https://www.munzee.com/m/""&amp;$H188&amp;""/deploys/0/type/""&amp;IFNA(VLOOKUP($F188,IMPORTRANGE(""https://docs.google.com/spreadsheets/d/1DliIGyDywdzxhd4svtjaewR0p9Y5UBTMNMQ2PcXsqss"",""type data!E2:F""),2,FALSE),$F188)&amp;""/"",$H188)),""""))"),"redshark78/2341")</f>
        <v>redshark78/2341</v>
      </c>
      <c r="K188" s="6" t="b">
        <v>1</v>
      </c>
      <c r="L188" s="9"/>
      <c r="M188" s="9">
        <f t="shared" si="1"/>
        <v>1</v>
      </c>
    </row>
    <row r="189">
      <c r="A189" s="3" t="s">
        <v>402</v>
      </c>
      <c r="B189" s="3">
        <v>14.0</v>
      </c>
      <c r="C189" s="3">
        <v>3.0</v>
      </c>
      <c r="D189" s="4">
        <v>51.5839458310199</v>
      </c>
      <c r="E189" s="4">
        <v>-0.2206300019797</v>
      </c>
      <c r="F189" s="3" t="s">
        <v>44</v>
      </c>
      <c r="G189" s="3" t="s">
        <v>45</v>
      </c>
      <c r="H189" s="6" t="s">
        <v>403</v>
      </c>
      <c r="I189" s="11">
        <v>2320.0</v>
      </c>
      <c r="J189" s="7" t="str">
        <f>IFERROR(__xludf.DUMMYFUNCTION("IF(AND(REGEXMATCH($H189,""50( ?['fF]([oO]{2})?[tT]?)?( ?[eE][rR]{2}[oO][rR])"")=FALSE,$H189&lt;&gt;"""",$I189&lt;&gt;""""),HYPERLINK(""https://www.munzee.com/m/""&amp;$H189&amp;""/""&amp;$I189&amp;""/map/?lat=""&amp;$D189&amp;""&amp;lon=""&amp;$E189&amp;""&amp;type=""&amp;$F189&amp;""&amp;name=""&amp;SUBSTITUTE($A189,""#"&amp;""",""%23""),$H189&amp;""/""&amp;$I189),IF($H189&lt;&gt;"""",IF(REGEXMATCH($H189,""50( ?['fF]([oO]{2})?[tT]?)?( ?[eE][rR]{2}[oO][rR])""),HYPERLINK(""https://www.munzee.com/map/?sandbox=1&amp;lat=""&amp;$D189&amp;""&amp;lon=""&amp;$E189&amp;""&amp;name=""&amp;SUBSTITUTE($A189,""#"",""%23""),""SANDBOX"""&amp;"),HYPERLINK(""https://www.munzee.com/m/""&amp;$H189&amp;""/deploys/0/type/""&amp;IFNA(VLOOKUP($F189,IMPORTRANGE(""https://docs.google.com/spreadsheets/d/1DliIGyDywdzxhd4svtjaewR0p9Y5UBTMNMQ2PcXsqss"",""type data!E2:F""),2,FALSE),$F189)&amp;""/"",$H189)),""""))"),"szakica/2320")</f>
        <v>szakica/2320</v>
      </c>
      <c r="K189" s="6" t="b">
        <v>1</v>
      </c>
      <c r="L189" s="9"/>
      <c r="M189" s="9">
        <f t="shared" si="1"/>
        <v>1</v>
      </c>
    </row>
    <row r="190">
      <c r="A190" s="3" t="s">
        <v>404</v>
      </c>
      <c r="B190" s="3">
        <v>14.0</v>
      </c>
      <c r="C190" s="3">
        <v>4.0</v>
      </c>
      <c r="D190" s="4">
        <v>51.5839458307925</v>
      </c>
      <c r="E190" s="4">
        <v>-0.2203986888176</v>
      </c>
      <c r="F190" s="3" t="s">
        <v>62</v>
      </c>
      <c r="G190" s="3" t="s">
        <v>63</v>
      </c>
      <c r="H190" s="6" t="s">
        <v>142</v>
      </c>
      <c r="I190" s="6">
        <v>9553.0</v>
      </c>
      <c r="J190" s="7" t="str">
        <f>IFERROR(__xludf.DUMMYFUNCTION("IF(AND(REGEXMATCH($H190,""50( ?['fF]([oO]{2})?[tT]?)?( ?[eE][rR]{2}[oO][rR])"")=FALSE,$H190&lt;&gt;"""",$I190&lt;&gt;""""),HYPERLINK(""https://www.munzee.com/m/""&amp;$H190&amp;""/""&amp;$I190&amp;""/map/?lat=""&amp;$D190&amp;""&amp;lon=""&amp;$E190&amp;""&amp;type=""&amp;$F190&amp;""&amp;name=""&amp;SUBSTITUTE($A190,""#"&amp;""",""%23""),$H190&amp;""/""&amp;$I190),IF($H190&lt;&gt;"""",IF(REGEXMATCH($H190,""50( ?['fF]([oO]{2})?[tT]?)?( ?[eE][rR]{2}[oO][rR])""),HYPERLINK(""https://www.munzee.com/map/?sandbox=1&amp;lat=""&amp;$D190&amp;""&amp;lon=""&amp;$E190&amp;""&amp;name=""&amp;SUBSTITUTE($A190,""#"",""%23""),""SANDBOX"""&amp;"),HYPERLINK(""https://www.munzee.com/m/""&amp;$H190&amp;""/deploys/0/type/""&amp;IFNA(VLOOKUP($F190,IMPORTRANGE(""https://docs.google.com/spreadsheets/d/1DliIGyDywdzxhd4svtjaewR0p9Y5UBTMNMQ2PcXsqss"",""type data!E2:F""),2,FALSE),$F190)&amp;""/"",$H190)),""""))"),"georeyna/9553")</f>
        <v>georeyna/9553</v>
      </c>
      <c r="K190" s="6" t="b">
        <v>1</v>
      </c>
      <c r="L190" s="9"/>
      <c r="M190" s="9">
        <f t="shared" si="1"/>
        <v>4</v>
      </c>
    </row>
    <row r="191">
      <c r="A191" s="3" t="s">
        <v>405</v>
      </c>
      <c r="B191" s="3">
        <v>14.0</v>
      </c>
      <c r="C191" s="3">
        <v>5.0</v>
      </c>
      <c r="D191" s="4">
        <v>51.5839458305652</v>
      </c>
      <c r="E191" s="4">
        <v>-0.2201673756555</v>
      </c>
      <c r="F191" s="3" t="s">
        <v>97</v>
      </c>
      <c r="G191" s="3" t="s">
        <v>98</v>
      </c>
      <c r="H191" s="6" t="s">
        <v>406</v>
      </c>
      <c r="I191" s="6">
        <v>7684.0</v>
      </c>
      <c r="J191" s="7" t="str">
        <f>IFERROR(__xludf.DUMMYFUNCTION("IF(AND(REGEXMATCH($H191,""50( ?['fF]([oO]{2})?[tT]?)?( ?[eE][rR]{2}[oO][rR])"")=FALSE,$H191&lt;&gt;"""",$I191&lt;&gt;""""),HYPERLINK(""https://www.munzee.com/m/""&amp;$H191&amp;""/""&amp;$I191&amp;""/map/?lat=""&amp;$D191&amp;""&amp;lon=""&amp;$E191&amp;""&amp;type=""&amp;$F191&amp;""&amp;name=""&amp;SUBSTITUTE($A191,""#"&amp;""",""%23""),$H191&amp;""/""&amp;$I191),IF($H191&lt;&gt;"""",IF(REGEXMATCH($H191,""50( ?['fF]([oO]{2})?[tT]?)?( ?[eE][rR]{2}[oO][rR])""),HYPERLINK(""https://www.munzee.com/map/?sandbox=1&amp;lat=""&amp;$D191&amp;""&amp;lon=""&amp;$E191&amp;""&amp;name=""&amp;SUBSTITUTE($A191,""#"",""%23""),""SANDBOX"""&amp;"),HYPERLINK(""https://www.munzee.com/m/""&amp;$H191&amp;""/deploys/0/type/""&amp;IFNA(VLOOKUP($F191,IMPORTRANGE(""https://docs.google.com/spreadsheets/d/1DliIGyDywdzxhd4svtjaewR0p9Y5UBTMNMQ2PcXsqss"",""type data!E2:F""),2,FALSE),$F191)&amp;""/"",$H191)),""""))"),"123xilef/7684")</f>
        <v>123xilef/7684</v>
      </c>
      <c r="K191" s="6" t="b">
        <v>1</v>
      </c>
      <c r="L191" s="9"/>
      <c r="M191" s="9">
        <f t="shared" si="1"/>
        <v>2</v>
      </c>
    </row>
    <row r="192">
      <c r="A192" s="3" t="s">
        <v>407</v>
      </c>
      <c r="B192" s="3">
        <v>14.0</v>
      </c>
      <c r="C192" s="3">
        <v>6.0</v>
      </c>
      <c r="D192" s="4">
        <v>51.5839458303379</v>
      </c>
      <c r="E192" s="4">
        <v>-0.2199360624934</v>
      </c>
      <c r="F192" s="3" t="s">
        <v>126</v>
      </c>
      <c r="G192" s="3" t="s">
        <v>127</v>
      </c>
      <c r="H192" s="6" t="s">
        <v>191</v>
      </c>
      <c r="I192" s="6">
        <v>16046.0</v>
      </c>
      <c r="J192" s="7" t="str">
        <f>IFERROR(__xludf.DUMMYFUNCTION("IF(AND(REGEXMATCH($H192,""50( ?['fF]([oO]{2})?[tT]?)?( ?[eE][rR]{2}[oO][rR])"")=FALSE,$H192&lt;&gt;"""",$I192&lt;&gt;""""),HYPERLINK(""https://www.munzee.com/m/""&amp;$H192&amp;""/""&amp;$I192&amp;""/map/?lat=""&amp;$D192&amp;""&amp;lon=""&amp;$E192&amp;""&amp;type=""&amp;$F192&amp;""&amp;name=""&amp;SUBSTITUTE($A192,""#"&amp;""",""%23""),$H192&amp;""/""&amp;$I192),IF($H192&lt;&gt;"""",IF(REGEXMATCH($H192,""50( ?['fF]([oO]{2})?[tT]?)?( ?[eE][rR]{2}[oO][rR])""),HYPERLINK(""https://www.munzee.com/map/?sandbox=1&amp;lat=""&amp;$D192&amp;""&amp;lon=""&amp;$E192&amp;""&amp;name=""&amp;SUBSTITUTE($A192,""#"",""%23""),""SANDBOX"""&amp;"),HYPERLINK(""https://www.munzee.com/m/""&amp;$H192&amp;""/deploys/0/type/""&amp;IFNA(VLOOKUP($F192,IMPORTRANGE(""https://docs.google.com/spreadsheets/d/1DliIGyDywdzxhd4svtjaewR0p9Y5UBTMNMQ2PcXsqss"",""type data!E2:F""),2,FALSE),$F192)&amp;""/"",$H192)),""""))"),"92Supercoupe/16046")</f>
        <v>92Supercoupe/16046</v>
      </c>
      <c r="K192" s="6" t="b">
        <v>1</v>
      </c>
      <c r="L192" s="18" t="s">
        <v>408</v>
      </c>
      <c r="M192" s="9">
        <f t="shared" si="1"/>
        <v>3</v>
      </c>
    </row>
    <row r="193">
      <c r="A193" s="3" t="s">
        <v>409</v>
      </c>
      <c r="B193" s="3">
        <v>14.0</v>
      </c>
      <c r="C193" s="3">
        <v>7.0</v>
      </c>
      <c r="D193" s="4">
        <v>51.5839458301106</v>
      </c>
      <c r="E193" s="4">
        <v>-0.2197047493313</v>
      </c>
      <c r="F193" s="3" t="s">
        <v>160</v>
      </c>
      <c r="G193" s="3" t="s">
        <v>161</v>
      </c>
      <c r="H193" s="6" t="s">
        <v>99</v>
      </c>
      <c r="I193" s="6" t="s">
        <v>410</v>
      </c>
      <c r="J193" s="7" t="str">
        <f>IFERROR(__xludf.DUMMYFUNCTION("IF(AND(REGEXMATCH($H193,""50( ?['fF]([oO]{2})?[tT]?)?( ?[eE][rR]{2}[oO][rR])"")=FALSE,$H193&lt;&gt;"""",$I193&lt;&gt;""""),HYPERLINK(""https://www.munzee.com/m/""&amp;$H193&amp;""/""&amp;$I193&amp;""/map/?lat=""&amp;$D193&amp;""&amp;lon=""&amp;$E193&amp;""&amp;type=""&amp;$F193&amp;""&amp;name=""&amp;SUBSTITUTE($A193,""#"&amp;""",""%23""),$H193&amp;""/""&amp;$I193),IF($H193&lt;&gt;"""",IF(REGEXMATCH($H193,""50( ?['fF]([oO]{2})?[tT]?)?( ?[eE][rR]{2}[oO][rR])""),HYPERLINK(""https://www.munzee.com/map/?sandbox=1&amp;lat=""&amp;$D193&amp;""&amp;lon=""&amp;$E193&amp;""&amp;name=""&amp;SUBSTITUTE($A193,""#"",""%23""),""SANDBOX"""&amp;"),HYPERLINK(""https://www.munzee.com/m/""&amp;$H193&amp;""/deploys/0/type/""&amp;IFNA(VLOOKUP($F193,IMPORTRANGE(""https://docs.google.com/spreadsheets/d/1DliIGyDywdzxhd4svtjaewR0p9Y5UBTMNMQ2PcXsqss"",""type data!E2:F""),2,FALSE),$F193)&amp;""/"",$H193)),""""))"),"Amadoreugen/6048/")</f>
        <v>Amadoreugen/6048/</v>
      </c>
      <c r="K193" s="6" t="b">
        <v>1</v>
      </c>
      <c r="L193" s="9"/>
      <c r="M193" s="9">
        <f t="shared" si="1"/>
        <v>7</v>
      </c>
    </row>
    <row r="194">
      <c r="A194" s="3" t="s">
        <v>411</v>
      </c>
      <c r="B194" s="3">
        <v>14.0</v>
      </c>
      <c r="C194" s="3">
        <v>8.0</v>
      </c>
      <c r="D194" s="4">
        <v>51.5839458298832</v>
      </c>
      <c r="E194" s="4">
        <v>-0.2194734361692</v>
      </c>
      <c r="F194" s="3" t="s">
        <v>29</v>
      </c>
      <c r="G194" s="3" t="s">
        <v>30</v>
      </c>
      <c r="H194" s="6" t="s">
        <v>389</v>
      </c>
      <c r="I194" s="6">
        <v>5169.0</v>
      </c>
      <c r="J194" s="7" t="str">
        <f>IFERROR(__xludf.DUMMYFUNCTION("IF(AND(REGEXMATCH($H194,""50( ?['fF]([oO]{2})?[tT]?)?( ?[eE][rR]{2}[oO][rR])"")=FALSE,$H194&lt;&gt;"""",$I194&lt;&gt;""""),HYPERLINK(""https://www.munzee.com/m/""&amp;$H194&amp;""/""&amp;$I194&amp;""/map/?lat=""&amp;$D194&amp;""&amp;lon=""&amp;$E194&amp;""&amp;type=""&amp;$F194&amp;""&amp;name=""&amp;SUBSTITUTE($A194,""#"&amp;""",""%23""),$H194&amp;""/""&amp;$I194),IF($H194&lt;&gt;"""",IF(REGEXMATCH($H194,""50( ?['fF]([oO]{2})?[tT]?)?( ?[eE][rR]{2}[oO][rR])""),HYPERLINK(""https://www.munzee.com/map/?sandbox=1&amp;lat=""&amp;$D194&amp;""&amp;lon=""&amp;$E194&amp;""&amp;name=""&amp;SUBSTITUTE($A194,""#"",""%23""),""SANDBOX"""&amp;"),HYPERLINK(""https://www.munzee.com/m/""&amp;$H194&amp;""/deploys/0/type/""&amp;IFNA(VLOOKUP($F194,IMPORTRANGE(""https://docs.google.com/spreadsheets/d/1DliIGyDywdzxhd4svtjaewR0p9Y5UBTMNMQ2PcXsqss"",""type data!E2:F""),2,FALSE),$F194)&amp;""/"",$H194)),""""))"),"Tornado/5169")</f>
        <v>Tornado/5169</v>
      </c>
      <c r="K194" s="6" t="b">
        <v>1</v>
      </c>
      <c r="L194" s="18" t="s">
        <v>412</v>
      </c>
      <c r="M194" s="9">
        <f t="shared" si="1"/>
        <v>2</v>
      </c>
    </row>
    <row r="195">
      <c r="A195" s="3" t="s">
        <v>413</v>
      </c>
      <c r="B195" s="3">
        <v>14.0</v>
      </c>
      <c r="C195" s="3">
        <v>9.0</v>
      </c>
      <c r="D195" s="4">
        <v>51.5839458296559</v>
      </c>
      <c r="E195" s="4">
        <v>-0.2192421230071</v>
      </c>
      <c r="F195" s="3" t="s">
        <v>165</v>
      </c>
      <c r="G195" s="3" t="s">
        <v>166</v>
      </c>
      <c r="H195" s="6" t="s">
        <v>414</v>
      </c>
      <c r="I195" s="6">
        <v>9001.0</v>
      </c>
      <c r="J195" s="7" t="str">
        <f>IFERROR(__xludf.DUMMYFUNCTION("IF(AND(REGEXMATCH($H195,""50( ?['fF]([oO]{2})?[tT]?)?( ?[eE][rR]{2}[oO][rR])"")=FALSE,$H195&lt;&gt;"""",$I195&lt;&gt;""""),HYPERLINK(""https://www.munzee.com/m/""&amp;$H195&amp;""/""&amp;$I195&amp;""/map/?lat=""&amp;$D195&amp;""&amp;lon=""&amp;$E195&amp;""&amp;type=""&amp;$F195&amp;""&amp;name=""&amp;SUBSTITUTE($A195,""#"&amp;""",""%23""),$H195&amp;""/""&amp;$I195),IF($H195&lt;&gt;"""",IF(REGEXMATCH($H195,""50( ?['fF]([oO]{2})?[tT]?)?( ?[eE][rR]{2}[oO][rR])""),HYPERLINK(""https://www.munzee.com/map/?sandbox=1&amp;lat=""&amp;$D195&amp;""&amp;lon=""&amp;$E195&amp;""&amp;name=""&amp;SUBSTITUTE($A195,""#"",""%23""),""SANDBOX"""&amp;"),HYPERLINK(""https://www.munzee.com/m/""&amp;$H195&amp;""/deploys/0/type/""&amp;IFNA(VLOOKUP($F195,IMPORTRANGE(""https://docs.google.com/spreadsheets/d/1DliIGyDywdzxhd4svtjaewR0p9Y5UBTMNMQ2PcXsqss"",""type data!E2:F""),2,FALSE),$F195)&amp;""/"",$H195)),""""))"),"kwd/9001")</f>
        <v>kwd/9001</v>
      </c>
      <c r="K195" s="6" t="b">
        <v>1</v>
      </c>
      <c r="L195" s="9"/>
      <c r="M195" s="9">
        <f t="shared" si="1"/>
        <v>2</v>
      </c>
    </row>
    <row r="196">
      <c r="A196" s="3" t="s">
        <v>415</v>
      </c>
      <c r="B196" s="3">
        <v>14.0</v>
      </c>
      <c r="C196" s="3">
        <v>10.0</v>
      </c>
      <c r="D196" s="4">
        <v>51.5839458294285</v>
      </c>
      <c r="E196" s="4">
        <v>-0.219010809845</v>
      </c>
      <c r="F196" s="3" t="s">
        <v>196</v>
      </c>
      <c r="G196" s="3" t="s">
        <v>197</v>
      </c>
      <c r="H196" s="6" t="s">
        <v>416</v>
      </c>
      <c r="I196" s="6">
        <v>1720.0</v>
      </c>
      <c r="J196" s="7" t="str">
        <f>IFERROR(__xludf.DUMMYFUNCTION("IF(AND(REGEXMATCH($H196,""50( ?['fF]([oO]{2})?[tT]?)?( ?[eE][rR]{2}[oO][rR])"")=FALSE,$H196&lt;&gt;"""",$I196&lt;&gt;""""),HYPERLINK(""https://www.munzee.com/m/""&amp;$H196&amp;""/""&amp;$I196&amp;""/map/?lat=""&amp;$D196&amp;""&amp;lon=""&amp;$E196&amp;""&amp;type=""&amp;$F196&amp;""&amp;name=""&amp;SUBSTITUTE($A196,""#"&amp;""",""%23""),$H196&amp;""/""&amp;$I196),IF($H196&lt;&gt;"""",IF(REGEXMATCH($H196,""50( ?['fF]([oO]{2})?[tT]?)?( ?[eE][rR]{2}[oO][rR])""),HYPERLINK(""https://www.munzee.com/map/?sandbox=1&amp;lat=""&amp;$D196&amp;""&amp;lon=""&amp;$E196&amp;""&amp;name=""&amp;SUBSTITUTE($A196,""#"",""%23""),""SANDBOX"""&amp;"),HYPERLINK(""https://www.munzee.com/m/""&amp;$H196&amp;""/deploys/0/type/""&amp;IFNA(VLOOKUP($F196,IMPORTRANGE(""https://docs.google.com/spreadsheets/d/1DliIGyDywdzxhd4svtjaewR0p9Y5UBTMNMQ2PcXsqss"",""type data!E2:F""),2,FALSE),$F196)&amp;""/"",$H196)),""""))"),"RangerTJ/1720")</f>
        <v>RangerTJ/1720</v>
      </c>
      <c r="K196" s="6" t="b">
        <v>1</v>
      </c>
      <c r="L196" s="9"/>
      <c r="M196" s="9">
        <f t="shared" si="1"/>
        <v>1</v>
      </c>
    </row>
    <row r="197">
      <c r="A197" s="3" t="s">
        <v>417</v>
      </c>
      <c r="B197" s="3">
        <v>14.0</v>
      </c>
      <c r="C197" s="3">
        <v>11.0</v>
      </c>
      <c r="D197" s="4">
        <v>51.5839458292012</v>
      </c>
      <c r="E197" s="4">
        <v>-0.2187794966829</v>
      </c>
      <c r="F197" s="3" t="s">
        <v>200</v>
      </c>
      <c r="G197" s="3" t="s">
        <v>201</v>
      </c>
      <c r="H197" s="6" t="s">
        <v>418</v>
      </c>
      <c r="I197" s="6">
        <v>2970.0</v>
      </c>
      <c r="J197" s="7" t="str">
        <f>IFERROR(__xludf.DUMMYFUNCTION("IF(AND(REGEXMATCH($H197,""50( ?['fF]([oO]{2})?[tT]?)?( ?[eE][rR]{2}[oO][rR])"")=FALSE,$H197&lt;&gt;"""",$I197&lt;&gt;""""),HYPERLINK(""https://www.munzee.com/m/""&amp;$H197&amp;""/""&amp;$I197&amp;""/map/?lat=""&amp;$D197&amp;""&amp;lon=""&amp;$E197&amp;""&amp;type=""&amp;$F197&amp;""&amp;name=""&amp;SUBSTITUTE($A197,""#"&amp;""",""%23""),$H197&amp;""/""&amp;$I197),IF($H197&lt;&gt;"""",IF(REGEXMATCH($H197,""50( ?['fF]([oO]{2})?[tT]?)?( ?[eE][rR]{2}[oO][rR])""),HYPERLINK(""https://www.munzee.com/map/?sandbox=1&amp;lat=""&amp;$D197&amp;""&amp;lon=""&amp;$E197&amp;""&amp;name=""&amp;SUBSTITUTE($A197,""#"",""%23""),""SANDBOX"""&amp;"),HYPERLINK(""https://www.munzee.com/m/""&amp;$H197&amp;""/deploys/0/type/""&amp;IFNA(VLOOKUP($F197,IMPORTRANGE(""https://docs.google.com/spreadsheets/d/1DliIGyDywdzxhd4svtjaewR0p9Y5UBTMNMQ2PcXsqss"",""type data!E2:F""),2,FALSE),$F197)&amp;""/"",$H197)),""""))"),"Leesap/2970")</f>
        <v>Leesap/2970</v>
      </c>
      <c r="K197" s="6" t="b">
        <v>1</v>
      </c>
      <c r="L197" s="9"/>
      <c r="M197" s="9">
        <f t="shared" si="1"/>
        <v>2</v>
      </c>
    </row>
    <row r="198">
      <c r="A198" s="3" t="s">
        <v>419</v>
      </c>
      <c r="B198" s="3">
        <v>14.0</v>
      </c>
      <c r="C198" s="3">
        <v>12.0</v>
      </c>
      <c r="D198" s="4">
        <v>51.5839458289739</v>
      </c>
      <c r="E198" s="4">
        <v>-0.2185481835209</v>
      </c>
      <c r="F198" s="3" t="s">
        <v>196</v>
      </c>
      <c r="G198" s="3" t="s">
        <v>197</v>
      </c>
      <c r="H198" s="6" t="s">
        <v>420</v>
      </c>
      <c r="I198" s="6">
        <v>13330.0</v>
      </c>
      <c r="J198" s="7" t="str">
        <f>IFERROR(__xludf.DUMMYFUNCTION("IF(AND(REGEXMATCH($H198,""50( ?['fF]([oO]{2})?[tT]?)?( ?[eE][rR]{2}[oO][rR])"")=FALSE,$H198&lt;&gt;"""",$I198&lt;&gt;""""),HYPERLINK(""https://www.munzee.com/m/""&amp;$H198&amp;""/""&amp;$I198&amp;""/map/?lat=""&amp;$D198&amp;""&amp;lon=""&amp;$E198&amp;""&amp;type=""&amp;$F198&amp;""&amp;name=""&amp;SUBSTITUTE($A198,""#"&amp;""",""%23""),$H198&amp;""/""&amp;$I198),IF($H198&lt;&gt;"""",IF(REGEXMATCH($H198,""50( ?['fF]([oO]{2})?[tT]?)?( ?[eE][rR]{2}[oO][rR])""),HYPERLINK(""https://www.munzee.com/map/?sandbox=1&amp;lat=""&amp;$D198&amp;""&amp;lon=""&amp;$E198&amp;""&amp;name=""&amp;SUBSTITUTE($A198,""#"",""%23""),""SANDBOX"""&amp;"),HYPERLINK(""https://www.munzee.com/m/""&amp;$H198&amp;""/deploys/0/type/""&amp;IFNA(VLOOKUP($F198,IMPORTRANGE(""https://docs.google.com/spreadsheets/d/1DliIGyDywdzxhd4svtjaewR0p9Y5UBTMNMQ2PcXsqss"",""type data!E2:F""),2,FALSE),$F198)&amp;""/"",$H198)),""""))"),"Derlame /13330")</f>
        <v>Derlame /13330</v>
      </c>
      <c r="K198" s="6" t="b">
        <v>1</v>
      </c>
      <c r="L198" s="9"/>
      <c r="M198" s="9">
        <f t="shared" si="1"/>
        <v>1</v>
      </c>
    </row>
    <row r="199">
      <c r="A199" s="3" t="s">
        <v>421</v>
      </c>
      <c r="B199" s="3">
        <v>14.0</v>
      </c>
      <c r="C199" s="3">
        <v>13.0</v>
      </c>
      <c r="D199" s="4">
        <v>51.5839458287466</v>
      </c>
      <c r="E199" s="4">
        <v>-0.2183168703588</v>
      </c>
      <c r="F199" s="3" t="s">
        <v>165</v>
      </c>
      <c r="G199" s="3" t="s">
        <v>166</v>
      </c>
      <c r="H199" s="6" t="s">
        <v>208</v>
      </c>
      <c r="I199" s="6">
        <v>6300.0</v>
      </c>
      <c r="J199" s="7" t="str">
        <f>IFERROR(__xludf.DUMMYFUNCTION("IF(AND(REGEXMATCH($H199,""50( ?['fF]([oO]{2})?[tT]?)?( ?[eE][rR]{2}[oO][rR])"")=FALSE,$H199&lt;&gt;"""",$I199&lt;&gt;""""),HYPERLINK(""https://www.munzee.com/m/""&amp;$H199&amp;""/""&amp;$I199&amp;""/map/?lat=""&amp;$D199&amp;""&amp;lon=""&amp;$E199&amp;""&amp;type=""&amp;$F199&amp;""&amp;name=""&amp;SUBSTITUTE($A199,""#"&amp;""",""%23""),$H199&amp;""/""&amp;$I199),IF($H199&lt;&gt;"""",IF(REGEXMATCH($H199,""50( ?['fF]([oO]{2})?[tT]?)?( ?[eE][rR]{2}[oO][rR])""),HYPERLINK(""https://www.munzee.com/map/?sandbox=1&amp;lat=""&amp;$D199&amp;""&amp;lon=""&amp;$E199&amp;""&amp;name=""&amp;SUBSTITUTE($A199,""#"",""%23""),""SANDBOX"""&amp;"),HYPERLINK(""https://www.munzee.com/m/""&amp;$H199&amp;""/deploys/0/type/""&amp;IFNA(VLOOKUP($F199,IMPORTRANGE(""https://docs.google.com/spreadsheets/d/1DliIGyDywdzxhd4svtjaewR0p9Y5UBTMNMQ2PcXsqss"",""type data!E2:F""),2,FALSE),$F199)&amp;""/"",$H199)),""""))"),"janzattic/6300")</f>
        <v>janzattic/6300</v>
      </c>
      <c r="K199" s="6" t="b">
        <v>1</v>
      </c>
      <c r="L199" s="9"/>
      <c r="M199" s="9">
        <f t="shared" si="1"/>
        <v>2</v>
      </c>
    </row>
    <row r="200">
      <c r="A200" s="3" t="s">
        <v>422</v>
      </c>
      <c r="B200" s="3">
        <v>14.0</v>
      </c>
      <c r="C200" s="3">
        <v>14.0</v>
      </c>
      <c r="D200" s="4">
        <v>51.5839458285192</v>
      </c>
      <c r="E200" s="4">
        <v>-0.2180855571967</v>
      </c>
      <c r="F200" s="3" t="s">
        <v>29</v>
      </c>
      <c r="G200" s="3" t="s">
        <v>30</v>
      </c>
      <c r="H200" s="6" t="s">
        <v>191</v>
      </c>
      <c r="I200" s="6">
        <v>17587.0</v>
      </c>
      <c r="J200" s="7" t="str">
        <f>IFERROR(__xludf.DUMMYFUNCTION("IF(AND(REGEXMATCH($H200,""50( ?['fF]([oO]{2})?[tT]?)?( ?[eE][rR]{2}[oO][rR])"")=FALSE,$H200&lt;&gt;"""",$I200&lt;&gt;""""),HYPERLINK(""https://www.munzee.com/m/""&amp;$H200&amp;""/""&amp;$I200&amp;""/map/?lat=""&amp;$D200&amp;""&amp;lon=""&amp;$E200&amp;""&amp;type=""&amp;$F200&amp;""&amp;name=""&amp;SUBSTITUTE($A200,""#"&amp;""",""%23""),$H200&amp;""/""&amp;$I200),IF($H200&lt;&gt;"""",IF(REGEXMATCH($H200,""50( ?['fF]([oO]{2})?[tT]?)?( ?[eE][rR]{2}[oO][rR])""),HYPERLINK(""https://www.munzee.com/map/?sandbox=1&amp;lat=""&amp;$D200&amp;""&amp;lon=""&amp;$E200&amp;""&amp;name=""&amp;SUBSTITUTE($A200,""#"",""%23""),""SANDBOX"""&amp;"),HYPERLINK(""https://www.munzee.com/m/""&amp;$H200&amp;""/deploys/0/type/""&amp;IFNA(VLOOKUP($F200,IMPORTRANGE(""https://docs.google.com/spreadsheets/d/1DliIGyDywdzxhd4svtjaewR0p9Y5UBTMNMQ2PcXsqss"",""type data!E2:F""),2,FALSE),$F200)&amp;""/"",$H200)),""""))"),"92Supercoupe/17587")</f>
        <v>92Supercoupe/17587</v>
      </c>
      <c r="K200" s="6" t="b">
        <v>1</v>
      </c>
      <c r="L200" s="18" t="s">
        <v>423</v>
      </c>
      <c r="M200" s="9">
        <f t="shared" si="1"/>
        <v>3</v>
      </c>
    </row>
    <row r="201">
      <c r="A201" s="3" t="s">
        <v>424</v>
      </c>
      <c r="B201" s="3">
        <v>14.0</v>
      </c>
      <c r="C201" s="3">
        <v>15.0</v>
      </c>
      <c r="D201" s="4">
        <v>51.5839458282919</v>
      </c>
      <c r="E201" s="4">
        <v>-0.2178542440346</v>
      </c>
      <c r="F201" s="3" t="s">
        <v>173</v>
      </c>
      <c r="G201" s="3" t="s">
        <v>174</v>
      </c>
      <c r="H201" s="6" t="s">
        <v>365</v>
      </c>
      <c r="I201" s="23">
        <v>10379.0</v>
      </c>
      <c r="J201" s="7" t="str">
        <f>IFERROR(__xludf.DUMMYFUNCTION("IF(AND(REGEXMATCH($H201,""50( ?['fF]([oO]{2})?[tT]?)?( ?[eE][rR]{2}[oO][rR])"")=FALSE,$H201&lt;&gt;"""",$I201&lt;&gt;""""),HYPERLINK(""https://www.munzee.com/m/""&amp;$H201&amp;""/""&amp;$I201&amp;""/map/?lat=""&amp;$D201&amp;""&amp;lon=""&amp;$E201&amp;""&amp;type=""&amp;$F201&amp;""&amp;name=""&amp;SUBSTITUTE($A201,""#"&amp;""",""%23""),$H201&amp;""/""&amp;$I201),IF($H201&lt;&gt;"""",IF(REGEXMATCH($H201,""50( ?['fF]([oO]{2})?[tT]?)?( ?[eE][rR]{2}[oO][rR])""),HYPERLINK(""https://www.munzee.com/map/?sandbox=1&amp;lat=""&amp;$D201&amp;""&amp;lon=""&amp;$E201&amp;""&amp;name=""&amp;SUBSTITUTE($A201,""#"",""%23""),""SANDBOX"""&amp;"),HYPERLINK(""https://www.munzee.com/m/""&amp;$H201&amp;""/deploys/0/type/""&amp;IFNA(VLOOKUP($F201,IMPORTRANGE(""https://docs.google.com/spreadsheets/d/1DliIGyDywdzxhd4svtjaewR0p9Y5UBTMNMQ2PcXsqss"",""type data!E2:F""),2,FALSE),$F201)&amp;""/"",$H201)),""""))"),"halizwein/10379")</f>
        <v>halizwein/10379</v>
      </c>
      <c r="K201" s="6" t="b">
        <v>1</v>
      </c>
      <c r="L201" s="9"/>
      <c r="M201" s="9">
        <f t="shared" si="1"/>
        <v>2</v>
      </c>
    </row>
    <row r="202">
      <c r="A202" s="3" t="s">
        <v>425</v>
      </c>
      <c r="B202" s="3">
        <v>14.0</v>
      </c>
      <c r="C202" s="3">
        <v>16.0</v>
      </c>
      <c r="D202" s="4">
        <v>51.5839458280646</v>
      </c>
      <c r="E202" s="4">
        <v>-0.2176229308725</v>
      </c>
      <c r="F202" s="3" t="s">
        <v>140</v>
      </c>
      <c r="G202" s="3" t="s">
        <v>141</v>
      </c>
      <c r="H202" s="6" t="s">
        <v>426</v>
      </c>
      <c r="I202" s="6">
        <v>3292.0</v>
      </c>
      <c r="J202" s="7" t="str">
        <f>IFERROR(__xludf.DUMMYFUNCTION("IF(AND(REGEXMATCH($H202,""50( ?['fF]([oO]{2})?[tT]?)?( ?[eE][rR]{2}[oO][rR])"")=FALSE,$H202&lt;&gt;"""",$I202&lt;&gt;""""),HYPERLINK(""https://www.munzee.com/m/""&amp;$H202&amp;""/""&amp;$I202&amp;""/map/?lat=""&amp;$D202&amp;""&amp;lon=""&amp;$E202&amp;""&amp;type=""&amp;$F202&amp;""&amp;name=""&amp;SUBSTITUTE($A202,""#"&amp;""",""%23""),$H202&amp;""/""&amp;$I202),IF($H202&lt;&gt;"""",IF(REGEXMATCH($H202,""50( ?['fF]([oO]{2})?[tT]?)?( ?[eE][rR]{2}[oO][rR])""),HYPERLINK(""https://www.munzee.com/map/?sandbox=1&amp;lat=""&amp;$D202&amp;""&amp;lon=""&amp;$E202&amp;""&amp;name=""&amp;SUBSTITUTE($A202,""#"",""%23""),""SANDBOX"""&amp;"),HYPERLINK(""https://www.munzee.com/m/""&amp;$H202&amp;""/deploys/0/type/""&amp;IFNA(VLOOKUP($F202,IMPORTRANGE(""https://docs.google.com/spreadsheets/d/1DliIGyDywdzxhd4svtjaewR0p9Y5UBTMNMQ2PcXsqss"",""type data!E2:F""),2,FALSE),$F202)&amp;""/"",$H202)),""""))"),"Kyrandia/3292")</f>
        <v>Kyrandia/3292</v>
      </c>
      <c r="K202" s="6" t="b">
        <v>1</v>
      </c>
      <c r="L202" s="9"/>
      <c r="M202" s="9">
        <f t="shared" si="1"/>
        <v>1</v>
      </c>
    </row>
    <row r="203">
      <c r="A203" s="3" t="s">
        <v>427</v>
      </c>
      <c r="B203" s="3">
        <v>14.0</v>
      </c>
      <c r="C203" s="3">
        <v>17.0</v>
      </c>
      <c r="D203" s="4">
        <v>51.5839458278372</v>
      </c>
      <c r="E203" s="4">
        <v>-0.2173916177104</v>
      </c>
      <c r="F203" s="3" t="s">
        <v>97</v>
      </c>
      <c r="G203" s="3" t="s">
        <v>98</v>
      </c>
      <c r="H203" s="6" t="s">
        <v>428</v>
      </c>
      <c r="I203" s="6">
        <v>8513.0</v>
      </c>
      <c r="J203" s="7" t="str">
        <f>IFERROR(__xludf.DUMMYFUNCTION("IF(AND(REGEXMATCH($H203,""50( ?['fF]([oO]{2})?[tT]?)?( ?[eE][rR]{2}[oO][rR])"")=FALSE,$H203&lt;&gt;"""",$I203&lt;&gt;""""),HYPERLINK(""https://www.munzee.com/m/""&amp;$H203&amp;""/""&amp;$I203&amp;""/map/?lat=""&amp;$D203&amp;""&amp;lon=""&amp;$E203&amp;""&amp;type=""&amp;$F203&amp;""&amp;name=""&amp;SUBSTITUTE($A203,""#"&amp;""",""%23""),$H203&amp;""/""&amp;$I203),IF($H203&lt;&gt;"""",IF(REGEXMATCH($H203,""50( ?['fF]([oO]{2})?[tT]?)?( ?[eE][rR]{2}[oO][rR])""),HYPERLINK(""https://www.munzee.com/map/?sandbox=1&amp;lat=""&amp;$D203&amp;""&amp;lon=""&amp;$E203&amp;""&amp;name=""&amp;SUBSTITUTE($A203,""#"",""%23""),""SANDBOX"""&amp;"),HYPERLINK(""https://www.munzee.com/m/""&amp;$H203&amp;""/deploys/0/type/""&amp;IFNA(VLOOKUP($F203,IMPORTRANGE(""https://docs.google.com/spreadsheets/d/1DliIGyDywdzxhd4svtjaewR0p9Y5UBTMNMQ2PcXsqss"",""type data!E2:F""),2,FALSE),$F203)&amp;""/"",$H203)),""""))"),"dazzaf/8513")</f>
        <v>dazzaf/8513</v>
      </c>
      <c r="K203" s="6" t="b">
        <v>1</v>
      </c>
      <c r="L203" s="9"/>
      <c r="M203" s="9">
        <f t="shared" si="1"/>
        <v>1</v>
      </c>
    </row>
    <row r="204">
      <c r="A204" s="3" t="s">
        <v>429</v>
      </c>
      <c r="B204" s="3">
        <v>14.0</v>
      </c>
      <c r="C204" s="3">
        <v>18.0</v>
      </c>
      <c r="D204" s="4">
        <v>51.5839458276099</v>
      </c>
      <c r="E204" s="4">
        <v>-0.2171603045483</v>
      </c>
      <c r="F204" s="3" t="s">
        <v>81</v>
      </c>
      <c r="G204" s="3" t="s">
        <v>82</v>
      </c>
      <c r="H204" s="6" t="s">
        <v>430</v>
      </c>
      <c r="I204" s="6">
        <v>4594.0</v>
      </c>
      <c r="J204" s="7" t="str">
        <f>IFERROR(__xludf.DUMMYFUNCTION("IF(AND(REGEXMATCH($H204,""50( ?['fF]([oO]{2})?[tT]?)?( ?[eE][rR]{2}[oO][rR])"")=FALSE,$H204&lt;&gt;"""",$I204&lt;&gt;""""),HYPERLINK(""https://www.munzee.com/m/""&amp;$H204&amp;""/""&amp;$I204&amp;""/map/?lat=""&amp;$D204&amp;""&amp;lon=""&amp;$E204&amp;""&amp;type=""&amp;$F204&amp;""&amp;name=""&amp;SUBSTITUTE($A204,""#"&amp;""",""%23""),$H204&amp;""/""&amp;$I204),IF($H204&lt;&gt;"""",IF(REGEXMATCH($H204,""50( ?['fF]([oO]{2})?[tT]?)?( ?[eE][rR]{2}[oO][rR])""),HYPERLINK(""https://www.munzee.com/map/?sandbox=1&amp;lat=""&amp;$D204&amp;""&amp;lon=""&amp;$E204&amp;""&amp;name=""&amp;SUBSTITUTE($A204,""#"",""%23""),""SANDBOX"""&amp;"),HYPERLINK(""https://www.munzee.com/m/""&amp;$H204&amp;""/deploys/0/type/""&amp;IFNA(VLOOKUP($F204,IMPORTRANGE(""https://docs.google.com/spreadsheets/d/1DliIGyDywdzxhd4svtjaewR0p9Y5UBTMNMQ2PcXsqss"",""type data!E2:F""),2,FALSE),$F204)&amp;""/"",$H204)),""""))"),"BonnieB1/4594")</f>
        <v>BonnieB1/4594</v>
      </c>
      <c r="K204" s="6" t="b">
        <v>1</v>
      </c>
      <c r="L204" s="9"/>
      <c r="M204" s="9">
        <f t="shared" si="1"/>
        <v>1</v>
      </c>
    </row>
    <row r="205">
      <c r="A205" s="3" t="s">
        <v>431</v>
      </c>
      <c r="B205" s="3">
        <v>14.0</v>
      </c>
      <c r="C205" s="3">
        <v>19.0</v>
      </c>
      <c r="D205" s="4">
        <v>51.5839458273826</v>
      </c>
      <c r="E205" s="4">
        <v>-0.2169289913862</v>
      </c>
      <c r="F205" s="3" t="s">
        <v>44</v>
      </c>
      <c r="G205" s="3" t="s">
        <v>45</v>
      </c>
      <c r="H205" s="6" t="s">
        <v>179</v>
      </c>
      <c r="I205" s="6">
        <v>21194.0</v>
      </c>
      <c r="J205" s="7" t="str">
        <f>IFERROR(__xludf.DUMMYFUNCTION("IF(AND(REGEXMATCH($H205,""50( ?['fF]([oO]{2})?[tT]?)?( ?[eE][rR]{2}[oO][rR])"")=FALSE,$H205&lt;&gt;"""",$I205&lt;&gt;""""),HYPERLINK(""https://www.munzee.com/m/""&amp;$H205&amp;""/""&amp;$I205&amp;""/map/?lat=""&amp;$D205&amp;""&amp;lon=""&amp;$E205&amp;""&amp;type=""&amp;$F205&amp;""&amp;name=""&amp;SUBSTITUTE($A205,""#"&amp;""",""%23""),$H205&amp;""/""&amp;$I205),IF($H205&lt;&gt;"""",IF(REGEXMATCH($H205,""50( ?['fF]([oO]{2})?[tT]?)?( ?[eE][rR]{2}[oO][rR])""),HYPERLINK(""https://www.munzee.com/map/?sandbox=1&amp;lat=""&amp;$D205&amp;""&amp;lon=""&amp;$E205&amp;""&amp;name=""&amp;SUBSTITUTE($A205,""#"",""%23""),""SANDBOX"""&amp;"),HYPERLINK(""https://www.munzee.com/m/""&amp;$H205&amp;""/deploys/0/type/""&amp;IFNA(VLOOKUP($F205,IMPORTRANGE(""https://docs.google.com/spreadsheets/d/1DliIGyDywdzxhd4svtjaewR0p9Y5UBTMNMQ2PcXsqss"",""type data!E2:F""),2,FALSE),$F205)&amp;""/"",$H205)),""""))"),"WanderingAus/21194")</f>
        <v>WanderingAus/21194</v>
      </c>
      <c r="K205" s="6" t="b">
        <v>1</v>
      </c>
      <c r="L205" s="9"/>
      <c r="M205" s="9">
        <f t="shared" si="1"/>
        <v>10</v>
      </c>
    </row>
    <row r="206">
      <c r="A206" s="3" t="s">
        <v>432</v>
      </c>
      <c r="B206" s="3">
        <v>15.0</v>
      </c>
      <c r="C206" s="3">
        <v>4.0</v>
      </c>
      <c r="D206" s="4">
        <v>51.5838021003471</v>
      </c>
      <c r="E206" s="4">
        <v>-0.2203987056464</v>
      </c>
      <c r="F206" s="3" t="s">
        <v>62</v>
      </c>
      <c r="G206" s="3" t="s">
        <v>63</v>
      </c>
      <c r="H206" s="6" t="s">
        <v>433</v>
      </c>
      <c r="I206" s="6">
        <v>973.0</v>
      </c>
      <c r="J206" s="7" t="str">
        <f>IFERROR(__xludf.DUMMYFUNCTION("IF(AND(REGEXMATCH($H206,""50( ?['fF]([oO]{2})?[tT]?)?( ?[eE][rR]{2}[oO][rR])"")=FALSE,$H206&lt;&gt;"""",$I206&lt;&gt;""""),HYPERLINK(""https://www.munzee.com/m/""&amp;$H206&amp;""/""&amp;$I206&amp;""/map/?lat=""&amp;$D206&amp;""&amp;lon=""&amp;$E206&amp;""&amp;type=""&amp;$F206&amp;""&amp;name=""&amp;SUBSTITUTE($A206,""#"&amp;""",""%23""),$H206&amp;""/""&amp;$I206),IF($H206&lt;&gt;"""",IF(REGEXMATCH($H206,""50( ?['fF]([oO]{2})?[tT]?)?( ?[eE][rR]{2}[oO][rR])""),HYPERLINK(""https://www.munzee.com/map/?sandbox=1&amp;lat=""&amp;$D206&amp;""&amp;lon=""&amp;$E206&amp;""&amp;name=""&amp;SUBSTITUTE($A206,""#"",""%23""),""SANDBOX"""&amp;"),HYPERLINK(""https://www.munzee.com/m/""&amp;$H206&amp;""/deploys/0/type/""&amp;IFNA(VLOOKUP($F206,IMPORTRANGE(""https://docs.google.com/spreadsheets/d/1DliIGyDywdzxhd4svtjaewR0p9Y5UBTMNMQ2PcXsqss"",""type data!E2:F""),2,FALSE),$F206)&amp;""/"",$H206)),""""))"),"WantingSnow/973")</f>
        <v>WantingSnow/973</v>
      </c>
      <c r="K206" s="6" t="b">
        <v>1</v>
      </c>
      <c r="L206" s="9"/>
      <c r="M206" s="9">
        <f t="shared" si="1"/>
        <v>1</v>
      </c>
    </row>
    <row r="207">
      <c r="A207" s="3" t="s">
        <v>434</v>
      </c>
      <c r="B207" s="3">
        <v>15.0</v>
      </c>
      <c r="C207" s="3">
        <v>5.0</v>
      </c>
      <c r="D207" s="4">
        <v>51.5838021001198</v>
      </c>
      <c r="E207" s="4">
        <v>-0.220167393216</v>
      </c>
      <c r="F207" s="3" t="s">
        <v>70</v>
      </c>
      <c r="G207" s="3" t="s">
        <v>71</v>
      </c>
      <c r="H207" s="6" t="s">
        <v>435</v>
      </c>
      <c r="I207" s="6">
        <v>1320.0</v>
      </c>
      <c r="J207" s="7" t="str">
        <f>IFERROR(__xludf.DUMMYFUNCTION("IF(AND(REGEXMATCH($H207,""50( ?['fF]([oO]{2})?[tT]?)?( ?[eE][rR]{2}[oO][rR])"")=FALSE,$H207&lt;&gt;"""",$I207&lt;&gt;""""),HYPERLINK(""https://www.munzee.com/m/""&amp;$H207&amp;""/""&amp;$I207&amp;""/map/?lat=""&amp;$D207&amp;""&amp;lon=""&amp;$E207&amp;""&amp;type=""&amp;$F207&amp;""&amp;name=""&amp;SUBSTITUTE($A207,""#"&amp;""",""%23""),$H207&amp;""/""&amp;$I207),IF($H207&lt;&gt;"""",IF(REGEXMATCH($H207,""50( ?['fF]([oO]{2})?[tT]?)?( ?[eE][rR]{2}[oO][rR])""),HYPERLINK(""https://www.munzee.com/map/?sandbox=1&amp;lat=""&amp;$D207&amp;""&amp;lon=""&amp;$E207&amp;""&amp;name=""&amp;SUBSTITUTE($A207,""#"",""%23""),""SANDBOX"""&amp;"),HYPERLINK(""https://www.munzee.com/m/""&amp;$H207&amp;""/deploys/0/type/""&amp;IFNA(VLOOKUP($F207,IMPORTRANGE(""https://docs.google.com/spreadsheets/d/1DliIGyDywdzxhd4svtjaewR0p9Y5UBTMNMQ2PcXsqss"",""type data!E2:F""),2,FALSE),$F207)&amp;""/"",$H207)),""""))"),"Benotje/1320")</f>
        <v>Benotje/1320</v>
      </c>
      <c r="K207" s="6" t="b">
        <v>1</v>
      </c>
      <c r="L207" s="4"/>
      <c r="M207" s="9">
        <f t="shared" si="1"/>
        <v>1</v>
      </c>
    </row>
    <row r="208">
      <c r="A208" s="3" t="s">
        <v>436</v>
      </c>
      <c r="B208" s="3">
        <v>15.0</v>
      </c>
      <c r="C208" s="3">
        <v>6.0</v>
      </c>
      <c r="D208" s="4">
        <v>51.5838020998925</v>
      </c>
      <c r="E208" s="4">
        <v>-0.2199360807856</v>
      </c>
      <c r="F208" s="3" t="s">
        <v>122</v>
      </c>
      <c r="G208" s="3" t="s">
        <v>123</v>
      </c>
      <c r="H208" s="6" t="s">
        <v>162</v>
      </c>
      <c r="I208" s="6">
        <v>3854.0</v>
      </c>
      <c r="J208" s="7" t="str">
        <f>IFERROR(__xludf.DUMMYFUNCTION("IF(AND(REGEXMATCH($H208,""50( ?['fF]([oO]{2})?[tT]?)?( ?[eE][rR]{2}[oO][rR])"")=FALSE,$H208&lt;&gt;"""",$I208&lt;&gt;""""),HYPERLINK(""https://www.munzee.com/m/""&amp;$H208&amp;""/""&amp;$I208&amp;""/map/?lat=""&amp;$D208&amp;""&amp;lon=""&amp;$E208&amp;""&amp;type=""&amp;$F208&amp;""&amp;name=""&amp;SUBSTITUTE($A208,""#"&amp;""",""%23""),$H208&amp;""/""&amp;$I208),IF($H208&lt;&gt;"""",IF(REGEXMATCH($H208,""50( ?['fF]([oO]{2})?[tT]?)?( ?[eE][rR]{2}[oO][rR])""),HYPERLINK(""https://www.munzee.com/map/?sandbox=1&amp;lat=""&amp;$D208&amp;""&amp;lon=""&amp;$E208&amp;""&amp;name=""&amp;SUBSTITUTE($A208,""#"",""%23""),""SANDBOX"""&amp;"),HYPERLINK(""https://www.munzee.com/m/""&amp;$H208&amp;""/deploys/0/type/""&amp;IFNA(VLOOKUP($F208,IMPORTRANGE(""https://docs.google.com/spreadsheets/d/1DliIGyDywdzxhd4svtjaewR0p9Y5UBTMNMQ2PcXsqss"",""type data!E2:F""),2,FALSE),$F208)&amp;""/"",$H208)),""""))"),"Clareppuccino/3854")</f>
        <v>Clareppuccino/3854</v>
      </c>
      <c r="K208" s="6" t="b">
        <v>1</v>
      </c>
      <c r="L208" s="9"/>
      <c r="M208" s="9">
        <f t="shared" si="1"/>
        <v>4</v>
      </c>
    </row>
    <row r="209">
      <c r="A209" s="3" t="s">
        <v>437</v>
      </c>
      <c r="B209" s="3">
        <v>15.0</v>
      </c>
      <c r="C209" s="3">
        <v>7.0</v>
      </c>
      <c r="D209" s="4">
        <v>51.5838020996652</v>
      </c>
      <c r="E209" s="4">
        <v>-0.2197047683552</v>
      </c>
      <c r="F209" s="3" t="s">
        <v>156</v>
      </c>
      <c r="G209" s="3" t="s">
        <v>157</v>
      </c>
      <c r="H209" s="6" t="s">
        <v>438</v>
      </c>
      <c r="I209" s="6">
        <v>12241.0</v>
      </c>
      <c r="J209" s="7" t="str">
        <f>IFERROR(__xludf.DUMMYFUNCTION("IF(AND(REGEXMATCH($H209,""50( ?['fF]([oO]{2})?[tT]?)?( ?[eE][rR]{2}[oO][rR])"")=FALSE,$H209&lt;&gt;"""",$I209&lt;&gt;""""),HYPERLINK(""https://www.munzee.com/m/""&amp;$H209&amp;""/""&amp;$I209&amp;""/map/?lat=""&amp;$D209&amp;""&amp;lon=""&amp;$E209&amp;""&amp;type=""&amp;$F209&amp;""&amp;name=""&amp;SUBSTITUTE($A209,""#"&amp;""",""%23""),$H209&amp;""/""&amp;$I209),IF($H209&lt;&gt;"""",IF(REGEXMATCH($H209,""50( ?['fF]([oO]{2})?[tT]?)?( ?[eE][rR]{2}[oO][rR])""),HYPERLINK(""https://www.munzee.com/map/?sandbox=1&amp;lat=""&amp;$D209&amp;""&amp;lon=""&amp;$E209&amp;""&amp;name=""&amp;SUBSTITUTE($A209,""#"",""%23""),""SANDBOX"""&amp;"),HYPERLINK(""https://www.munzee.com/m/""&amp;$H209&amp;""/deploys/0/type/""&amp;IFNA(VLOOKUP($F209,IMPORTRANGE(""https://docs.google.com/spreadsheets/d/1DliIGyDywdzxhd4svtjaewR0p9Y5UBTMNMQ2PcXsqss"",""type data!E2:F""),2,FALSE),$F209)&amp;""/"",$H209)),""""))"),"Nierenstein/12241")</f>
        <v>Nierenstein/12241</v>
      </c>
      <c r="K209" s="6" t="b">
        <v>1</v>
      </c>
      <c r="L209" s="9"/>
      <c r="M209" s="9">
        <f t="shared" si="1"/>
        <v>2</v>
      </c>
    </row>
    <row r="210">
      <c r="A210" s="3" t="s">
        <v>439</v>
      </c>
      <c r="B210" s="3">
        <v>15.0</v>
      </c>
      <c r="C210" s="3">
        <v>8.0</v>
      </c>
      <c r="D210" s="4">
        <v>51.5838020994378</v>
      </c>
      <c r="E210" s="4">
        <v>-0.2194734559248</v>
      </c>
      <c r="F210" s="3" t="s">
        <v>173</v>
      </c>
      <c r="G210" s="3" t="s">
        <v>174</v>
      </c>
      <c r="H210" s="6" t="s">
        <v>440</v>
      </c>
      <c r="I210" s="6">
        <v>14845.0</v>
      </c>
      <c r="J210" s="7" t="str">
        <f>IFERROR(__xludf.DUMMYFUNCTION("IF(AND(REGEXMATCH($H210,""50( ?['fF]([oO]{2})?[tT]?)?( ?[eE][rR]{2}[oO][rR])"")=FALSE,$H210&lt;&gt;"""",$I210&lt;&gt;""""),HYPERLINK(""https://www.munzee.com/m/""&amp;$H210&amp;""/""&amp;$I210&amp;""/map/?lat=""&amp;$D210&amp;""&amp;lon=""&amp;$E210&amp;""&amp;type=""&amp;$F210&amp;""&amp;name=""&amp;SUBSTITUTE($A210,""#"&amp;""",""%23""),$H210&amp;""/""&amp;$I210),IF($H210&lt;&gt;"""",IF(REGEXMATCH($H210,""50( ?['fF]([oO]{2})?[tT]?)?( ?[eE][rR]{2}[oO][rR])""),HYPERLINK(""https://www.munzee.com/map/?sandbox=1&amp;lat=""&amp;$D210&amp;""&amp;lon=""&amp;$E210&amp;""&amp;name=""&amp;SUBSTITUTE($A210,""#"",""%23""),""SANDBOX"""&amp;"),HYPERLINK(""https://www.munzee.com/m/""&amp;$H210&amp;""/deploys/0/type/""&amp;IFNA(VLOOKUP($F210,IMPORTRANGE(""https://docs.google.com/spreadsheets/d/1DliIGyDywdzxhd4svtjaewR0p9Y5UBTMNMQ2PcXsqss"",""type data!E2:F""),2,FALSE),$F210)&amp;""/"",$H210)),""""))"),"MsGiggler/14845")</f>
        <v>MsGiggler/14845</v>
      </c>
      <c r="K210" s="6" t="b">
        <v>1</v>
      </c>
      <c r="L210" s="18" t="s">
        <v>441</v>
      </c>
      <c r="M210" s="9">
        <f t="shared" si="1"/>
        <v>1</v>
      </c>
    </row>
    <row r="211">
      <c r="A211" s="3" t="s">
        <v>442</v>
      </c>
      <c r="B211" s="3">
        <v>15.0</v>
      </c>
      <c r="C211" s="3">
        <v>9.0</v>
      </c>
      <c r="D211" s="4">
        <v>51.5838020992105</v>
      </c>
      <c r="E211" s="4">
        <v>-0.2192421434944</v>
      </c>
      <c r="F211" s="3" t="s">
        <v>29</v>
      </c>
      <c r="G211" s="3" t="s">
        <v>30</v>
      </c>
      <c r="H211" s="6" t="s">
        <v>443</v>
      </c>
      <c r="I211" s="6">
        <v>3648.0</v>
      </c>
      <c r="J211" s="7" t="str">
        <f>IFERROR(__xludf.DUMMYFUNCTION("IF(AND(REGEXMATCH($H211,""50( ?['fF]([oO]{2})?[tT]?)?( ?[eE][rR]{2}[oO][rR])"")=FALSE,$H211&lt;&gt;"""",$I211&lt;&gt;""""),HYPERLINK(""https://www.munzee.com/m/""&amp;$H211&amp;""/""&amp;$I211&amp;""/map/?lat=""&amp;$D211&amp;""&amp;lon=""&amp;$E211&amp;""&amp;type=""&amp;$F211&amp;""&amp;name=""&amp;SUBSTITUTE($A211,""#"&amp;""",""%23""),$H211&amp;""/""&amp;$I211),IF($H211&lt;&gt;"""",IF(REGEXMATCH($H211,""50( ?['fF]([oO]{2})?[tT]?)?( ?[eE][rR]{2}[oO][rR])""),HYPERLINK(""https://www.munzee.com/map/?sandbox=1&amp;lat=""&amp;$D211&amp;""&amp;lon=""&amp;$E211&amp;""&amp;name=""&amp;SUBSTITUTE($A211,""#"",""%23""),""SANDBOX"""&amp;"),HYPERLINK(""https://www.munzee.com/m/""&amp;$H211&amp;""/deploys/0/type/""&amp;IFNA(VLOOKUP($F211,IMPORTRANGE(""https://docs.google.com/spreadsheets/d/1DliIGyDywdzxhd4svtjaewR0p9Y5UBTMNMQ2PcXsqss"",""type data!E2:F""),2,FALSE),$F211)&amp;""/"",$H211)),""""))"),"Quietriots/3648")</f>
        <v>Quietriots/3648</v>
      </c>
      <c r="K211" s="6" t="b">
        <v>1</v>
      </c>
      <c r="L211" s="6" t="s">
        <v>444</v>
      </c>
      <c r="M211" s="9">
        <f t="shared" si="1"/>
        <v>1</v>
      </c>
    </row>
    <row r="212">
      <c r="A212" s="3" t="s">
        <v>445</v>
      </c>
      <c r="B212" s="3">
        <v>15.0</v>
      </c>
      <c r="C212" s="3">
        <v>10.0</v>
      </c>
      <c r="D212" s="4">
        <v>51.5838020989832</v>
      </c>
      <c r="E212" s="4">
        <v>-0.219010831064</v>
      </c>
      <c r="F212" s="3" t="s">
        <v>165</v>
      </c>
      <c r="G212" s="3" t="s">
        <v>166</v>
      </c>
      <c r="H212" s="6" t="s">
        <v>120</v>
      </c>
      <c r="I212" s="6">
        <v>687.0</v>
      </c>
      <c r="J212" s="7" t="str">
        <f>IFERROR(__xludf.DUMMYFUNCTION("IF(AND(REGEXMATCH($H212,""50( ?['fF]([oO]{2})?[tT]?)?( ?[eE][rR]{2}[oO][rR])"")=FALSE,$H212&lt;&gt;"""",$I212&lt;&gt;""""),HYPERLINK(""https://www.munzee.com/m/""&amp;$H212&amp;""/""&amp;$I212&amp;""/map/?lat=""&amp;$D212&amp;""&amp;lon=""&amp;$E212&amp;""&amp;type=""&amp;$F212&amp;""&amp;name=""&amp;SUBSTITUTE($A212,""#"&amp;""",""%23""),$H212&amp;""/""&amp;$I212),IF($H212&lt;&gt;"""",IF(REGEXMATCH($H212,""50( ?['fF]([oO]{2})?[tT]?)?( ?[eE][rR]{2}[oO][rR])""),HYPERLINK(""https://www.munzee.com/map/?sandbox=1&amp;lat=""&amp;$D212&amp;""&amp;lon=""&amp;$E212&amp;""&amp;name=""&amp;SUBSTITUTE($A212,""#"",""%23""),""SANDBOX"""&amp;"),HYPERLINK(""https://www.munzee.com/m/""&amp;$H212&amp;""/deploys/0/type/""&amp;IFNA(VLOOKUP($F212,IMPORTRANGE(""https://docs.google.com/spreadsheets/d/1DliIGyDywdzxhd4svtjaewR0p9Y5UBTMNMQ2PcXsqss"",""type data!E2:F""),2,FALSE),$F212)&amp;""/"",$H212)),""""))"),"lonni/687")</f>
        <v>lonni/687</v>
      </c>
      <c r="K212" s="6" t="b">
        <v>1</v>
      </c>
      <c r="L212" s="9"/>
      <c r="M212" s="9">
        <f t="shared" si="1"/>
        <v>2</v>
      </c>
    </row>
    <row r="213">
      <c r="A213" s="3" t="s">
        <v>446</v>
      </c>
      <c r="B213" s="3">
        <v>15.0</v>
      </c>
      <c r="C213" s="3">
        <v>11.0</v>
      </c>
      <c r="D213" s="4">
        <v>51.5838020987558</v>
      </c>
      <c r="E213" s="4">
        <v>-0.2187795186336</v>
      </c>
      <c r="F213" s="3" t="s">
        <v>132</v>
      </c>
      <c r="G213" s="3" t="s">
        <v>133</v>
      </c>
      <c r="H213" s="6" t="s">
        <v>447</v>
      </c>
      <c r="I213" s="6">
        <v>1374.0</v>
      </c>
      <c r="J213" s="7" t="str">
        <f>IFERROR(__xludf.DUMMYFUNCTION("IF(AND(REGEXMATCH($H213,""50( ?['fF]([oO]{2})?[tT]?)?( ?[eE][rR]{2}[oO][rR])"")=FALSE,$H213&lt;&gt;"""",$I213&lt;&gt;""""),HYPERLINK(""https://www.munzee.com/m/""&amp;$H213&amp;""/""&amp;$I213&amp;""/map/?lat=""&amp;$D213&amp;""&amp;lon=""&amp;$E213&amp;""&amp;type=""&amp;$F213&amp;""&amp;name=""&amp;SUBSTITUTE($A213,""#"&amp;""",""%23""),$H213&amp;""/""&amp;$I213),IF($H213&lt;&gt;"""",IF(REGEXMATCH($H213,""50( ?['fF]([oO]{2})?[tT]?)?( ?[eE][rR]{2}[oO][rR])""),HYPERLINK(""https://www.munzee.com/map/?sandbox=1&amp;lat=""&amp;$D213&amp;""&amp;lon=""&amp;$E213&amp;""&amp;name=""&amp;SUBSTITUTE($A213,""#"",""%23""),""SANDBOX"""&amp;"),HYPERLINK(""https://www.munzee.com/m/""&amp;$H213&amp;""/deploys/0/type/""&amp;IFNA(VLOOKUP($F213,IMPORTRANGE(""https://docs.google.com/spreadsheets/d/1DliIGyDywdzxhd4svtjaewR0p9Y5UBTMNMQ2PcXsqss"",""type data!E2:F""),2,FALSE),$F213)&amp;""/"",$H213)),""""))"),"GMariusz/1374")</f>
        <v>GMariusz/1374</v>
      </c>
      <c r="K213" s="6" t="b">
        <v>1</v>
      </c>
      <c r="L213" s="9"/>
      <c r="M213" s="9">
        <f t="shared" si="1"/>
        <v>1</v>
      </c>
    </row>
    <row r="214">
      <c r="A214" s="3" t="s">
        <v>448</v>
      </c>
      <c r="B214" s="3">
        <v>15.0</v>
      </c>
      <c r="C214" s="3">
        <v>12.0</v>
      </c>
      <c r="D214" s="4">
        <v>51.5838020985285</v>
      </c>
      <c r="E214" s="4">
        <v>-0.2185482062032</v>
      </c>
      <c r="F214" s="3" t="s">
        <v>165</v>
      </c>
      <c r="G214" s="3" t="s">
        <v>166</v>
      </c>
      <c r="H214" s="6" t="s">
        <v>171</v>
      </c>
      <c r="I214" s="6">
        <v>814.0</v>
      </c>
      <c r="J214" s="7" t="str">
        <f>IFERROR(__xludf.DUMMYFUNCTION("IF(AND(REGEXMATCH($H214,""50( ?['fF]([oO]{2})?[tT]?)?( ?[eE][rR]{2}[oO][rR])"")=FALSE,$H214&lt;&gt;"""",$I214&lt;&gt;""""),HYPERLINK(""https://www.munzee.com/m/""&amp;$H214&amp;""/""&amp;$I214&amp;""/map/?lat=""&amp;$D214&amp;""&amp;lon=""&amp;$E214&amp;""&amp;type=""&amp;$F214&amp;""&amp;name=""&amp;SUBSTITUTE($A214,""#"&amp;""",""%23""),$H214&amp;""/""&amp;$I214),IF($H214&lt;&gt;"""",IF(REGEXMATCH($H214,""50( ?['fF]([oO]{2})?[tT]?)?( ?[eE][rR]{2}[oO][rR])""),HYPERLINK(""https://www.munzee.com/map/?sandbox=1&amp;lat=""&amp;$D214&amp;""&amp;lon=""&amp;$E214&amp;""&amp;name=""&amp;SUBSTITUTE($A214,""#"",""%23""),""SANDBOX"""&amp;"),HYPERLINK(""https://www.munzee.com/m/""&amp;$H214&amp;""/deploys/0/type/""&amp;IFNA(VLOOKUP($F214,IMPORTRANGE(""https://docs.google.com/spreadsheets/d/1DliIGyDywdzxhd4svtjaewR0p9Y5UBTMNMQ2PcXsqss"",""type data!E2:F""),2,FALSE),$F214)&amp;""/"",$H214)),""""))"),"klc1960/814")</f>
        <v>klc1960/814</v>
      </c>
      <c r="K214" s="6" t="b">
        <v>1</v>
      </c>
      <c r="L214" s="9"/>
      <c r="M214" s="9">
        <f t="shared" si="1"/>
        <v>6</v>
      </c>
    </row>
    <row r="215">
      <c r="A215" s="3" t="s">
        <v>449</v>
      </c>
      <c r="B215" s="3">
        <v>15.0</v>
      </c>
      <c r="C215" s="3">
        <v>13.0</v>
      </c>
      <c r="D215" s="4">
        <v>51.5838020983012</v>
      </c>
      <c r="E215" s="4">
        <v>-0.2183168937728</v>
      </c>
      <c r="F215" s="3" t="s">
        <v>29</v>
      </c>
      <c r="G215" s="3" t="s">
        <v>30</v>
      </c>
      <c r="H215" s="6" t="s">
        <v>450</v>
      </c>
      <c r="I215" s="6">
        <v>2110.0</v>
      </c>
      <c r="J215" s="7" t="str">
        <f>IFERROR(__xludf.DUMMYFUNCTION("IF(AND(REGEXMATCH($H215,""50( ?['fF]([oO]{2})?[tT]?)?( ?[eE][rR]{2}[oO][rR])"")=FALSE,$H215&lt;&gt;"""",$I215&lt;&gt;""""),HYPERLINK(""https://www.munzee.com/m/""&amp;$H215&amp;""/""&amp;$I215&amp;""/map/?lat=""&amp;$D215&amp;""&amp;lon=""&amp;$E215&amp;""&amp;type=""&amp;$F215&amp;""&amp;name=""&amp;SUBSTITUTE($A215,""#"&amp;""",""%23""),$H215&amp;""/""&amp;$I215),IF($H215&lt;&gt;"""",IF(REGEXMATCH($H215,""50( ?['fF]([oO]{2})?[tT]?)?( ?[eE][rR]{2}[oO][rR])""),HYPERLINK(""https://www.munzee.com/map/?sandbox=1&amp;lat=""&amp;$D215&amp;""&amp;lon=""&amp;$E215&amp;""&amp;name=""&amp;SUBSTITUTE($A215,""#"",""%23""),""SANDBOX"""&amp;"),HYPERLINK(""https://www.munzee.com/m/""&amp;$H215&amp;""/deploys/0/type/""&amp;IFNA(VLOOKUP($F215,IMPORTRANGE(""https://docs.google.com/spreadsheets/d/1DliIGyDywdzxhd4svtjaewR0p9Y5UBTMNMQ2PcXsqss"",""type data!E2:F""),2,FALSE),$F215)&amp;""/"",$H215)),""""))"),"Tonliluvsnow/2110")</f>
        <v>Tonliluvsnow/2110</v>
      </c>
      <c r="K215" s="6" t="b">
        <v>1</v>
      </c>
      <c r="L215" s="18" t="s">
        <v>451</v>
      </c>
      <c r="M215" s="9">
        <f t="shared" si="1"/>
        <v>1</v>
      </c>
    </row>
    <row r="216">
      <c r="A216" s="3" t="s">
        <v>452</v>
      </c>
      <c r="B216" s="3">
        <v>15.0</v>
      </c>
      <c r="C216" s="3">
        <v>14.0</v>
      </c>
      <c r="D216" s="4">
        <v>51.5838020980739</v>
      </c>
      <c r="E216" s="4">
        <v>-0.2180855813424</v>
      </c>
      <c r="F216" s="3" t="s">
        <v>160</v>
      </c>
      <c r="G216" s="3" t="s">
        <v>161</v>
      </c>
      <c r="H216" s="6" t="s">
        <v>295</v>
      </c>
      <c r="I216" s="6">
        <v>1434.0</v>
      </c>
      <c r="J216" s="7" t="str">
        <f>IFERROR(__xludf.DUMMYFUNCTION("IF(AND(REGEXMATCH($H216,""50( ?['fF]([oO]{2})?[tT]?)?( ?[eE][rR]{2}[oO][rR])"")=FALSE,$H216&lt;&gt;"""",$I216&lt;&gt;""""),HYPERLINK(""https://www.munzee.com/m/""&amp;$H216&amp;""/""&amp;$I216&amp;""/map/?lat=""&amp;$D216&amp;""&amp;lon=""&amp;$E216&amp;""&amp;type=""&amp;$F216&amp;""&amp;name=""&amp;SUBSTITUTE($A216,""#"&amp;""",""%23""),$H216&amp;""/""&amp;$I216),IF($H216&lt;&gt;"""",IF(REGEXMATCH($H216,""50( ?['fF]([oO]{2})?[tT]?)?( ?[eE][rR]{2}[oO][rR])""),HYPERLINK(""https://www.munzee.com/map/?sandbox=1&amp;lat=""&amp;$D216&amp;""&amp;lon=""&amp;$E216&amp;""&amp;name=""&amp;SUBSTITUTE($A216,""#"",""%23""),""SANDBOX"""&amp;"),HYPERLINK(""https://www.munzee.com/m/""&amp;$H216&amp;""/deploys/0/type/""&amp;IFNA(VLOOKUP($F216,IMPORTRANGE(""https://docs.google.com/spreadsheets/d/1DliIGyDywdzxhd4svtjaewR0p9Y5UBTMNMQ2PcXsqss"",""type data!E2:F""),2,FALSE),$F216)&amp;""/"",$H216)),""""))"),"ruckus2012/1434")</f>
        <v>ruckus2012/1434</v>
      </c>
      <c r="K216" s="6"/>
      <c r="L216" s="6" t="s">
        <v>296</v>
      </c>
      <c r="M216" s="9">
        <f t="shared" si="1"/>
        <v>0</v>
      </c>
    </row>
    <row r="217">
      <c r="A217" s="3" t="s">
        <v>453</v>
      </c>
      <c r="B217" s="3">
        <v>15.0</v>
      </c>
      <c r="C217" s="3">
        <v>15.0</v>
      </c>
      <c r="D217" s="4">
        <v>51.5838020978465</v>
      </c>
      <c r="E217" s="4">
        <v>-0.217854268912</v>
      </c>
      <c r="F217" s="3" t="s">
        <v>156</v>
      </c>
      <c r="G217" s="3" t="s">
        <v>157</v>
      </c>
      <c r="H217" s="6" t="s">
        <v>373</v>
      </c>
      <c r="I217" s="6">
        <v>9963.0</v>
      </c>
      <c r="J217" s="7" t="str">
        <f>IFERROR(__xludf.DUMMYFUNCTION("IF(AND(REGEXMATCH($H217,""50( ?['fF]([oO]{2})?[tT]?)?( ?[eE][rR]{2}[oO][rR])"")=FALSE,$H217&lt;&gt;"""",$I217&lt;&gt;""""),HYPERLINK(""https://www.munzee.com/m/""&amp;$H217&amp;""/""&amp;$I217&amp;""/map/?lat=""&amp;$D217&amp;""&amp;lon=""&amp;$E217&amp;""&amp;type=""&amp;$F217&amp;""&amp;name=""&amp;SUBSTITUTE($A217,""#"&amp;""",""%23""),$H217&amp;""/""&amp;$I217),IF($H217&lt;&gt;"""",IF(REGEXMATCH($H217,""50( ?['fF]([oO]{2})?[tT]?)?( ?[eE][rR]{2}[oO][rR])""),HYPERLINK(""https://www.munzee.com/map/?sandbox=1&amp;lat=""&amp;$D217&amp;""&amp;lon=""&amp;$E217&amp;""&amp;name=""&amp;SUBSTITUTE($A217,""#"",""%23""),""SANDBOX"""&amp;"),HYPERLINK(""https://www.munzee.com/m/""&amp;$H217&amp;""/deploys/0/type/""&amp;IFNA(VLOOKUP($F217,IMPORTRANGE(""https://docs.google.com/spreadsheets/d/1DliIGyDywdzxhd4svtjaewR0p9Y5UBTMNMQ2PcXsqss"",""type data!E2:F""),2,FALSE),$F217)&amp;""/"",$H217)),""""))"),"JABIE28/9963")</f>
        <v>JABIE28/9963</v>
      </c>
      <c r="K217" s="6" t="b">
        <v>1</v>
      </c>
      <c r="L217" s="9"/>
      <c r="M217" s="9">
        <f t="shared" si="1"/>
        <v>3</v>
      </c>
    </row>
    <row r="218">
      <c r="A218" s="3" t="s">
        <v>454</v>
      </c>
      <c r="B218" s="3">
        <v>15.0</v>
      </c>
      <c r="C218" s="3">
        <v>16.0</v>
      </c>
      <c r="D218" s="4">
        <v>51.5838020976192</v>
      </c>
      <c r="E218" s="4">
        <v>-0.2176229564816</v>
      </c>
      <c r="F218" s="3" t="s">
        <v>122</v>
      </c>
      <c r="G218" s="3" t="s">
        <v>123</v>
      </c>
      <c r="H218" s="6" t="s">
        <v>455</v>
      </c>
      <c r="I218" s="6">
        <v>6153.0</v>
      </c>
      <c r="J218" s="7" t="str">
        <f>IFERROR(__xludf.DUMMYFUNCTION("IF(AND(REGEXMATCH($H218,""50( ?['fF]([oO]{2})?[tT]?)?( ?[eE][rR]{2}[oO][rR])"")=FALSE,$H218&lt;&gt;"""",$I218&lt;&gt;""""),HYPERLINK(""https://www.munzee.com/m/""&amp;$H218&amp;""/""&amp;$I218&amp;""/map/?lat=""&amp;$D218&amp;""&amp;lon=""&amp;$E218&amp;""&amp;type=""&amp;$F218&amp;""&amp;name=""&amp;SUBSTITUTE($A218,""#"&amp;""",""%23""),$H218&amp;""/""&amp;$I218),IF($H218&lt;&gt;"""",IF(REGEXMATCH($H218,""50( ?['fF]([oO]{2})?[tT]?)?( ?[eE][rR]{2}[oO][rR])""),HYPERLINK(""https://www.munzee.com/map/?sandbox=1&amp;lat=""&amp;$D218&amp;""&amp;lon=""&amp;$E218&amp;""&amp;name=""&amp;SUBSTITUTE($A218,""#"",""%23""),""SANDBOX"""&amp;"),HYPERLINK(""https://www.munzee.com/m/""&amp;$H218&amp;""/deploys/0/type/""&amp;IFNA(VLOOKUP($F218,IMPORTRANGE(""https://docs.google.com/spreadsheets/d/1DliIGyDywdzxhd4svtjaewR0p9Y5UBTMNMQ2PcXsqss"",""type data!E2:F""),2,FALSE),$F218)&amp;""/"",$H218)),""""))"),"DABirds/6153")</f>
        <v>DABirds/6153</v>
      </c>
      <c r="K218" s="6" t="b">
        <v>1</v>
      </c>
      <c r="L218" s="9"/>
      <c r="M218" s="9">
        <f t="shared" si="1"/>
        <v>1</v>
      </c>
    </row>
    <row r="219">
      <c r="A219" s="3" t="s">
        <v>456</v>
      </c>
      <c r="B219" s="3">
        <v>15.0</v>
      </c>
      <c r="C219" s="3">
        <v>17.0</v>
      </c>
      <c r="D219" s="4">
        <v>51.5838020973919</v>
      </c>
      <c r="E219" s="4">
        <v>-0.2173916440512</v>
      </c>
      <c r="F219" s="3" t="s">
        <v>70</v>
      </c>
      <c r="G219" s="3" t="s">
        <v>71</v>
      </c>
      <c r="H219" s="6" t="s">
        <v>406</v>
      </c>
      <c r="I219" s="6">
        <v>7563.0</v>
      </c>
      <c r="J219" s="7" t="str">
        <f>IFERROR(__xludf.DUMMYFUNCTION("IF(AND(REGEXMATCH($H219,""50( ?['fF]([oO]{2})?[tT]?)?( ?[eE][rR]{2}[oO][rR])"")=FALSE,$H219&lt;&gt;"""",$I219&lt;&gt;""""),HYPERLINK(""https://www.munzee.com/m/""&amp;$H219&amp;""/""&amp;$I219&amp;""/map/?lat=""&amp;$D219&amp;""&amp;lon=""&amp;$E219&amp;""&amp;type=""&amp;$F219&amp;""&amp;name=""&amp;SUBSTITUTE($A219,""#"&amp;""",""%23""),$H219&amp;""/""&amp;$I219),IF($H219&lt;&gt;"""",IF(REGEXMATCH($H219,""50( ?['fF]([oO]{2})?[tT]?)?( ?[eE][rR]{2}[oO][rR])""),HYPERLINK(""https://www.munzee.com/map/?sandbox=1&amp;lat=""&amp;$D219&amp;""&amp;lon=""&amp;$E219&amp;""&amp;name=""&amp;SUBSTITUTE($A219,""#"",""%23""),""SANDBOX"""&amp;"),HYPERLINK(""https://www.munzee.com/m/""&amp;$H219&amp;""/deploys/0/type/""&amp;IFNA(VLOOKUP($F219,IMPORTRANGE(""https://docs.google.com/spreadsheets/d/1DliIGyDywdzxhd4svtjaewR0p9Y5UBTMNMQ2PcXsqss"",""type data!E2:F""),2,FALSE),$F219)&amp;""/"",$H219)),""""))"),"123xilef/7563")</f>
        <v>123xilef/7563</v>
      </c>
      <c r="K219" s="6" t="b">
        <v>1</v>
      </c>
      <c r="L219" s="9"/>
      <c r="M219" s="9">
        <f t="shared" si="1"/>
        <v>2</v>
      </c>
    </row>
    <row r="220">
      <c r="A220" s="3" t="s">
        <v>457</v>
      </c>
      <c r="B220" s="3">
        <v>15.0</v>
      </c>
      <c r="C220" s="3">
        <v>18.0</v>
      </c>
      <c r="D220" s="4">
        <v>51.5838020971646</v>
      </c>
      <c r="E220" s="4">
        <v>-0.2171603316208</v>
      </c>
      <c r="F220" s="3" t="s">
        <v>81</v>
      </c>
      <c r="G220" s="3" t="s">
        <v>82</v>
      </c>
      <c r="H220" s="6" t="s">
        <v>64</v>
      </c>
      <c r="I220" s="6">
        <v>12841.0</v>
      </c>
      <c r="J220" s="7" t="str">
        <f>IFERROR(__xludf.DUMMYFUNCTION("IF(AND(REGEXMATCH($H220,""50( ?['fF]([oO]{2})?[tT]?)?( ?[eE][rR]{2}[oO][rR])"")=FALSE,$H220&lt;&gt;"""",$I220&lt;&gt;""""),HYPERLINK(""https://www.munzee.com/m/""&amp;$H220&amp;""/""&amp;$I220&amp;""/map/?lat=""&amp;$D220&amp;""&amp;lon=""&amp;$E220&amp;""&amp;type=""&amp;$F220&amp;""&amp;name=""&amp;SUBSTITUTE($A220,""#"&amp;""",""%23""),$H220&amp;""/""&amp;$I220),IF($H220&lt;&gt;"""",IF(REGEXMATCH($H220,""50( ?['fF]([oO]{2})?[tT]?)?( ?[eE][rR]{2}[oO][rR])""),HYPERLINK(""https://www.munzee.com/map/?sandbox=1&amp;lat=""&amp;$D220&amp;""&amp;lon=""&amp;$E220&amp;""&amp;name=""&amp;SUBSTITUTE($A220,""#"",""%23""),""SANDBOX"""&amp;"),HYPERLINK(""https://www.munzee.com/m/""&amp;$H220&amp;""/deploys/0/type/""&amp;IFNA(VLOOKUP($F220,IMPORTRANGE(""https://docs.google.com/spreadsheets/d/1DliIGyDywdzxhd4svtjaewR0p9Y5UBTMNMQ2PcXsqss"",""type data!E2:F""),2,FALSE),$F220)&amp;""/"",$H220)),""""))"),"nuttynan/12841")</f>
        <v>nuttynan/12841</v>
      </c>
      <c r="K220" s="6" t="b">
        <v>1</v>
      </c>
      <c r="L220" s="12" t="s">
        <v>458</v>
      </c>
      <c r="M220" s="9">
        <f t="shared" si="1"/>
        <v>2</v>
      </c>
    </row>
    <row r="221">
      <c r="A221" s="3" t="s">
        <v>459</v>
      </c>
      <c r="B221" s="3">
        <v>16.0</v>
      </c>
      <c r="C221" s="3">
        <v>4.0</v>
      </c>
      <c r="D221" s="4">
        <v>51.5836583699017</v>
      </c>
      <c r="E221" s="4">
        <v>-0.2203987224752</v>
      </c>
      <c r="F221" s="3" t="s">
        <v>62</v>
      </c>
      <c r="G221" s="3" t="s">
        <v>63</v>
      </c>
      <c r="H221" s="6" t="s">
        <v>460</v>
      </c>
      <c r="I221" s="6">
        <v>2770.0</v>
      </c>
      <c r="J221" s="7" t="str">
        <f>IFERROR(__xludf.DUMMYFUNCTION("IF(AND(REGEXMATCH($H221,""50( ?['fF]([oO]{2})?[tT]?)?( ?[eE][rR]{2}[oO][rR])"")=FALSE,$H221&lt;&gt;"""",$I221&lt;&gt;""""),HYPERLINK(""https://www.munzee.com/m/""&amp;$H221&amp;""/""&amp;$I221&amp;""/map/?lat=""&amp;$D221&amp;""&amp;lon=""&amp;$E221&amp;""&amp;type=""&amp;$F221&amp;""&amp;name=""&amp;SUBSTITUTE($A221,""#"&amp;""",""%23""),$H221&amp;""/""&amp;$I221),IF($H221&lt;&gt;"""",IF(REGEXMATCH($H221,""50( ?['fF]([oO]{2})?[tT]?)?( ?[eE][rR]{2}[oO][rR])""),HYPERLINK(""https://www.munzee.com/map/?sandbox=1&amp;lat=""&amp;$D221&amp;""&amp;lon=""&amp;$E221&amp;""&amp;name=""&amp;SUBSTITUTE($A221,""#"",""%23""),""SANDBOX"""&amp;"),HYPERLINK(""https://www.munzee.com/m/""&amp;$H221&amp;""/deploys/0/type/""&amp;IFNA(VLOOKUP($F221,IMPORTRANGE(""https://docs.google.com/spreadsheets/d/1DliIGyDywdzxhd4svtjaewR0p9Y5UBTMNMQ2PcXsqss"",""type data!E2:F""),2,FALSE),$F221)&amp;""/"",$H221)),""""))"),"volki2000/2770")</f>
        <v>volki2000/2770</v>
      </c>
      <c r="K221" s="6" t="b">
        <v>1</v>
      </c>
      <c r="L221" s="6" t="s">
        <v>461</v>
      </c>
      <c r="M221" s="9">
        <f t="shared" si="1"/>
        <v>1</v>
      </c>
    </row>
    <row r="222">
      <c r="A222" s="3" t="s">
        <v>462</v>
      </c>
      <c r="B222" s="3">
        <v>16.0</v>
      </c>
      <c r="C222" s="3">
        <v>5.0</v>
      </c>
      <c r="D222" s="4">
        <v>51.5836583696744</v>
      </c>
      <c r="E222" s="4">
        <v>-0.2201674107765</v>
      </c>
      <c r="F222" s="3" t="s">
        <v>91</v>
      </c>
      <c r="G222" s="3" t="s">
        <v>92</v>
      </c>
      <c r="H222" s="6" t="s">
        <v>463</v>
      </c>
      <c r="I222" s="6">
        <v>6470.0</v>
      </c>
      <c r="J222" s="7" t="str">
        <f>IFERROR(__xludf.DUMMYFUNCTION("IF(AND(REGEXMATCH($H222,""50( ?['fF]([oO]{2})?[tT]?)?( ?[eE][rR]{2}[oO][rR])"")=FALSE,$H222&lt;&gt;"""",$I222&lt;&gt;""""),HYPERLINK(""https://www.munzee.com/m/""&amp;$H222&amp;""/""&amp;$I222&amp;""/map/?lat=""&amp;$D222&amp;""&amp;lon=""&amp;$E222&amp;""&amp;type=""&amp;$F222&amp;""&amp;name=""&amp;SUBSTITUTE($A222,""#"&amp;""",""%23""),$H222&amp;""/""&amp;$I222),IF($H222&lt;&gt;"""",IF(REGEXMATCH($H222,""50( ?['fF]([oO]{2})?[tT]?)?( ?[eE][rR]{2}[oO][rR])""),HYPERLINK(""https://www.munzee.com/map/?sandbox=1&amp;lat=""&amp;$D222&amp;""&amp;lon=""&amp;$E222&amp;""&amp;name=""&amp;SUBSTITUTE($A222,""#"",""%23""),""SANDBOX"""&amp;"),HYPERLINK(""https://www.munzee.com/m/""&amp;$H222&amp;""/deploys/0/type/""&amp;IFNA(VLOOKUP($F222,IMPORTRANGE(""https://docs.google.com/spreadsheets/d/1DliIGyDywdzxhd4svtjaewR0p9Y5UBTMNMQ2PcXsqss"",""type data!E2:F""),2,FALSE),$F222)&amp;""/"",$H222)),""""))"),"jldh/6470")</f>
        <v>jldh/6470</v>
      </c>
      <c r="K222" s="6" t="b">
        <v>1</v>
      </c>
      <c r="L222" s="9"/>
      <c r="M222" s="9">
        <f t="shared" si="1"/>
        <v>2</v>
      </c>
    </row>
    <row r="223">
      <c r="A223" s="3" t="s">
        <v>464</v>
      </c>
      <c r="B223" s="3">
        <v>16.0</v>
      </c>
      <c r="C223" s="3">
        <v>6.0</v>
      </c>
      <c r="D223" s="4">
        <v>51.583658369447</v>
      </c>
      <c r="E223" s="4">
        <v>-0.2199360990778</v>
      </c>
      <c r="F223" s="3" t="s">
        <v>70</v>
      </c>
      <c r="G223" s="3" t="s">
        <v>71</v>
      </c>
      <c r="H223" s="6" t="s">
        <v>465</v>
      </c>
      <c r="I223" s="6">
        <v>12246.0</v>
      </c>
      <c r="J223" s="7" t="str">
        <f>IFERROR(__xludf.DUMMYFUNCTION("IF(AND(REGEXMATCH($H223,""50( ?['fF]([oO]{2})?[tT]?)?( ?[eE][rR]{2}[oO][rR])"")=FALSE,$H223&lt;&gt;"""",$I223&lt;&gt;""""),HYPERLINK(""https://www.munzee.com/m/""&amp;$H223&amp;""/""&amp;$I223&amp;""/map/?lat=""&amp;$D223&amp;""&amp;lon=""&amp;$E223&amp;""&amp;type=""&amp;$F223&amp;""&amp;name=""&amp;SUBSTITUTE($A223,""#"&amp;""",""%23""),$H223&amp;""/""&amp;$I223),IF($H223&lt;&gt;"""",IF(REGEXMATCH($H223,""50( ?['fF]([oO]{2})?[tT]?)?( ?[eE][rR]{2}[oO][rR])""),HYPERLINK(""https://www.munzee.com/map/?sandbox=1&amp;lat=""&amp;$D223&amp;""&amp;lon=""&amp;$E223&amp;""&amp;name=""&amp;SUBSTITUTE($A223,""#"",""%23""),""SANDBOX"""&amp;"),HYPERLINK(""https://www.munzee.com/m/""&amp;$H223&amp;""/deploys/0/type/""&amp;IFNA(VLOOKUP($F223,IMPORTRANGE(""https://docs.google.com/spreadsheets/d/1DliIGyDywdzxhd4svtjaewR0p9Y5UBTMNMQ2PcXsqss"",""type data!E2:F""),2,FALSE),$F223)&amp;""/"",$H223)),""""))"),"wemissmo/12246")</f>
        <v>wemissmo/12246</v>
      </c>
      <c r="K223" s="6" t="b">
        <v>1</v>
      </c>
      <c r="L223" s="9"/>
      <c r="M223" s="9">
        <f t="shared" si="1"/>
        <v>1</v>
      </c>
    </row>
    <row r="224">
      <c r="A224" s="3" t="s">
        <v>466</v>
      </c>
      <c r="B224" s="3">
        <v>16.0</v>
      </c>
      <c r="C224" s="3">
        <v>7.0</v>
      </c>
      <c r="D224" s="4">
        <v>51.5836583692197</v>
      </c>
      <c r="E224" s="4">
        <v>-0.2197047873791</v>
      </c>
      <c r="F224" s="3" t="s">
        <v>122</v>
      </c>
      <c r="G224" s="3" t="s">
        <v>123</v>
      </c>
      <c r="H224" s="6" t="s">
        <v>179</v>
      </c>
      <c r="I224" s="6">
        <v>25473.0</v>
      </c>
      <c r="J224" s="7" t="str">
        <f>IFERROR(__xludf.DUMMYFUNCTION("IF(AND(REGEXMATCH($H224,""50( ?['fF]([oO]{2})?[tT]?)?( ?[eE][rR]{2}[oO][rR])"")=FALSE,$H224&lt;&gt;"""",$I224&lt;&gt;""""),HYPERLINK(""https://www.munzee.com/m/""&amp;$H224&amp;""/""&amp;$I224&amp;""/map/?lat=""&amp;$D224&amp;""&amp;lon=""&amp;$E224&amp;""&amp;type=""&amp;$F224&amp;""&amp;name=""&amp;SUBSTITUTE($A224,""#"&amp;""",""%23""),$H224&amp;""/""&amp;$I224),IF($H224&lt;&gt;"""",IF(REGEXMATCH($H224,""50( ?['fF]([oO]{2})?[tT]?)?( ?[eE][rR]{2}[oO][rR])""),HYPERLINK(""https://www.munzee.com/map/?sandbox=1&amp;lat=""&amp;$D224&amp;""&amp;lon=""&amp;$E224&amp;""&amp;name=""&amp;SUBSTITUTE($A224,""#"",""%23""),""SANDBOX"""&amp;"),HYPERLINK(""https://www.munzee.com/m/""&amp;$H224&amp;""/deploys/0/type/""&amp;IFNA(VLOOKUP($F224,IMPORTRANGE(""https://docs.google.com/spreadsheets/d/1DliIGyDywdzxhd4svtjaewR0p9Y5UBTMNMQ2PcXsqss"",""type data!E2:F""),2,FALSE),$F224)&amp;""/"",$H224)),""""))"),"WanderingAus/25473")</f>
        <v>WanderingAus/25473</v>
      </c>
      <c r="K224" s="6" t="b">
        <v>1</v>
      </c>
      <c r="L224" s="9"/>
      <c r="M224" s="9">
        <f t="shared" si="1"/>
        <v>10</v>
      </c>
    </row>
    <row r="225">
      <c r="A225" s="3" t="s">
        <v>467</v>
      </c>
      <c r="B225" s="3">
        <v>16.0</v>
      </c>
      <c r="C225" s="3">
        <v>8.0</v>
      </c>
      <c r="D225" s="4">
        <v>51.5836583689924</v>
      </c>
      <c r="E225" s="4">
        <v>-0.2194734756804</v>
      </c>
      <c r="F225" s="3" t="s">
        <v>140</v>
      </c>
      <c r="G225" s="3" t="s">
        <v>141</v>
      </c>
      <c r="H225" s="6" t="s">
        <v>468</v>
      </c>
      <c r="I225" s="6">
        <v>7301.0</v>
      </c>
      <c r="J225" s="7" t="str">
        <f>IFERROR(__xludf.DUMMYFUNCTION("IF(AND(REGEXMATCH($H225,""50( ?['fF]([oO]{2})?[tT]?)?( ?[eE][rR]{2}[oO][rR])"")=FALSE,$H225&lt;&gt;"""",$I225&lt;&gt;""""),HYPERLINK(""https://www.munzee.com/m/""&amp;$H225&amp;""/""&amp;$I225&amp;""/map/?lat=""&amp;$D225&amp;""&amp;lon=""&amp;$E225&amp;""&amp;type=""&amp;$F225&amp;""&amp;name=""&amp;SUBSTITUTE($A225,""#"&amp;""",""%23""),$H225&amp;""/""&amp;$I225),IF($H225&lt;&gt;"""",IF(REGEXMATCH($H225,""50( ?['fF]([oO]{2})?[tT]?)?( ?[eE][rR]{2}[oO][rR])""),HYPERLINK(""https://www.munzee.com/map/?sandbox=1&amp;lat=""&amp;$D225&amp;""&amp;lon=""&amp;$E225&amp;""&amp;name=""&amp;SUBSTITUTE($A225,""#"",""%23""),""SANDBOX"""&amp;"),HYPERLINK(""https://www.munzee.com/m/""&amp;$H225&amp;""/deploys/0/type/""&amp;IFNA(VLOOKUP($F225,IMPORTRANGE(""https://docs.google.com/spreadsheets/d/1DliIGyDywdzxhd4svtjaewR0p9Y5UBTMNMQ2PcXsqss"",""type data!E2:F""),2,FALSE),$F225)&amp;""/"",$H225)),""""))"),"Chivasloyal/7301")</f>
        <v>Chivasloyal/7301</v>
      </c>
      <c r="K225" s="6" t="b">
        <v>1</v>
      </c>
      <c r="L225" s="9"/>
      <c r="M225" s="9">
        <f t="shared" si="1"/>
        <v>1</v>
      </c>
    </row>
    <row r="226">
      <c r="A226" s="3" t="s">
        <v>469</v>
      </c>
      <c r="B226" s="3">
        <v>16.0</v>
      </c>
      <c r="C226" s="3">
        <v>9.0</v>
      </c>
      <c r="D226" s="4">
        <v>51.583658368765</v>
      </c>
      <c r="E226" s="4">
        <v>-0.2192421639817</v>
      </c>
      <c r="F226" s="3" t="s">
        <v>29</v>
      </c>
      <c r="G226" s="3" t="s">
        <v>30</v>
      </c>
      <c r="H226" s="6" t="s">
        <v>470</v>
      </c>
      <c r="I226" s="6">
        <v>36623.0</v>
      </c>
      <c r="J226" s="7" t="str">
        <f>IFERROR(__xludf.DUMMYFUNCTION("IF(AND(REGEXMATCH($H226,""50( ?['fF]([oO]{2})?[tT]?)?( ?[eE][rR]{2}[oO][rR])"")=FALSE,$H226&lt;&gt;"""",$I226&lt;&gt;""""),HYPERLINK(""https://www.munzee.com/m/""&amp;$H226&amp;""/""&amp;$I226&amp;""/map/?lat=""&amp;$D226&amp;""&amp;lon=""&amp;$E226&amp;""&amp;type=""&amp;$F226&amp;""&amp;name=""&amp;SUBSTITUTE($A226,""#"&amp;""",""%23""),$H226&amp;""/""&amp;$I226),IF($H226&lt;&gt;"""",IF(REGEXMATCH($H226,""50( ?['fF]([oO]{2})?[tT]?)?( ?[eE][rR]{2}[oO][rR])""),HYPERLINK(""https://www.munzee.com/map/?sandbox=1&amp;lat=""&amp;$D226&amp;""&amp;lon=""&amp;$E226&amp;""&amp;name=""&amp;SUBSTITUTE($A226,""#"",""%23""),""SANDBOX"""&amp;"),HYPERLINK(""https://www.munzee.com/m/""&amp;$H226&amp;""/deploys/0/type/""&amp;IFNA(VLOOKUP($F226,IMPORTRANGE(""https://docs.google.com/spreadsheets/d/1DliIGyDywdzxhd4svtjaewR0p9Y5UBTMNMQ2PcXsqss"",""type data!E2:F""),2,FALSE),$F226)&amp;""/"",$H226)),""""))"),"jafo43/36623")</f>
        <v>jafo43/36623</v>
      </c>
      <c r="K226" s="6" t="b">
        <v>1</v>
      </c>
      <c r="L226" s="9"/>
      <c r="M226" s="9">
        <f t="shared" si="1"/>
        <v>1</v>
      </c>
    </row>
    <row r="227">
      <c r="A227" s="3" t="s">
        <v>471</v>
      </c>
      <c r="B227" s="3">
        <v>16.0</v>
      </c>
      <c r="C227" s="3">
        <v>10.0</v>
      </c>
      <c r="D227" s="4">
        <v>51.5836583685377</v>
      </c>
      <c r="E227" s="4">
        <v>-0.219010852283</v>
      </c>
      <c r="F227" s="3" t="s">
        <v>132</v>
      </c>
      <c r="G227" s="3" t="s">
        <v>133</v>
      </c>
      <c r="H227" s="6" t="s">
        <v>472</v>
      </c>
      <c r="I227" s="6">
        <v>5471.0</v>
      </c>
      <c r="J227" s="7" t="str">
        <f>IFERROR(__xludf.DUMMYFUNCTION("IF(AND(REGEXMATCH($H227,""50( ?['fF]([oO]{2})?[tT]?)?( ?[eE][rR]{2}[oO][rR])"")=FALSE,$H227&lt;&gt;"""",$I227&lt;&gt;""""),HYPERLINK(""https://www.munzee.com/m/""&amp;$H227&amp;""/""&amp;$I227&amp;""/map/?lat=""&amp;$D227&amp;""&amp;lon=""&amp;$E227&amp;""&amp;type=""&amp;$F227&amp;""&amp;name=""&amp;SUBSTITUTE($A227,""#"&amp;""",""%23""),$H227&amp;""/""&amp;$I227),IF($H227&lt;&gt;"""",IF(REGEXMATCH($H227,""50( ?['fF]([oO]{2})?[tT]?)?( ?[eE][rR]{2}[oO][rR])""),HYPERLINK(""https://www.munzee.com/map/?sandbox=1&amp;lat=""&amp;$D227&amp;""&amp;lon=""&amp;$E227&amp;""&amp;name=""&amp;SUBSTITUTE($A227,""#"",""%23""),""SANDBOX"""&amp;"),HYPERLINK(""https://www.munzee.com/m/""&amp;$H227&amp;""/deploys/0/type/""&amp;IFNA(VLOOKUP($F227,IMPORTRANGE(""https://docs.google.com/spreadsheets/d/1DliIGyDywdzxhd4svtjaewR0p9Y5UBTMNMQ2PcXsqss"",""type data!E2:F""),2,FALSE),$F227)&amp;""/"",$H227)),""""))"),"lison55/5471")</f>
        <v>lison55/5471</v>
      </c>
      <c r="K227" s="6" t="b">
        <v>1</v>
      </c>
      <c r="L227" s="9"/>
      <c r="M227" s="9">
        <f t="shared" si="1"/>
        <v>1</v>
      </c>
    </row>
    <row r="228">
      <c r="A228" s="3" t="s">
        <v>473</v>
      </c>
      <c r="B228" s="3">
        <v>16.0</v>
      </c>
      <c r="C228" s="3">
        <v>11.0</v>
      </c>
      <c r="D228" s="4">
        <v>51.5836583683104</v>
      </c>
      <c r="E228" s="4">
        <v>-0.2187795405843</v>
      </c>
      <c r="F228" s="3" t="s">
        <v>132</v>
      </c>
      <c r="G228" s="3" t="s">
        <v>133</v>
      </c>
      <c r="H228" s="6" t="s">
        <v>474</v>
      </c>
      <c r="I228" s="6">
        <v>6312.0</v>
      </c>
      <c r="J228" s="7" t="str">
        <f>IFERROR(__xludf.DUMMYFUNCTION("IF(AND(REGEXMATCH($H228,""50( ?['fF]([oO]{2})?[tT]?)?( ?[eE][rR]{2}[oO][rR])"")=FALSE,$H228&lt;&gt;"""",$I228&lt;&gt;""""),HYPERLINK(""https://www.munzee.com/m/""&amp;$H228&amp;""/""&amp;$I228&amp;""/map/?lat=""&amp;$D228&amp;""&amp;lon=""&amp;$E228&amp;""&amp;type=""&amp;$F228&amp;""&amp;name=""&amp;SUBSTITUTE($A228,""#"&amp;""",""%23""),$H228&amp;""/""&amp;$I228),IF($H228&lt;&gt;"""",IF(REGEXMATCH($H228,""50( ?['fF]([oO]{2})?[tT]?)?( ?[eE][rR]{2}[oO][rR])""),HYPERLINK(""https://www.munzee.com/map/?sandbox=1&amp;lat=""&amp;$D228&amp;""&amp;lon=""&amp;$E228&amp;""&amp;name=""&amp;SUBSTITUTE($A228,""#"",""%23""),""SANDBOX"""&amp;"),HYPERLINK(""https://www.munzee.com/m/""&amp;$H228&amp;""/deploys/0/type/""&amp;IFNA(VLOOKUP($F228,IMPORTRANGE(""https://docs.google.com/spreadsheets/d/1DliIGyDywdzxhd4svtjaewR0p9Y5UBTMNMQ2PcXsqss"",""type data!E2:F""),2,FALSE),$F228)&amp;""/"",$H228)),""""))"),"taska1981/6312")</f>
        <v>taska1981/6312</v>
      </c>
      <c r="K228" s="6" t="b">
        <v>1</v>
      </c>
      <c r="L228" s="9"/>
      <c r="M228" s="9">
        <f t="shared" si="1"/>
        <v>1</v>
      </c>
    </row>
    <row r="229">
      <c r="A229" s="3" t="s">
        <v>475</v>
      </c>
      <c r="B229" s="3">
        <v>16.0</v>
      </c>
      <c r="C229" s="3">
        <v>12.0</v>
      </c>
      <c r="D229" s="4">
        <v>51.5836583680831</v>
      </c>
      <c r="E229" s="4">
        <v>-0.2185482288855</v>
      </c>
      <c r="F229" s="3" t="s">
        <v>132</v>
      </c>
      <c r="G229" s="3" t="s">
        <v>133</v>
      </c>
      <c r="H229" s="6" t="s">
        <v>179</v>
      </c>
      <c r="I229" s="6">
        <v>23354.0</v>
      </c>
      <c r="J229" s="7" t="str">
        <f>IFERROR(__xludf.DUMMYFUNCTION("IF(AND(REGEXMATCH($H229,""50( ?['fF]([oO]{2})?[tT]?)?( ?[eE][rR]{2}[oO][rR])"")=FALSE,$H229&lt;&gt;"""",$I229&lt;&gt;""""),HYPERLINK(""https://www.munzee.com/m/""&amp;$H229&amp;""/""&amp;$I229&amp;""/map/?lat=""&amp;$D229&amp;""&amp;lon=""&amp;$E229&amp;""&amp;type=""&amp;$F229&amp;""&amp;name=""&amp;SUBSTITUTE($A229,""#"&amp;""",""%23""),$H229&amp;""/""&amp;$I229),IF($H229&lt;&gt;"""",IF(REGEXMATCH($H229,""50( ?['fF]([oO]{2})?[tT]?)?( ?[eE][rR]{2}[oO][rR])""),HYPERLINK(""https://www.munzee.com/map/?sandbox=1&amp;lat=""&amp;$D229&amp;""&amp;lon=""&amp;$E229&amp;""&amp;name=""&amp;SUBSTITUTE($A229,""#"",""%23""),""SANDBOX"""&amp;"),HYPERLINK(""https://www.munzee.com/m/""&amp;$H229&amp;""/deploys/0/type/""&amp;IFNA(VLOOKUP($F229,IMPORTRANGE(""https://docs.google.com/spreadsheets/d/1DliIGyDywdzxhd4svtjaewR0p9Y5UBTMNMQ2PcXsqss"",""type data!E2:F""),2,FALSE),$F229)&amp;""/"",$H229)),""""))"),"WanderingAus/23354")</f>
        <v>WanderingAus/23354</v>
      </c>
      <c r="K229" s="6" t="b">
        <v>1</v>
      </c>
      <c r="L229" s="9"/>
      <c r="M229" s="9">
        <f t="shared" si="1"/>
        <v>10</v>
      </c>
    </row>
    <row r="230">
      <c r="A230" s="3" t="s">
        <v>476</v>
      </c>
      <c r="B230" s="3">
        <v>16.0</v>
      </c>
      <c r="C230" s="3">
        <v>13.0</v>
      </c>
      <c r="D230" s="4">
        <v>51.5836583678557</v>
      </c>
      <c r="E230" s="4">
        <v>-0.2183169171868</v>
      </c>
      <c r="F230" s="3" t="s">
        <v>29</v>
      </c>
      <c r="G230" s="3" t="s">
        <v>30</v>
      </c>
      <c r="H230" s="6" t="s">
        <v>223</v>
      </c>
      <c r="I230" s="6">
        <v>1598.0</v>
      </c>
      <c r="J230" s="7" t="str">
        <f>IFERROR(__xludf.DUMMYFUNCTION("IF(AND(REGEXMATCH($H230,""50( ?['fF]([oO]{2})?[tT]?)?( ?[eE][rR]{2}[oO][rR])"")=FALSE,$H230&lt;&gt;"""",$I230&lt;&gt;""""),HYPERLINK(""https://www.munzee.com/m/""&amp;$H230&amp;""/""&amp;$I230&amp;""/map/?lat=""&amp;$D230&amp;""&amp;lon=""&amp;$E230&amp;""&amp;type=""&amp;$F230&amp;""&amp;name=""&amp;SUBSTITUTE($A230,""#"&amp;""",""%23""),$H230&amp;""/""&amp;$I230),IF($H230&lt;&gt;"""",IF(REGEXMATCH($H230,""50( ?['fF]([oO]{2})?[tT]?)?( ?[eE][rR]{2}[oO][rR])""),HYPERLINK(""https://www.munzee.com/map/?sandbox=1&amp;lat=""&amp;$D230&amp;""&amp;lon=""&amp;$E230&amp;""&amp;name=""&amp;SUBSTITUTE($A230,""#"",""%23""),""SANDBOX"""&amp;"),HYPERLINK(""https://www.munzee.com/m/""&amp;$H230&amp;""/deploys/0/type/""&amp;IFNA(VLOOKUP($F230,IMPORTRANGE(""https://docs.google.com/spreadsheets/d/1DliIGyDywdzxhd4svtjaewR0p9Y5UBTMNMQ2PcXsqss"",""type data!E2:F""),2,FALSE),$F230)&amp;""/"",$H230)),""""))"),"ashthegeogenius/1598")</f>
        <v>ashthegeogenius/1598</v>
      </c>
      <c r="K230" s="6" t="b">
        <v>1</v>
      </c>
      <c r="L230" s="9"/>
      <c r="M230" s="9">
        <f t="shared" si="1"/>
        <v>1</v>
      </c>
    </row>
    <row r="231">
      <c r="A231" s="3" t="s">
        <v>477</v>
      </c>
      <c r="B231" s="3">
        <v>16.0</v>
      </c>
      <c r="C231" s="3">
        <v>14.0</v>
      </c>
      <c r="D231" s="4">
        <v>51.5836583676284</v>
      </c>
      <c r="E231" s="4">
        <v>-0.2180856054881</v>
      </c>
      <c r="F231" s="3" t="s">
        <v>126</v>
      </c>
      <c r="G231" s="3" t="s">
        <v>127</v>
      </c>
      <c r="H231" s="6" t="s">
        <v>478</v>
      </c>
      <c r="I231" s="6">
        <v>4320.0</v>
      </c>
      <c r="J231" s="7" t="str">
        <f>IFERROR(__xludf.DUMMYFUNCTION("IF(AND(REGEXMATCH($H231,""50( ?['fF]([oO]{2})?[tT]?)?( ?[eE][rR]{2}[oO][rR])"")=FALSE,$H231&lt;&gt;"""",$I231&lt;&gt;""""),HYPERLINK(""https://www.munzee.com/m/""&amp;$H231&amp;""/""&amp;$I231&amp;""/map/?lat=""&amp;$D231&amp;""&amp;lon=""&amp;$E231&amp;""&amp;type=""&amp;$F231&amp;""&amp;name=""&amp;SUBSTITUTE($A231,""#"&amp;""",""%23""),$H231&amp;""/""&amp;$I231),IF($H231&lt;&gt;"""",IF(REGEXMATCH($H231,""50( ?['fF]([oO]{2})?[tT]?)?( ?[eE][rR]{2}[oO][rR])""),HYPERLINK(""https://www.munzee.com/map/?sandbox=1&amp;lat=""&amp;$D231&amp;""&amp;lon=""&amp;$E231&amp;""&amp;name=""&amp;SUBSTITUTE($A231,""#"",""%23""),""SANDBOX"""&amp;"),HYPERLINK(""https://www.munzee.com/m/""&amp;$H231&amp;""/deploys/0/type/""&amp;IFNA(VLOOKUP($F231,IMPORTRANGE(""https://docs.google.com/spreadsheets/d/1DliIGyDywdzxhd4svtjaewR0p9Y5UBTMNMQ2PcXsqss"",""type data!E2:F""),2,FALSE),$F231)&amp;""/"",$H231)),""""))"),"kwilhelm001/4320")</f>
        <v>kwilhelm001/4320</v>
      </c>
      <c r="K231" s="6" t="b">
        <v>1</v>
      </c>
      <c r="L231" s="9"/>
      <c r="M231" s="9">
        <f t="shared" si="1"/>
        <v>1</v>
      </c>
    </row>
    <row r="232">
      <c r="A232" s="3" t="s">
        <v>479</v>
      </c>
      <c r="B232" s="3">
        <v>16.0</v>
      </c>
      <c r="C232" s="3">
        <v>15.0</v>
      </c>
      <c r="D232" s="4">
        <v>51.5836583674011</v>
      </c>
      <c r="E232" s="4">
        <v>-0.2178542937894</v>
      </c>
      <c r="F232" s="3" t="s">
        <v>122</v>
      </c>
      <c r="G232" s="3" t="s">
        <v>123</v>
      </c>
      <c r="H232" s="6" t="s">
        <v>438</v>
      </c>
      <c r="I232" s="6">
        <v>10845.0</v>
      </c>
      <c r="J232" s="7" t="str">
        <f>IFERROR(__xludf.DUMMYFUNCTION("IF(AND(REGEXMATCH($H232,""50( ?['fF]([oO]{2})?[tT]?)?( ?[eE][rR]{2}[oO][rR])"")=FALSE,$H232&lt;&gt;"""",$I232&lt;&gt;""""),HYPERLINK(""https://www.munzee.com/m/""&amp;$H232&amp;""/""&amp;$I232&amp;""/map/?lat=""&amp;$D232&amp;""&amp;lon=""&amp;$E232&amp;""&amp;type=""&amp;$F232&amp;""&amp;name=""&amp;SUBSTITUTE($A232,""#"&amp;""",""%23""),$H232&amp;""/""&amp;$I232),IF($H232&lt;&gt;"""",IF(REGEXMATCH($H232,""50( ?['fF]([oO]{2})?[tT]?)?( ?[eE][rR]{2}[oO][rR])""),HYPERLINK(""https://www.munzee.com/map/?sandbox=1&amp;lat=""&amp;$D232&amp;""&amp;lon=""&amp;$E232&amp;""&amp;name=""&amp;SUBSTITUTE($A232,""#"",""%23""),""SANDBOX"""&amp;"),HYPERLINK(""https://www.munzee.com/m/""&amp;$H232&amp;""/deploys/0/type/""&amp;IFNA(VLOOKUP($F232,IMPORTRANGE(""https://docs.google.com/spreadsheets/d/1DliIGyDywdzxhd4svtjaewR0p9Y5UBTMNMQ2PcXsqss"",""type data!E2:F""),2,FALSE),$F232)&amp;""/"",$H232)),""""))"),"Nierenstein/10845")</f>
        <v>Nierenstein/10845</v>
      </c>
      <c r="K232" s="6" t="b">
        <v>1</v>
      </c>
      <c r="L232" s="9"/>
      <c r="M232" s="9">
        <f t="shared" si="1"/>
        <v>2</v>
      </c>
    </row>
    <row r="233">
      <c r="A233" s="3" t="s">
        <v>480</v>
      </c>
      <c r="B233" s="3">
        <v>16.0</v>
      </c>
      <c r="C233" s="3">
        <v>16.0</v>
      </c>
      <c r="D233" s="4">
        <v>51.5836583671737</v>
      </c>
      <c r="E233" s="4">
        <v>-0.2176229820907</v>
      </c>
      <c r="F233" s="3" t="s">
        <v>70</v>
      </c>
      <c r="G233" s="3" t="s">
        <v>71</v>
      </c>
      <c r="H233" s="6" t="s">
        <v>397</v>
      </c>
      <c r="I233" s="6">
        <v>1190.0</v>
      </c>
      <c r="J233" s="7" t="str">
        <f>IFERROR(__xludf.DUMMYFUNCTION("IF(AND(REGEXMATCH($H233,""50( ?['fF]([oO]{2})?[tT]?)?( ?[eE][rR]{2}[oO][rR])"")=FALSE,$H233&lt;&gt;"""",$I233&lt;&gt;""""),HYPERLINK(""https://www.munzee.com/m/""&amp;$H233&amp;""/""&amp;$I233&amp;""/map/?lat=""&amp;$D233&amp;""&amp;lon=""&amp;$E233&amp;""&amp;type=""&amp;$F233&amp;""&amp;name=""&amp;SUBSTITUTE($A233,""#"&amp;""",""%23""),$H233&amp;""/""&amp;$I233),IF($H233&lt;&gt;"""",IF(REGEXMATCH($H233,""50( ?['fF]([oO]{2})?[tT]?)?( ?[eE][rR]{2}[oO][rR])""),HYPERLINK(""https://www.munzee.com/map/?sandbox=1&amp;lat=""&amp;$D233&amp;""&amp;lon=""&amp;$E233&amp;""&amp;name=""&amp;SUBSTITUTE($A233,""#"",""%23""),""SANDBOX"""&amp;"),HYPERLINK(""https://www.munzee.com/m/""&amp;$H233&amp;""/deploys/0/type/""&amp;IFNA(VLOOKUP($F233,IMPORTRANGE(""https://docs.google.com/spreadsheets/d/1DliIGyDywdzxhd4svtjaewR0p9Y5UBTMNMQ2PcXsqss"",""type data!E2:F""),2,FALSE),$F233)&amp;""/"",$H233)),""""))"),"lnlevy01/1190")</f>
        <v>lnlevy01/1190</v>
      </c>
      <c r="K233" s="6" t="b">
        <v>1</v>
      </c>
      <c r="L233" s="6"/>
      <c r="M233" s="9">
        <f t="shared" si="1"/>
        <v>2</v>
      </c>
    </row>
    <row r="234">
      <c r="A234" s="3" t="s">
        <v>481</v>
      </c>
      <c r="B234" s="3">
        <v>16.0</v>
      </c>
      <c r="C234" s="3">
        <v>17.0</v>
      </c>
      <c r="D234" s="4">
        <v>51.5836583669464</v>
      </c>
      <c r="E234" s="4">
        <v>-0.217391670392</v>
      </c>
      <c r="F234" s="3" t="s">
        <v>91</v>
      </c>
      <c r="G234" s="3" t="s">
        <v>92</v>
      </c>
      <c r="H234" s="6" t="s">
        <v>104</v>
      </c>
      <c r="I234" s="6">
        <v>8094.0</v>
      </c>
      <c r="J234" s="7" t="str">
        <f>IFERROR(__xludf.DUMMYFUNCTION("IF(AND(REGEXMATCH($H234,""50( ?['fF]([oO]{2})?[tT]?)?( ?[eE][rR]{2}[oO][rR])"")=FALSE,$H234&lt;&gt;"""",$I234&lt;&gt;""""),HYPERLINK(""https://www.munzee.com/m/""&amp;$H234&amp;""/""&amp;$I234&amp;""/map/?lat=""&amp;$D234&amp;""&amp;lon=""&amp;$E234&amp;""&amp;type=""&amp;$F234&amp;""&amp;name=""&amp;SUBSTITUTE($A234,""#"&amp;""",""%23""),$H234&amp;""/""&amp;$I234),IF($H234&lt;&gt;"""",IF(REGEXMATCH($H234,""50( ?['fF]([oO]{2})?[tT]?)?( ?[eE][rR]{2}[oO][rR])""),HYPERLINK(""https://www.munzee.com/map/?sandbox=1&amp;lat=""&amp;$D234&amp;""&amp;lon=""&amp;$E234&amp;""&amp;name=""&amp;SUBSTITUTE($A234,""#"",""%23""),""SANDBOX"""&amp;"),HYPERLINK(""https://www.munzee.com/m/""&amp;$H234&amp;""/deploys/0/type/""&amp;IFNA(VLOOKUP($F234,IMPORTRANGE(""https://docs.google.com/spreadsheets/d/1DliIGyDywdzxhd4svtjaewR0p9Y5UBTMNMQ2PcXsqss"",""type data!E2:F""),2,FALSE),$F234)&amp;""/"",$H234)),""""))"),"lanyasummer/8094")</f>
        <v>lanyasummer/8094</v>
      </c>
      <c r="K234" s="6" t="b">
        <v>1</v>
      </c>
      <c r="L234" s="9"/>
      <c r="M234" s="9">
        <f t="shared" si="1"/>
        <v>2</v>
      </c>
    </row>
    <row r="235">
      <c r="A235" s="3" t="s">
        <v>482</v>
      </c>
      <c r="B235" s="3">
        <v>16.0</v>
      </c>
      <c r="C235" s="3">
        <v>18.0</v>
      </c>
      <c r="D235" s="4">
        <v>51.5836583667191</v>
      </c>
      <c r="E235" s="4">
        <v>-0.2171603586933</v>
      </c>
      <c r="F235" s="3" t="s">
        <v>81</v>
      </c>
      <c r="G235" s="3" t="s">
        <v>82</v>
      </c>
      <c r="H235" s="6" t="s">
        <v>483</v>
      </c>
      <c r="I235" s="6">
        <v>1988.0</v>
      </c>
      <c r="J235" s="7" t="str">
        <f>IFERROR(__xludf.DUMMYFUNCTION("IF(AND(REGEXMATCH($H235,""50( ?['fF]([oO]{2})?[tT]?)?( ?[eE][rR]{2}[oO][rR])"")=FALSE,$H235&lt;&gt;"""",$I235&lt;&gt;""""),HYPERLINK(""https://www.munzee.com/m/""&amp;$H235&amp;""/""&amp;$I235&amp;""/map/?lat=""&amp;$D235&amp;""&amp;lon=""&amp;$E235&amp;""&amp;type=""&amp;$F235&amp;""&amp;name=""&amp;SUBSTITUTE($A235,""#"&amp;""",""%23""),$H235&amp;""/""&amp;$I235),IF($H235&lt;&gt;"""",IF(REGEXMATCH($H235,""50( ?['fF]([oO]{2})?[tT]?)?( ?[eE][rR]{2}[oO][rR])""),HYPERLINK(""https://www.munzee.com/map/?sandbox=1&amp;lat=""&amp;$D235&amp;""&amp;lon=""&amp;$E235&amp;""&amp;name=""&amp;SUBSTITUTE($A235,""#"",""%23""),""SANDBOX"""&amp;"),HYPERLINK(""https://www.munzee.com/m/""&amp;$H235&amp;""/deploys/0/type/""&amp;IFNA(VLOOKUP($F235,IMPORTRANGE(""https://docs.google.com/spreadsheets/d/1DliIGyDywdzxhd4svtjaewR0p9Y5UBTMNMQ2PcXsqss"",""type data!E2:F""),2,FALSE),$F235)&amp;""/"",$H235)),""""))"),"destolkjes4ever/1988")</f>
        <v>destolkjes4ever/1988</v>
      </c>
      <c r="K235" s="6" t="b">
        <v>1</v>
      </c>
      <c r="L235" s="9"/>
      <c r="M235" s="9">
        <f t="shared" si="1"/>
        <v>1</v>
      </c>
    </row>
    <row r="236">
      <c r="A236" s="3" t="s">
        <v>484</v>
      </c>
      <c r="B236" s="3">
        <v>17.0</v>
      </c>
      <c r="C236" s="3">
        <v>5.0</v>
      </c>
      <c r="D236" s="4">
        <v>51.583514639229</v>
      </c>
      <c r="E236" s="4">
        <v>-0.220167428337</v>
      </c>
      <c r="F236" s="3" t="s">
        <v>25</v>
      </c>
      <c r="G236" s="3" t="s">
        <v>26</v>
      </c>
      <c r="H236" s="6" t="s">
        <v>485</v>
      </c>
      <c r="I236" s="6">
        <v>1147.0</v>
      </c>
      <c r="J236" s="7" t="str">
        <f>IFERROR(__xludf.DUMMYFUNCTION("IF(AND(REGEXMATCH($H236,""50( ?['fF]([oO]{2})?[tT]?)?( ?[eE][rR]{2}[oO][rR])"")=FALSE,$H236&lt;&gt;"""",$I236&lt;&gt;""""),HYPERLINK(""https://www.munzee.com/m/""&amp;$H236&amp;""/""&amp;$I236&amp;""/map/?lat=""&amp;$D236&amp;""&amp;lon=""&amp;$E236&amp;""&amp;type=""&amp;$F236&amp;""&amp;name=""&amp;SUBSTITUTE($A236,""#"&amp;""",""%23""),$H236&amp;""/""&amp;$I236),IF($H236&lt;&gt;"""",IF(REGEXMATCH($H236,""50( ?['fF]([oO]{2})?[tT]?)?( ?[eE][rR]{2}[oO][rR])""),HYPERLINK(""https://www.munzee.com/map/?sandbox=1&amp;lat=""&amp;$D236&amp;""&amp;lon=""&amp;$E236&amp;""&amp;name=""&amp;SUBSTITUTE($A236,""#"",""%23""),""SANDBOX"""&amp;"),HYPERLINK(""https://www.munzee.com/m/""&amp;$H236&amp;""/deploys/0/type/""&amp;IFNA(VLOOKUP($F236,IMPORTRANGE(""https://docs.google.com/spreadsheets/d/1DliIGyDywdzxhd4svtjaewR0p9Y5UBTMNMQ2PcXsqss"",""type data!E2:F""),2,FALSE),$F236)&amp;""/"",$H236)),""""))"),"SillyMooseMama/1147")</f>
        <v>SillyMooseMama/1147</v>
      </c>
      <c r="K236" s="6" t="b">
        <v>1</v>
      </c>
      <c r="L236" s="9"/>
      <c r="M236" s="9">
        <f t="shared" si="1"/>
        <v>1</v>
      </c>
    </row>
    <row r="237">
      <c r="A237" s="3" t="s">
        <v>486</v>
      </c>
      <c r="B237" s="3">
        <v>17.0</v>
      </c>
      <c r="C237" s="3">
        <v>6.0</v>
      </c>
      <c r="D237" s="4">
        <v>51.5835146390016</v>
      </c>
      <c r="E237" s="4">
        <v>-0.21993611737</v>
      </c>
      <c r="F237" s="3" t="s">
        <v>91</v>
      </c>
      <c r="G237" s="3" t="s">
        <v>92</v>
      </c>
      <c r="H237" s="6" t="s">
        <v>106</v>
      </c>
      <c r="I237" s="6">
        <v>4275.0</v>
      </c>
      <c r="J237" s="7" t="str">
        <f>IFERROR(__xludf.DUMMYFUNCTION("IF(AND(REGEXMATCH($H237,""50( ?['fF]([oO]{2})?[tT]?)?( ?[eE][rR]{2}[oO][rR])"")=FALSE,$H237&lt;&gt;"""",$I237&lt;&gt;""""),HYPERLINK(""https://www.munzee.com/m/""&amp;$H237&amp;""/""&amp;$I237&amp;""/map/?lat=""&amp;$D237&amp;""&amp;lon=""&amp;$E237&amp;""&amp;type=""&amp;$F237&amp;""&amp;name=""&amp;SUBSTITUTE($A237,""#"&amp;""",""%23""),$H237&amp;""/""&amp;$I237),IF($H237&lt;&gt;"""",IF(REGEXMATCH($H237,""50( ?['fF]([oO]{2})?[tT]?)?( ?[eE][rR]{2}[oO][rR])""),HYPERLINK(""https://www.munzee.com/map/?sandbox=1&amp;lat=""&amp;$D237&amp;""&amp;lon=""&amp;$E237&amp;""&amp;name=""&amp;SUBSTITUTE($A237,""#"",""%23""),""SANDBOX"""&amp;"),HYPERLINK(""https://www.munzee.com/m/""&amp;$H237&amp;""/deploys/0/type/""&amp;IFNA(VLOOKUP($F237,IMPORTRANGE(""https://docs.google.com/spreadsheets/d/1DliIGyDywdzxhd4svtjaewR0p9Y5UBTMNMQ2PcXsqss"",""type data!E2:F""),2,FALSE),$F237)&amp;""/"",$H237)),""""))"),"babyw/4275")</f>
        <v>babyw/4275</v>
      </c>
      <c r="K237" s="6" t="b">
        <v>1</v>
      </c>
      <c r="L237" s="9"/>
      <c r="M237" s="9">
        <f t="shared" si="1"/>
        <v>3</v>
      </c>
    </row>
    <row r="238">
      <c r="A238" s="3" t="s">
        <v>487</v>
      </c>
      <c r="B238" s="3">
        <v>17.0</v>
      </c>
      <c r="C238" s="3">
        <v>7.0</v>
      </c>
      <c r="D238" s="4">
        <v>51.5835146387743</v>
      </c>
      <c r="E238" s="4">
        <v>-0.219704806403</v>
      </c>
      <c r="F238" s="3" t="s">
        <v>70</v>
      </c>
      <c r="G238" s="3" t="s">
        <v>71</v>
      </c>
      <c r="H238" s="6" t="s">
        <v>325</v>
      </c>
      <c r="I238" s="6">
        <v>593.0</v>
      </c>
      <c r="J238" s="7" t="str">
        <f>IFERROR(__xludf.DUMMYFUNCTION("IF(AND(REGEXMATCH($H238,""50( ?['fF]([oO]{2})?[tT]?)?( ?[eE][rR]{2}[oO][rR])"")=FALSE,$H238&lt;&gt;"""",$I238&lt;&gt;""""),HYPERLINK(""https://www.munzee.com/m/""&amp;$H238&amp;""/""&amp;$I238&amp;""/map/?lat=""&amp;$D238&amp;""&amp;lon=""&amp;$E238&amp;""&amp;type=""&amp;$F238&amp;""&amp;name=""&amp;SUBSTITUTE($A238,""#"&amp;""",""%23""),$H238&amp;""/""&amp;$I238),IF($H238&lt;&gt;"""",IF(REGEXMATCH($H238,""50( ?['fF]([oO]{2})?[tT]?)?( ?[eE][rR]{2}[oO][rR])""),HYPERLINK(""https://www.munzee.com/map/?sandbox=1&amp;lat=""&amp;$D238&amp;""&amp;lon=""&amp;$E238&amp;""&amp;name=""&amp;SUBSTITUTE($A238,""#"",""%23""),""SANDBOX"""&amp;"),HYPERLINK(""https://www.munzee.com/m/""&amp;$H238&amp;""/deploys/0/type/""&amp;IFNA(VLOOKUP($F238,IMPORTRANGE(""https://docs.google.com/spreadsheets/d/1DliIGyDywdzxhd4svtjaewR0p9Y5UBTMNMQ2PcXsqss"",""type data!E2:F""),2,FALSE),$F238)&amp;""/"",$H238)),""""))"),"Tanzy/593")</f>
        <v>Tanzy/593</v>
      </c>
      <c r="K238" s="6" t="b">
        <v>1</v>
      </c>
      <c r="L238" s="9"/>
      <c r="M238" s="9">
        <f t="shared" si="1"/>
        <v>3</v>
      </c>
    </row>
    <row r="239">
      <c r="A239" s="3" t="s">
        <v>488</v>
      </c>
      <c r="B239" s="3">
        <v>17.0</v>
      </c>
      <c r="C239" s="3">
        <v>8.0</v>
      </c>
      <c r="D239" s="4">
        <v>51.583514638547</v>
      </c>
      <c r="E239" s="4">
        <v>-0.219473495436</v>
      </c>
      <c r="F239" s="3" t="s">
        <v>97</v>
      </c>
      <c r="G239" s="3" t="s">
        <v>98</v>
      </c>
      <c r="H239" s="6" t="s">
        <v>373</v>
      </c>
      <c r="I239" s="6">
        <v>9958.0</v>
      </c>
      <c r="J239" s="7" t="str">
        <f>IFERROR(__xludf.DUMMYFUNCTION("IF(AND(REGEXMATCH($H239,""50( ?['fF]([oO]{2})?[tT]?)?( ?[eE][rR]{2}[oO][rR])"")=FALSE,$H239&lt;&gt;"""",$I239&lt;&gt;""""),HYPERLINK(""https://www.munzee.com/m/""&amp;$H239&amp;""/""&amp;$I239&amp;""/map/?lat=""&amp;$D239&amp;""&amp;lon=""&amp;$E239&amp;""&amp;type=""&amp;$F239&amp;""&amp;name=""&amp;SUBSTITUTE($A239,""#"&amp;""",""%23""),$H239&amp;""/""&amp;$I239),IF($H239&lt;&gt;"""",IF(REGEXMATCH($H239,""50( ?['fF]([oO]{2})?[tT]?)?( ?[eE][rR]{2}[oO][rR])""),HYPERLINK(""https://www.munzee.com/map/?sandbox=1&amp;lat=""&amp;$D239&amp;""&amp;lon=""&amp;$E239&amp;""&amp;name=""&amp;SUBSTITUTE($A239,""#"",""%23""),""SANDBOX"""&amp;"),HYPERLINK(""https://www.munzee.com/m/""&amp;$H239&amp;""/deploys/0/type/""&amp;IFNA(VLOOKUP($F239,IMPORTRANGE(""https://docs.google.com/spreadsheets/d/1DliIGyDywdzxhd4svtjaewR0p9Y5UBTMNMQ2PcXsqss"",""type data!E2:F""),2,FALSE),$F239)&amp;""/"",$H239)),""""))"),"JABIE28/9958")</f>
        <v>JABIE28/9958</v>
      </c>
      <c r="K239" s="6" t="b">
        <v>1</v>
      </c>
      <c r="L239" s="9"/>
      <c r="M239" s="9">
        <f t="shared" si="1"/>
        <v>3</v>
      </c>
    </row>
    <row r="240">
      <c r="A240" s="3" t="s">
        <v>489</v>
      </c>
      <c r="B240" s="3">
        <v>17.0</v>
      </c>
      <c r="C240" s="3">
        <v>9.0</v>
      </c>
      <c r="D240" s="4">
        <v>51.5835146383197</v>
      </c>
      <c r="E240" s="4">
        <v>-0.219242184469</v>
      </c>
      <c r="F240" s="3" t="s">
        <v>29</v>
      </c>
      <c r="G240" s="3" t="s">
        <v>30</v>
      </c>
      <c r="H240" s="6" t="s">
        <v>490</v>
      </c>
      <c r="I240" s="11">
        <v>3919.0</v>
      </c>
      <c r="J240" s="7" t="str">
        <f>IFERROR(__xludf.DUMMYFUNCTION("IF(AND(REGEXMATCH($H240,""50( ?['fF]([oO]{2})?[tT]?)?( ?[eE][rR]{2}[oO][rR])"")=FALSE,$H240&lt;&gt;"""",$I240&lt;&gt;""""),HYPERLINK(""https://www.munzee.com/m/""&amp;$H240&amp;""/""&amp;$I240&amp;""/map/?lat=""&amp;$D240&amp;""&amp;lon=""&amp;$E240&amp;""&amp;type=""&amp;$F240&amp;""&amp;name=""&amp;SUBSTITUTE($A240,""#"&amp;""",""%23""),$H240&amp;""/""&amp;$I240),IF($H240&lt;&gt;"""",IF(REGEXMATCH($H240,""50( ?['fF]([oO]{2})?[tT]?)?( ?[eE][rR]{2}[oO][rR])""),HYPERLINK(""https://www.munzee.com/map/?sandbox=1&amp;lat=""&amp;$D240&amp;""&amp;lon=""&amp;$E240&amp;""&amp;name=""&amp;SUBSTITUTE($A240,""#"",""%23""),""SANDBOX"""&amp;"),HYPERLINK(""https://www.munzee.com/m/""&amp;$H240&amp;""/deploys/0/type/""&amp;IFNA(VLOOKUP($F240,IMPORTRANGE(""https://docs.google.com/spreadsheets/d/1DliIGyDywdzxhd4svtjaewR0p9Y5UBTMNMQ2PcXsqss"",""type data!E2:F""),2,FALSE),$F240)&amp;""/"",$H240)),""""))"),"einkilorind/3919")</f>
        <v>einkilorind/3919</v>
      </c>
      <c r="K240" s="6" t="b">
        <v>1</v>
      </c>
      <c r="L240" s="9"/>
      <c r="M240" s="9">
        <f t="shared" si="1"/>
        <v>2</v>
      </c>
    </row>
    <row r="241">
      <c r="A241" s="3" t="s">
        <v>491</v>
      </c>
      <c r="B241" s="3">
        <v>17.0</v>
      </c>
      <c r="C241" s="3">
        <v>10.0</v>
      </c>
      <c r="D241" s="4">
        <v>51.5835146380923</v>
      </c>
      <c r="E241" s="4">
        <v>-0.2190108735019</v>
      </c>
      <c r="F241" s="3" t="s">
        <v>29</v>
      </c>
      <c r="G241" s="3" t="s">
        <v>30</v>
      </c>
      <c r="H241" s="6" t="s">
        <v>116</v>
      </c>
      <c r="I241" s="6">
        <v>7869.0</v>
      </c>
      <c r="J241" s="7" t="str">
        <f>IFERROR(__xludf.DUMMYFUNCTION("IF(AND(REGEXMATCH($H241,""50( ?['fF]([oO]{2})?[tT]?)?( ?[eE][rR]{2}[oO][rR])"")=FALSE,$H241&lt;&gt;"""",$I241&lt;&gt;""""),HYPERLINK(""https://www.munzee.com/m/""&amp;$H241&amp;""/""&amp;$I241&amp;""/map/?lat=""&amp;$D241&amp;""&amp;lon=""&amp;$E241&amp;""&amp;type=""&amp;$F241&amp;""&amp;name=""&amp;SUBSTITUTE($A241,""#"&amp;""",""%23""),$H241&amp;""/""&amp;$I241),IF($H241&lt;&gt;"""",IF(REGEXMATCH($H241,""50( ?['fF]([oO]{2})?[tT]?)?( ?[eE][rR]{2}[oO][rR])""),HYPERLINK(""https://www.munzee.com/map/?sandbox=1&amp;lat=""&amp;$D241&amp;""&amp;lon=""&amp;$E241&amp;""&amp;name=""&amp;SUBSTITUTE($A241,""#"",""%23""),""SANDBOX"""&amp;"),HYPERLINK(""https://www.munzee.com/m/""&amp;$H241&amp;""/deploys/0/type/""&amp;IFNA(VLOOKUP($F241,IMPORTRANGE(""https://docs.google.com/spreadsheets/d/1DliIGyDywdzxhd4svtjaewR0p9Y5UBTMNMQ2PcXsqss"",""type data!E2:F""),2,FALSE),$F241)&amp;""/"",$H241)),""""))"),"IggiePiggie/7869")</f>
        <v>IggiePiggie/7869</v>
      </c>
      <c r="K241" s="6" t="b">
        <v>1</v>
      </c>
      <c r="L241" s="9"/>
      <c r="M241" s="9">
        <f t="shared" si="1"/>
        <v>7</v>
      </c>
    </row>
    <row r="242">
      <c r="A242" s="3" t="s">
        <v>492</v>
      </c>
      <c r="B242" s="3">
        <v>17.0</v>
      </c>
      <c r="C242" s="3">
        <v>11.0</v>
      </c>
      <c r="D242" s="4">
        <v>51.583514637865</v>
      </c>
      <c r="E242" s="4">
        <v>-0.2187795625349</v>
      </c>
      <c r="F242" s="3" t="s">
        <v>29</v>
      </c>
      <c r="G242" s="3" t="s">
        <v>30</v>
      </c>
      <c r="H242" s="6" t="s">
        <v>433</v>
      </c>
      <c r="I242" s="6">
        <v>1601.0</v>
      </c>
      <c r="J242" s="7" t="str">
        <f>IFERROR(__xludf.DUMMYFUNCTION("IF(AND(REGEXMATCH($H242,""50( ?['fF]([oO]{2})?[tT]?)?( ?[eE][rR]{2}[oO][rR])"")=FALSE,$H242&lt;&gt;"""",$I242&lt;&gt;""""),HYPERLINK(""https://www.munzee.com/m/""&amp;$H242&amp;""/""&amp;$I242&amp;""/map/?lat=""&amp;$D242&amp;""&amp;lon=""&amp;$E242&amp;""&amp;type=""&amp;$F242&amp;""&amp;name=""&amp;SUBSTITUTE($A242,""#"&amp;""",""%23""),$H242&amp;""/""&amp;$I242),IF($H242&lt;&gt;"""",IF(REGEXMATCH($H242,""50( ?['fF]([oO]{2})?[tT]?)?( ?[eE][rR]{2}[oO][rR])""),HYPERLINK(""https://www.munzee.com/map/?sandbox=1&amp;lat=""&amp;$D242&amp;""&amp;lon=""&amp;$E242&amp;""&amp;name=""&amp;SUBSTITUTE($A242,""#"",""%23""),""SANDBOX"""&amp;"),HYPERLINK(""https://www.munzee.com/m/""&amp;$H242&amp;""/deploys/0/type/""&amp;IFNA(VLOOKUP($F242,IMPORTRANGE(""https://docs.google.com/spreadsheets/d/1DliIGyDywdzxhd4svtjaewR0p9Y5UBTMNMQ2PcXsqss"",""type data!E2:F""),2,FALSE),$F242)&amp;""/"",$H242)),""""))"),"WantingSnow/1601")</f>
        <v>WantingSnow/1601</v>
      </c>
      <c r="K242" s="6"/>
      <c r="L242" s="9"/>
      <c r="M242" s="9">
        <f t="shared" si="1"/>
        <v>1</v>
      </c>
    </row>
    <row r="243">
      <c r="A243" s="3" t="s">
        <v>493</v>
      </c>
      <c r="B243" s="3">
        <v>17.0</v>
      </c>
      <c r="C243" s="3">
        <v>12.0</v>
      </c>
      <c r="D243" s="4">
        <v>51.5835146376377</v>
      </c>
      <c r="E243" s="4">
        <v>-0.2185482515679</v>
      </c>
      <c r="F243" s="3" t="s">
        <v>29</v>
      </c>
      <c r="G243" s="3" t="s">
        <v>30</v>
      </c>
      <c r="H243" s="6" t="s">
        <v>494</v>
      </c>
      <c r="I243" s="24">
        <v>21970.0</v>
      </c>
      <c r="J243" s="7" t="str">
        <f>IFERROR(__xludf.DUMMYFUNCTION("IF(AND(REGEXMATCH($H243,""50( ?['fF]([oO]{2})?[tT]?)?( ?[eE][rR]{2}[oO][rR])"")=FALSE,$H243&lt;&gt;"""",$I243&lt;&gt;""""),HYPERLINK(""https://www.munzee.com/m/""&amp;$H243&amp;""/""&amp;$I243&amp;""/map/?lat=""&amp;$D243&amp;""&amp;lon=""&amp;$E243&amp;""&amp;type=""&amp;$F243&amp;""&amp;name=""&amp;SUBSTITUTE($A243,""#"&amp;""",""%23""),$H243&amp;""/""&amp;$I243),IF($H243&lt;&gt;"""",IF(REGEXMATCH($H243,""50( ?['fF]([oO]{2})?[tT]?)?( ?[eE][rR]{2}[oO][rR])""),HYPERLINK(""https://www.munzee.com/map/?sandbox=1&amp;lat=""&amp;$D243&amp;""&amp;lon=""&amp;$E243&amp;""&amp;name=""&amp;SUBSTITUTE($A243,""#"",""%23""),""SANDBOX"""&amp;"),HYPERLINK(""https://www.munzee.com/m/""&amp;$H243&amp;""/deploys/0/type/""&amp;IFNA(VLOOKUP($F243,IMPORTRANGE(""https://docs.google.com/spreadsheets/d/1DliIGyDywdzxhd4svtjaewR0p9Y5UBTMNMQ2PcXsqss"",""type data!E2:F""),2,FALSE),$F243)&amp;""/"",$H243)),""""))"),"q22q17/21970")</f>
        <v>q22q17/21970</v>
      </c>
      <c r="K243" s="6" t="b">
        <v>1</v>
      </c>
      <c r="L243" s="18" t="s">
        <v>495</v>
      </c>
      <c r="M243" s="9">
        <f t="shared" si="1"/>
        <v>1</v>
      </c>
    </row>
    <row r="244">
      <c r="A244" s="3" t="s">
        <v>496</v>
      </c>
      <c r="B244" s="3">
        <v>17.0</v>
      </c>
      <c r="C244" s="3">
        <v>13.0</v>
      </c>
      <c r="D244" s="4">
        <v>51.5835146374104</v>
      </c>
      <c r="E244" s="4">
        <v>-0.2183169406009</v>
      </c>
      <c r="F244" s="3" t="s">
        <v>29</v>
      </c>
      <c r="G244" s="3" t="s">
        <v>30</v>
      </c>
      <c r="H244" s="6" t="s">
        <v>142</v>
      </c>
      <c r="I244" s="6">
        <v>9552.0</v>
      </c>
      <c r="J244" s="7" t="str">
        <f>IFERROR(__xludf.DUMMYFUNCTION("IF(AND(REGEXMATCH($H244,""50( ?['fF]([oO]{2})?[tT]?)?( ?[eE][rR]{2}[oO][rR])"")=FALSE,$H244&lt;&gt;"""",$I244&lt;&gt;""""),HYPERLINK(""https://www.munzee.com/m/""&amp;$H244&amp;""/""&amp;$I244&amp;""/map/?lat=""&amp;$D244&amp;""&amp;lon=""&amp;$E244&amp;""&amp;type=""&amp;$F244&amp;""&amp;name=""&amp;SUBSTITUTE($A244,""#"&amp;""",""%23""),$H244&amp;""/""&amp;$I244),IF($H244&lt;&gt;"""",IF(REGEXMATCH($H244,""50( ?['fF]([oO]{2})?[tT]?)?( ?[eE][rR]{2}[oO][rR])""),HYPERLINK(""https://www.munzee.com/map/?sandbox=1&amp;lat=""&amp;$D244&amp;""&amp;lon=""&amp;$E244&amp;""&amp;name=""&amp;SUBSTITUTE($A244,""#"",""%23""),""SANDBOX"""&amp;"),HYPERLINK(""https://www.munzee.com/m/""&amp;$H244&amp;""/deploys/0/type/""&amp;IFNA(VLOOKUP($F244,IMPORTRANGE(""https://docs.google.com/spreadsheets/d/1DliIGyDywdzxhd4svtjaewR0p9Y5UBTMNMQ2PcXsqss"",""type data!E2:F""),2,FALSE),$F244)&amp;""/"",$H244)),""""))"),"georeyna/9552")</f>
        <v>georeyna/9552</v>
      </c>
      <c r="K244" s="6" t="b">
        <v>1</v>
      </c>
      <c r="L244" s="9"/>
      <c r="M244" s="9">
        <f t="shared" si="1"/>
        <v>4</v>
      </c>
    </row>
    <row r="245">
      <c r="A245" s="3" t="s">
        <v>497</v>
      </c>
      <c r="B245" s="3">
        <v>17.0</v>
      </c>
      <c r="C245" s="3">
        <v>14.0</v>
      </c>
      <c r="D245" s="4">
        <v>51.583514637183</v>
      </c>
      <c r="E245" s="4">
        <v>-0.2180856296338</v>
      </c>
      <c r="F245" s="3" t="s">
        <v>97</v>
      </c>
      <c r="G245" s="3" t="s">
        <v>98</v>
      </c>
      <c r="H245" s="6" t="s">
        <v>498</v>
      </c>
      <c r="I245" s="25">
        <v>2402.0</v>
      </c>
      <c r="J245" s="7" t="str">
        <f>IFERROR(__xludf.DUMMYFUNCTION("IF(AND(REGEXMATCH($H245,""50( ?['fF]([oO]{2})?[tT]?)?( ?[eE][rR]{2}[oO][rR])"")=FALSE,$H245&lt;&gt;"""",$I245&lt;&gt;""""),HYPERLINK(""https://www.munzee.com/m/""&amp;$H245&amp;""/""&amp;$I245&amp;""/map/?lat=""&amp;$D245&amp;""&amp;lon=""&amp;$E245&amp;""&amp;type=""&amp;$F245&amp;""&amp;name=""&amp;SUBSTITUTE($A245,""#"&amp;""",""%23""),$H245&amp;""/""&amp;$I245),IF($H245&lt;&gt;"""",IF(REGEXMATCH($H245,""50( ?['fF]([oO]{2})?[tT]?)?( ?[eE][rR]{2}[oO][rR])""),HYPERLINK(""https://www.munzee.com/map/?sandbox=1&amp;lat=""&amp;$D245&amp;""&amp;lon=""&amp;$E245&amp;""&amp;name=""&amp;SUBSTITUTE($A245,""#"",""%23""),""SANDBOX"""&amp;"),HYPERLINK(""https://www.munzee.com/m/""&amp;$H245&amp;""/deploys/0/type/""&amp;IFNA(VLOOKUP($F245,IMPORTRANGE(""https://docs.google.com/spreadsheets/d/1DliIGyDywdzxhd4svtjaewR0p9Y5UBTMNMQ2PcXsqss"",""type data!E2:F""),2,FALSE),$F245)&amp;""/"",$H245)),""""))"),"andyscorch/2402")</f>
        <v>andyscorch/2402</v>
      </c>
      <c r="K245" s="6" t="b">
        <v>1</v>
      </c>
      <c r="L245" s="9"/>
      <c r="M245" s="9">
        <f t="shared" si="1"/>
        <v>1</v>
      </c>
    </row>
    <row r="246">
      <c r="A246" s="3" t="s">
        <v>499</v>
      </c>
      <c r="B246" s="3">
        <v>17.0</v>
      </c>
      <c r="C246" s="3">
        <v>15.0</v>
      </c>
      <c r="D246" s="4">
        <v>51.5835146369557</v>
      </c>
      <c r="E246" s="4">
        <v>-0.2178543186668</v>
      </c>
      <c r="F246" s="3" t="s">
        <v>70</v>
      </c>
      <c r="G246" s="3" t="s">
        <v>71</v>
      </c>
      <c r="H246" s="6" t="s">
        <v>116</v>
      </c>
      <c r="I246" s="6">
        <v>1809.0</v>
      </c>
      <c r="J246" s="7" t="str">
        <f>IFERROR(__xludf.DUMMYFUNCTION("IF(AND(REGEXMATCH($H246,""50( ?['fF]([oO]{2})?[tT]?)?( ?[eE][rR]{2}[oO][rR])"")=FALSE,$H246&lt;&gt;"""",$I246&lt;&gt;""""),HYPERLINK(""https://www.munzee.com/m/""&amp;$H246&amp;""/""&amp;$I246&amp;""/map/?lat=""&amp;$D246&amp;""&amp;lon=""&amp;$E246&amp;""&amp;type=""&amp;$F246&amp;""&amp;name=""&amp;SUBSTITUTE($A246,""#"&amp;""",""%23""),$H246&amp;""/""&amp;$I246),IF($H246&lt;&gt;"""",IF(REGEXMATCH($H246,""50( ?['fF]([oO]{2})?[tT]?)?( ?[eE][rR]{2}[oO][rR])""),HYPERLINK(""https://www.munzee.com/map/?sandbox=1&amp;lat=""&amp;$D246&amp;""&amp;lon=""&amp;$E246&amp;""&amp;name=""&amp;SUBSTITUTE($A246,""#"",""%23""),""SANDBOX"""&amp;"),HYPERLINK(""https://www.munzee.com/m/""&amp;$H246&amp;""/deploys/0/type/""&amp;IFNA(VLOOKUP($F246,IMPORTRANGE(""https://docs.google.com/spreadsheets/d/1DliIGyDywdzxhd4svtjaewR0p9Y5UBTMNMQ2PcXsqss"",""type data!E2:F""),2,FALSE),$F246)&amp;""/"",$H246)),""""))"),"IggiePiggie/1809")</f>
        <v>IggiePiggie/1809</v>
      </c>
      <c r="K246" s="6" t="b">
        <v>1</v>
      </c>
      <c r="L246" s="9"/>
      <c r="M246" s="9">
        <f t="shared" si="1"/>
        <v>7</v>
      </c>
    </row>
    <row r="247">
      <c r="A247" s="3" t="s">
        <v>500</v>
      </c>
      <c r="B247" s="3">
        <v>17.0</v>
      </c>
      <c r="C247" s="3">
        <v>16.0</v>
      </c>
      <c r="D247" s="4">
        <v>51.5835146367284</v>
      </c>
      <c r="E247" s="4">
        <v>-0.2176230076998</v>
      </c>
      <c r="F247" s="3" t="s">
        <v>91</v>
      </c>
      <c r="G247" s="3" t="s">
        <v>92</v>
      </c>
      <c r="H247" s="6" t="s">
        <v>501</v>
      </c>
      <c r="I247" s="6">
        <v>3783.0</v>
      </c>
      <c r="J247" s="7" t="str">
        <f>IFERROR(__xludf.DUMMYFUNCTION("IF(AND(REGEXMATCH($H247,""50( ?['fF]([oO]{2})?[tT]?)?( ?[eE][rR]{2}[oO][rR])"")=FALSE,$H247&lt;&gt;"""",$I247&lt;&gt;""""),HYPERLINK(""https://www.munzee.com/m/""&amp;$H247&amp;""/""&amp;$I247&amp;""/map/?lat=""&amp;$D247&amp;""&amp;lon=""&amp;$E247&amp;""&amp;type=""&amp;$F247&amp;""&amp;name=""&amp;SUBSTITUTE($A247,""#"&amp;""",""%23""),$H247&amp;""/""&amp;$I247),IF($H247&lt;&gt;"""",IF(REGEXMATCH($H247,""50( ?['fF]([oO]{2})?[tT]?)?( ?[eE][rR]{2}[oO][rR])""),HYPERLINK(""https://www.munzee.com/map/?sandbox=1&amp;lat=""&amp;$D247&amp;""&amp;lon=""&amp;$E247&amp;""&amp;name=""&amp;SUBSTITUTE($A247,""#"",""%23""),""SANDBOX"""&amp;"),HYPERLINK(""https://www.munzee.com/m/""&amp;$H247&amp;""/deploys/0/type/""&amp;IFNA(VLOOKUP($F247,IMPORTRANGE(""https://docs.google.com/spreadsheets/d/1DliIGyDywdzxhd4svtjaewR0p9Y5UBTMNMQ2PcXsqss"",""type data!E2:F""),2,FALSE),$F247)&amp;""/"",$H247)),""""))"),"StaceyZ/3783")</f>
        <v>StaceyZ/3783</v>
      </c>
      <c r="K247" s="6" t="b">
        <v>1</v>
      </c>
      <c r="L247" s="18" t="s">
        <v>502</v>
      </c>
      <c r="M247" s="9">
        <f t="shared" si="1"/>
        <v>2</v>
      </c>
    </row>
    <row r="248">
      <c r="A248" s="3" t="s">
        <v>503</v>
      </c>
      <c r="B248" s="3">
        <v>17.0</v>
      </c>
      <c r="C248" s="3">
        <v>17.0</v>
      </c>
      <c r="D248" s="4">
        <v>51.583514636501</v>
      </c>
      <c r="E248" s="4">
        <v>-0.2173916967328</v>
      </c>
      <c r="F248" s="3" t="s">
        <v>39</v>
      </c>
      <c r="G248" s="3" t="s">
        <v>40</v>
      </c>
      <c r="H248" s="6" t="s">
        <v>229</v>
      </c>
      <c r="I248" s="6">
        <v>359.0</v>
      </c>
      <c r="J248" s="7" t="str">
        <f>IFERROR(__xludf.DUMMYFUNCTION("IF(AND(REGEXMATCH($H248,""50( ?['fF]([oO]{2})?[tT]?)?( ?[eE][rR]{2}[oO][rR])"")=FALSE,$H248&lt;&gt;"""",$I248&lt;&gt;""""),HYPERLINK(""https://www.munzee.com/m/""&amp;$H248&amp;""/""&amp;$I248&amp;""/map/?lat=""&amp;$D248&amp;""&amp;lon=""&amp;$E248&amp;""&amp;type=""&amp;$F248&amp;""&amp;name=""&amp;SUBSTITUTE($A248,""#"&amp;""",""%23""),$H248&amp;""/""&amp;$I248),IF($H248&lt;&gt;"""",IF(REGEXMATCH($H248,""50( ?['fF]([oO]{2})?[tT]?)?( ?[eE][rR]{2}[oO][rR])""),HYPERLINK(""https://www.munzee.com/map/?sandbox=1&amp;lat=""&amp;$D248&amp;""&amp;lon=""&amp;$E248&amp;""&amp;name=""&amp;SUBSTITUTE($A248,""#"",""%23""),""SANDBOX"""&amp;"),HYPERLINK(""https://www.munzee.com/m/""&amp;$H248&amp;""/deploys/0/type/""&amp;IFNA(VLOOKUP($F248,IMPORTRANGE(""https://docs.google.com/spreadsheets/d/1DliIGyDywdzxhd4svtjaewR0p9Y5UBTMNMQ2PcXsqss"",""type data!E2:F""),2,FALSE),$F248)&amp;""/"",$H248)),""""))"),"DarbyJoan/359")</f>
        <v>DarbyJoan/359</v>
      </c>
      <c r="K248" s="6" t="b">
        <v>1</v>
      </c>
      <c r="L248" s="9"/>
      <c r="M248" s="9">
        <f t="shared" si="1"/>
        <v>2</v>
      </c>
    </row>
    <row r="249">
      <c r="A249" s="3" t="s">
        <v>504</v>
      </c>
      <c r="B249" s="3">
        <v>18.0</v>
      </c>
      <c r="C249" s="3">
        <v>6.0</v>
      </c>
      <c r="D249" s="4">
        <v>51.5833709085562</v>
      </c>
      <c r="E249" s="4">
        <v>-0.2199361356611</v>
      </c>
      <c r="F249" s="3" t="s">
        <v>81</v>
      </c>
      <c r="G249" s="3" t="s">
        <v>82</v>
      </c>
      <c r="H249" s="6" t="s">
        <v>55</v>
      </c>
      <c r="I249" s="6">
        <v>760.0</v>
      </c>
      <c r="J249" s="7" t="str">
        <f>IFERROR(__xludf.DUMMYFUNCTION("IF(AND(REGEXMATCH($H249,""50( ?['fF]([oO]{2})?[tT]?)?( ?[eE][rR]{2}[oO][rR])"")=FALSE,$H249&lt;&gt;"""",$I249&lt;&gt;""""),HYPERLINK(""https://www.munzee.com/m/""&amp;$H249&amp;""/""&amp;$I249&amp;""/map/?lat=""&amp;$D249&amp;""&amp;lon=""&amp;$E249&amp;""&amp;type=""&amp;$F249&amp;""&amp;name=""&amp;SUBSTITUTE($A249,""#"&amp;""",""%23""),$H249&amp;""/""&amp;$I249),IF($H249&lt;&gt;"""",IF(REGEXMATCH($H249,""50( ?['fF]([oO]{2})?[tT]?)?( ?[eE][rR]{2}[oO][rR])""),HYPERLINK(""https://www.munzee.com/map/?sandbox=1&amp;lat=""&amp;$D249&amp;""&amp;lon=""&amp;$E249&amp;""&amp;name=""&amp;SUBSTITUTE($A249,""#"",""%23""),""SANDBOX"""&amp;"),HYPERLINK(""https://www.munzee.com/m/""&amp;$H249&amp;""/deploys/0/type/""&amp;IFNA(VLOOKUP($F249,IMPORTRANGE(""https://docs.google.com/spreadsheets/d/1DliIGyDywdzxhd4svtjaewR0p9Y5UBTMNMQ2PcXsqss"",""type data!E2:F""),2,FALSE),$F249)&amp;""/"",$H249)),""""))"),"SzymcioT/760")</f>
        <v>SzymcioT/760</v>
      </c>
      <c r="K249" s="6" t="b">
        <v>1</v>
      </c>
      <c r="L249" s="9"/>
      <c r="M249" s="9">
        <f t="shared" si="1"/>
        <v>6</v>
      </c>
    </row>
    <row r="250">
      <c r="A250" s="3" t="s">
        <v>505</v>
      </c>
      <c r="B250" s="3">
        <v>18.0</v>
      </c>
      <c r="C250" s="3">
        <v>7.0</v>
      </c>
      <c r="D250" s="4">
        <v>51.5833709083289</v>
      </c>
      <c r="E250" s="4">
        <v>-0.2197048254258</v>
      </c>
      <c r="F250" s="3" t="s">
        <v>81</v>
      </c>
      <c r="G250" s="3" t="s">
        <v>82</v>
      </c>
      <c r="H250" s="6" t="s">
        <v>506</v>
      </c>
      <c r="I250" s="6">
        <v>3667.0</v>
      </c>
      <c r="J250" s="7" t="str">
        <f>IFERROR(__xludf.DUMMYFUNCTION("IF(AND(REGEXMATCH($H250,""50( ?['fF]([oO]{2})?[tT]?)?( ?[eE][rR]{2}[oO][rR])"")=FALSE,$H250&lt;&gt;"""",$I250&lt;&gt;""""),HYPERLINK(""https://www.munzee.com/m/""&amp;$H250&amp;""/""&amp;$I250&amp;""/map/?lat=""&amp;$D250&amp;""&amp;lon=""&amp;$E250&amp;""&amp;type=""&amp;$F250&amp;""&amp;name=""&amp;SUBSTITUTE($A250,""#"&amp;""",""%23""),$H250&amp;""/""&amp;$I250),IF($H250&lt;&gt;"""",IF(REGEXMATCH($H250,""50( ?['fF]([oO]{2})?[tT]?)?( ?[eE][rR]{2}[oO][rR])""),HYPERLINK(""https://www.munzee.com/map/?sandbox=1&amp;lat=""&amp;$D250&amp;""&amp;lon=""&amp;$E250&amp;""&amp;name=""&amp;SUBSTITUTE($A250,""#"",""%23""),""SANDBOX"""&amp;"),HYPERLINK(""https://www.munzee.com/m/""&amp;$H250&amp;""/deploys/0/type/""&amp;IFNA(VLOOKUP($F250,IMPORTRANGE(""https://docs.google.com/spreadsheets/d/1DliIGyDywdzxhd4svtjaewR0p9Y5UBTMNMQ2PcXsqss"",""type data!E2:F""),2,FALSE),$F250)&amp;""/"",$H250)),""""))"),"Centern/3667")</f>
        <v>Centern/3667</v>
      </c>
      <c r="K250" s="6" t="b">
        <v>1</v>
      </c>
      <c r="L250" s="9"/>
      <c r="M250" s="9">
        <f t="shared" si="1"/>
        <v>1</v>
      </c>
    </row>
    <row r="251">
      <c r="A251" s="3" t="s">
        <v>507</v>
      </c>
      <c r="B251" s="3">
        <v>18.0</v>
      </c>
      <c r="C251" s="3">
        <v>8.0</v>
      </c>
      <c r="D251" s="4">
        <v>51.5833709081016</v>
      </c>
      <c r="E251" s="4">
        <v>-0.2194735151904</v>
      </c>
      <c r="F251" s="3" t="s">
        <v>81</v>
      </c>
      <c r="G251" s="3" t="s">
        <v>82</v>
      </c>
      <c r="H251" s="6" t="s">
        <v>508</v>
      </c>
      <c r="I251" s="11">
        <v>543.0</v>
      </c>
      <c r="J251" s="7" t="str">
        <f>IFERROR(__xludf.DUMMYFUNCTION("IF(AND(REGEXMATCH($H251,""50( ?['fF]([oO]{2})?[tT]?)?( ?[eE][rR]{2}[oO][rR])"")=FALSE,$H251&lt;&gt;"""",$I251&lt;&gt;""""),HYPERLINK(""https://www.munzee.com/m/""&amp;$H251&amp;""/""&amp;$I251&amp;""/map/?lat=""&amp;$D251&amp;""&amp;lon=""&amp;$E251&amp;""&amp;type=""&amp;$F251&amp;""&amp;name=""&amp;SUBSTITUTE($A251,""#"&amp;""",""%23""),$H251&amp;""/""&amp;$I251),IF($H251&lt;&gt;"""",IF(REGEXMATCH($H251,""50( ?['fF]([oO]{2})?[tT]?)?( ?[eE][rR]{2}[oO][rR])""),HYPERLINK(""https://www.munzee.com/map/?sandbox=1&amp;lat=""&amp;$D251&amp;""&amp;lon=""&amp;$E251&amp;""&amp;name=""&amp;SUBSTITUTE($A251,""#"",""%23""),""SANDBOX"""&amp;"),HYPERLINK(""https://www.munzee.com/m/""&amp;$H251&amp;""/deploys/0/type/""&amp;IFNA(VLOOKUP($F251,IMPORTRANGE(""https://docs.google.com/spreadsheets/d/1DliIGyDywdzxhd4svtjaewR0p9Y5UBTMNMQ2PcXsqss"",""type data!E2:F""),2,FALSE),$F251)&amp;""/"",$H251)),""""))"),"Lehmich/543")</f>
        <v>Lehmich/543</v>
      </c>
      <c r="K251" s="6" t="b">
        <v>1</v>
      </c>
      <c r="L251" s="9"/>
      <c r="M251" s="9">
        <f t="shared" si="1"/>
        <v>2</v>
      </c>
    </row>
    <row r="252">
      <c r="A252" s="3" t="s">
        <v>509</v>
      </c>
      <c r="B252" s="3">
        <v>18.0</v>
      </c>
      <c r="C252" s="3">
        <v>9.0</v>
      </c>
      <c r="D252" s="4">
        <v>51.5833709078742</v>
      </c>
      <c r="E252" s="4">
        <v>-0.2192422049551</v>
      </c>
      <c r="F252" s="3" t="s">
        <v>70</v>
      </c>
      <c r="G252" s="3" t="s">
        <v>71</v>
      </c>
      <c r="H252" s="6" t="s">
        <v>510</v>
      </c>
      <c r="I252" s="6">
        <v>6607.0</v>
      </c>
      <c r="J252" s="7" t="str">
        <f>IFERROR(__xludf.DUMMYFUNCTION("IF(AND(REGEXMATCH($H252,""50( ?['fF]([oO]{2})?[tT]?)?( ?[eE][rR]{2}[oO][rR])"")=FALSE,$H252&lt;&gt;"""",$I252&lt;&gt;""""),HYPERLINK(""https://www.munzee.com/m/""&amp;$H252&amp;""/""&amp;$I252&amp;""/map/?lat=""&amp;$D252&amp;""&amp;lon=""&amp;$E252&amp;""&amp;type=""&amp;$F252&amp;""&amp;name=""&amp;SUBSTITUTE($A252,""#"&amp;""",""%23""),$H252&amp;""/""&amp;$I252),IF($H252&lt;&gt;"""",IF(REGEXMATCH($H252,""50( ?['fF]([oO]{2})?[tT]?)?( ?[eE][rR]{2}[oO][rR])""),HYPERLINK(""https://www.munzee.com/map/?sandbox=1&amp;lat=""&amp;$D252&amp;""&amp;lon=""&amp;$E252&amp;""&amp;name=""&amp;SUBSTITUTE($A252,""#"",""%23""),""SANDBOX"""&amp;"),HYPERLINK(""https://www.munzee.com/m/""&amp;$H252&amp;""/deploys/0/type/""&amp;IFNA(VLOOKUP($F252,IMPORTRANGE(""https://docs.google.com/spreadsheets/d/1DliIGyDywdzxhd4svtjaewR0p9Y5UBTMNMQ2PcXsqss"",""type data!E2:F""),2,FALSE),$F252)&amp;""/"",$H252)),""""))"),"Aniara/6607")</f>
        <v>Aniara/6607</v>
      </c>
      <c r="K252" s="6" t="b">
        <v>1</v>
      </c>
      <c r="L252" s="10"/>
      <c r="M252" s="9">
        <f t="shared" si="1"/>
        <v>1</v>
      </c>
    </row>
    <row r="253">
      <c r="A253" s="3" t="s">
        <v>511</v>
      </c>
      <c r="B253" s="3">
        <v>18.0</v>
      </c>
      <c r="C253" s="3">
        <v>10.0</v>
      </c>
      <c r="D253" s="4">
        <v>51.5833709076469</v>
      </c>
      <c r="E253" s="4">
        <v>-0.2190108947198</v>
      </c>
      <c r="F253" s="3" t="s">
        <v>70</v>
      </c>
      <c r="G253" s="3" t="s">
        <v>71</v>
      </c>
      <c r="H253" s="6" t="s">
        <v>512</v>
      </c>
      <c r="I253" s="6">
        <v>4944.0</v>
      </c>
      <c r="J253" s="7" t="str">
        <f>IFERROR(__xludf.DUMMYFUNCTION("IF(AND(REGEXMATCH($H253,""50( ?['fF]([oO]{2})?[tT]?)?( ?[eE][rR]{2}[oO][rR])"")=FALSE,$H253&lt;&gt;"""",$I253&lt;&gt;""""),HYPERLINK(""https://www.munzee.com/m/""&amp;$H253&amp;""/""&amp;$I253&amp;""/map/?lat=""&amp;$D253&amp;""&amp;lon=""&amp;$E253&amp;""&amp;type=""&amp;$F253&amp;""&amp;name=""&amp;SUBSTITUTE($A253,""#"&amp;""",""%23""),$H253&amp;""/""&amp;$I253),IF($H253&lt;&gt;"""",IF(REGEXMATCH($H253,""50( ?['fF]([oO]{2})?[tT]?)?( ?[eE][rR]{2}[oO][rR])""),HYPERLINK(""https://www.munzee.com/map/?sandbox=1&amp;lat=""&amp;$D253&amp;""&amp;lon=""&amp;$E253&amp;""&amp;name=""&amp;SUBSTITUTE($A253,""#"",""%23""),""SANDBOX"""&amp;"),HYPERLINK(""https://www.munzee.com/m/""&amp;$H253&amp;""/deploys/0/type/""&amp;IFNA(VLOOKUP($F253,IMPORTRANGE(""https://docs.google.com/spreadsheets/d/1DliIGyDywdzxhd4svtjaewR0p9Y5UBTMNMQ2PcXsqss"",""type data!E2:F""),2,FALSE),$F253)&amp;""/"",$H253)),""""))"),"Majsan/4944")</f>
        <v>Majsan/4944</v>
      </c>
      <c r="K253" s="6" t="b">
        <v>1</v>
      </c>
      <c r="L253" s="9"/>
      <c r="M253" s="9">
        <f t="shared" si="1"/>
        <v>1</v>
      </c>
    </row>
    <row r="254">
      <c r="A254" s="3" t="s">
        <v>513</v>
      </c>
      <c r="B254" s="3">
        <v>18.0</v>
      </c>
      <c r="C254" s="3">
        <v>11.0</v>
      </c>
      <c r="D254" s="4">
        <v>51.5833709074196</v>
      </c>
      <c r="E254" s="4">
        <v>-0.2187795844844</v>
      </c>
      <c r="F254" s="3" t="s">
        <v>70</v>
      </c>
      <c r="G254" s="3" t="s">
        <v>71</v>
      </c>
      <c r="H254" s="6" t="s">
        <v>242</v>
      </c>
      <c r="I254" s="6">
        <v>1652.0</v>
      </c>
      <c r="J254" s="7" t="str">
        <f>IFERROR(__xludf.DUMMYFUNCTION("IF(AND(REGEXMATCH($H254,""50( ?['fF]([oO]{2})?[tT]?)?( ?[eE][rR]{2}[oO][rR])"")=FALSE,$H254&lt;&gt;"""",$I254&lt;&gt;""""),HYPERLINK(""https://www.munzee.com/m/""&amp;$H254&amp;""/""&amp;$I254&amp;""/map/?lat=""&amp;$D254&amp;""&amp;lon=""&amp;$E254&amp;""&amp;type=""&amp;$F254&amp;""&amp;name=""&amp;SUBSTITUTE($A254,""#"&amp;""",""%23""),$H254&amp;""/""&amp;$I254),IF($H254&lt;&gt;"""",IF(REGEXMATCH($H254,""50( ?['fF]([oO]{2})?[tT]?)?( ?[eE][rR]{2}[oO][rR])""),HYPERLINK(""https://www.munzee.com/map/?sandbox=1&amp;lat=""&amp;$D254&amp;""&amp;lon=""&amp;$E254&amp;""&amp;name=""&amp;SUBSTITUTE($A254,""#"",""%23""),""SANDBOX"""&amp;"),HYPERLINK(""https://www.munzee.com/m/""&amp;$H254&amp;""/deploys/0/type/""&amp;IFNA(VLOOKUP($F254,IMPORTRANGE(""https://docs.google.com/spreadsheets/d/1DliIGyDywdzxhd4svtjaewR0p9Y5UBTMNMQ2PcXsqss"",""type data!E2:F""),2,FALSE),$F254)&amp;""/"",$H254)),""""))"),"Noisette/1652")</f>
        <v>Noisette/1652</v>
      </c>
      <c r="K254" s="6" t="b">
        <v>1</v>
      </c>
      <c r="L254" s="9"/>
      <c r="M254" s="9">
        <f t="shared" si="1"/>
        <v>4</v>
      </c>
    </row>
    <row r="255">
      <c r="A255" s="3" t="s">
        <v>514</v>
      </c>
      <c r="B255" s="3">
        <v>18.0</v>
      </c>
      <c r="C255" s="3">
        <v>12.0</v>
      </c>
      <c r="D255" s="4">
        <v>51.5833709071923</v>
      </c>
      <c r="E255" s="4">
        <v>-0.2185482742491</v>
      </c>
      <c r="F255" s="3" t="s">
        <v>70</v>
      </c>
      <c r="G255" s="3" t="s">
        <v>71</v>
      </c>
      <c r="H255" s="6" t="s">
        <v>118</v>
      </c>
      <c r="I255" s="6">
        <v>7326.0</v>
      </c>
      <c r="J255" s="7" t="str">
        <f>IFERROR(__xludf.DUMMYFUNCTION("IF(AND(REGEXMATCH($H255,""50( ?['fF]([oO]{2})?[tT]?)?( ?[eE][rR]{2}[oO][rR])"")=FALSE,$H255&lt;&gt;"""",$I255&lt;&gt;""""),HYPERLINK(""https://www.munzee.com/m/""&amp;$H255&amp;""/""&amp;$I255&amp;""/map/?lat=""&amp;$D255&amp;""&amp;lon=""&amp;$E255&amp;""&amp;type=""&amp;$F255&amp;""&amp;name=""&amp;SUBSTITUTE($A255,""#"&amp;""",""%23""),$H255&amp;""/""&amp;$I255),IF($H255&lt;&gt;"""",IF(REGEXMATCH($H255,""50( ?['fF]([oO]{2})?[tT]?)?( ?[eE][rR]{2}[oO][rR])""),HYPERLINK(""https://www.munzee.com/map/?sandbox=1&amp;lat=""&amp;$D255&amp;""&amp;lon=""&amp;$E255&amp;""&amp;name=""&amp;SUBSTITUTE($A255,""#"",""%23""),""SANDBOX"""&amp;"),HYPERLINK(""https://www.munzee.com/m/""&amp;$H255&amp;""/deploys/0/type/""&amp;IFNA(VLOOKUP($F255,IMPORTRANGE(""https://docs.google.com/spreadsheets/d/1DliIGyDywdzxhd4svtjaewR0p9Y5UBTMNMQ2PcXsqss"",""type data!E2:F""),2,FALSE),$F255)&amp;""/"",$H255)),""""))"),"monrose/7326")</f>
        <v>monrose/7326</v>
      </c>
      <c r="K255" s="6" t="b">
        <v>1</v>
      </c>
      <c r="L255" s="9"/>
      <c r="M255" s="9">
        <f t="shared" si="1"/>
        <v>3</v>
      </c>
    </row>
    <row r="256">
      <c r="A256" s="3" t="s">
        <v>515</v>
      </c>
      <c r="B256" s="3">
        <v>18.0</v>
      </c>
      <c r="C256" s="3">
        <v>13.0</v>
      </c>
      <c r="D256" s="4">
        <v>51.5833709069649</v>
      </c>
      <c r="E256" s="4">
        <v>-0.2183169640138</v>
      </c>
      <c r="F256" s="3" t="s">
        <v>70</v>
      </c>
      <c r="G256" s="3" t="s">
        <v>71</v>
      </c>
      <c r="H256" s="6" t="s">
        <v>490</v>
      </c>
      <c r="I256" s="6">
        <v>3328.0</v>
      </c>
      <c r="J256" s="7" t="str">
        <f>IFERROR(__xludf.DUMMYFUNCTION("IF(AND(REGEXMATCH($H256,""50( ?['fF]([oO]{2})?[tT]?)?( ?[eE][rR]{2}[oO][rR])"")=FALSE,$H256&lt;&gt;"""",$I256&lt;&gt;""""),HYPERLINK(""https://www.munzee.com/m/""&amp;$H256&amp;""/""&amp;$I256&amp;""/map/?lat=""&amp;$D256&amp;""&amp;lon=""&amp;$E256&amp;""&amp;type=""&amp;$F256&amp;""&amp;name=""&amp;SUBSTITUTE($A256,""#"&amp;""",""%23""),$H256&amp;""/""&amp;$I256),IF($H256&lt;&gt;"""",IF(REGEXMATCH($H256,""50( ?['fF]([oO]{2})?[tT]?)?( ?[eE][rR]{2}[oO][rR])""),HYPERLINK(""https://www.munzee.com/map/?sandbox=1&amp;lat=""&amp;$D256&amp;""&amp;lon=""&amp;$E256&amp;""&amp;name=""&amp;SUBSTITUTE($A256,""#"",""%23""),""SANDBOX"""&amp;"),HYPERLINK(""https://www.munzee.com/m/""&amp;$H256&amp;""/deploys/0/type/""&amp;IFNA(VLOOKUP($F256,IMPORTRANGE(""https://docs.google.com/spreadsheets/d/1DliIGyDywdzxhd4svtjaewR0p9Y5UBTMNMQ2PcXsqss"",""type data!E2:F""),2,FALSE),$F256)&amp;""/"",$H256)),""""))"),"einkilorind/3328")</f>
        <v>einkilorind/3328</v>
      </c>
      <c r="K256" s="6" t="b">
        <v>1</v>
      </c>
      <c r="L256" s="6"/>
      <c r="M256" s="9">
        <f t="shared" si="1"/>
        <v>2</v>
      </c>
    </row>
    <row r="257">
      <c r="A257" s="3" t="s">
        <v>516</v>
      </c>
      <c r="B257" s="3">
        <v>18.0</v>
      </c>
      <c r="C257" s="3">
        <v>14.0</v>
      </c>
      <c r="D257" s="4">
        <v>51.5833709067376</v>
      </c>
      <c r="E257" s="4">
        <v>-0.2180856537784</v>
      </c>
      <c r="F257" s="3" t="s">
        <v>62</v>
      </c>
      <c r="G257" s="3" t="s">
        <v>63</v>
      </c>
      <c r="H257" s="6" t="s">
        <v>508</v>
      </c>
      <c r="I257" s="6">
        <v>725.0</v>
      </c>
      <c r="J257" s="7" t="str">
        <f>IFERROR(__xludf.DUMMYFUNCTION("IF(AND(REGEXMATCH($H257,""50( ?['fF]([oO]{2})?[tT]?)?( ?[eE][rR]{2}[oO][rR])"")=FALSE,$H257&lt;&gt;"""",$I257&lt;&gt;""""),HYPERLINK(""https://www.munzee.com/m/""&amp;$H257&amp;""/""&amp;$I257&amp;""/map/?lat=""&amp;$D257&amp;""&amp;lon=""&amp;$E257&amp;""&amp;type=""&amp;$F257&amp;""&amp;name=""&amp;SUBSTITUTE($A257,""#"&amp;""",""%23""),$H257&amp;""/""&amp;$I257),IF($H257&lt;&gt;"""",IF(REGEXMATCH($H257,""50( ?['fF]([oO]{2})?[tT]?)?( ?[eE][rR]{2}[oO][rR])""),HYPERLINK(""https://www.munzee.com/map/?sandbox=1&amp;lat=""&amp;$D257&amp;""&amp;lon=""&amp;$E257&amp;""&amp;name=""&amp;SUBSTITUTE($A257,""#"",""%23""),""SANDBOX"""&amp;"),HYPERLINK(""https://www.munzee.com/m/""&amp;$H257&amp;""/deploys/0/type/""&amp;IFNA(VLOOKUP($F257,IMPORTRANGE(""https://docs.google.com/spreadsheets/d/1DliIGyDywdzxhd4svtjaewR0p9Y5UBTMNMQ2PcXsqss"",""type data!E2:F""),2,FALSE),$F257)&amp;""/"",$H257)),""""))"),"Lehmich/725")</f>
        <v>Lehmich/725</v>
      </c>
      <c r="K257" s="6" t="b">
        <v>1</v>
      </c>
      <c r="L257" s="9"/>
      <c r="M257" s="9">
        <f t="shared" si="1"/>
        <v>2</v>
      </c>
    </row>
    <row r="258">
      <c r="A258" s="3" t="s">
        <v>517</v>
      </c>
      <c r="B258" s="3">
        <v>18.0</v>
      </c>
      <c r="C258" s="3">
        <v>15.0</v>
      </c>
      <c r="D258" s="4">
        <v>51.5833709065103</v>
      </c>
      <c r="E258" s="4">
        <v>-0.2178543435431</v>
      </c>
      <c r="F258" s="3" t="s">
        <v>62</v>
      </c>
      <c r="G258" s="3" t="s">
        <v>63</v>
      </c>
      <c r="H258" s="6" t="s">
        <v>518</v>
      </c>
      <c r="I258" s="6">
        <v>4352.0</v>
      </c>
      <c r="J258" s="7" t="str">
        <f>IFERROR(__xludf.DUMMYFUNCTION("IF(AND(REGEXMATCH($H258,""50( ?['fF]([oO]{2})?[tT]?)?( ?[eE][rR]{2}[oO][rR])"")=FALSE,$H258&lt;&gt;"""",$I258&lt;&gt;""""),HYPERLINK(""https://www.munzee.com/m/""&amp;$H258&amp;""/""&amp;$I258&amp;""/map/?lat=""&amp;$D258&amp;""&amp;lon=""&amp;$E258&amp;""&amp;type=""&amp;$F258&amp;""&amp;name=""&amp;SUBSTITUTE($A258,""#"&amp;""",""%23""),$H258&amp;""/""&amp;$I258),IF($H258&lt;&gt;"""",IF(REGEXMATCH($H258,""50( ?['fF]([oO]{2})?[tT]?)?( ?[eE][rR]{2}[oO][rR])""),HYPERLINK(""https://www.munzee.com/map/?sandbox=1&amp;lat=""&amp;$D258&amp;""&amp;lon=""&amp;$E258&amp;""&amp;name=""&amp;SUBSTITUTE($A258,""#"",""%23""),""SANDBOX"""&amp;"),HYPERLINK(""https://www.munzee.com/m/""&amp;$H258&amp;""/deploys/0/type/""&amp;IFNA(VLOOKUP($F258,IMPORTRANGE(""https://docs.google.com/spreadsheets/d/1DliIGyDywdzxhd4svtjaewR0p9Y5UBTMNMQ2PcXsqss"",""type data!E2:F""),2,FALSE),$F258)&amp;""/"",$H258)),""""))"),"CarlisleCachers/4352")</f>
        <v>CarlisleCachers/4352</v>
      </c>
      <c r="K258" s="6" t="b">
        <v>1</v>
      </c>
      <c r="L258" s="9"/>
      <c r="M258" s="9">
        <f t="shared" si="1"/>
        <v>1</v>
      </c>
    </row>
    <row r="259">
      <c r="A259" s="3" t="s">
        <v>519</v>
      </c>
      <c r="B259" s="3">
        <v>18.0</v>
      </c>
      <c r="C259" s="3">
        <v>16.0</v>
      </c>
      <c r="D259" s="4">
        <v>51.583370906283</v>
      </c>
      <c r="E259" s="4">
        <v>-0.2176230333077</v>
      </c>
      <c r="F259" s="3" t="s">
        <v>62</v>
      </c>
      <c r="G259" s="3" t="s">
        <v>63</v>
      </c>
      <c r="H259" s="6" t="s">
        <v>53</v>
      </c>
      <c r="I259" s="6">
        <v>956.0</v>
      </c>
      <c r="J259" s="7" t="str">
        <f>IFERROR(__xludf.DUMMYFUNCTION("IF(AND(REGEXMATCH($H259,""50( ?['fF]([oO]{2})?[tT]?)?( ?[eE][rR]{2}[oO][rR])"")=FALSE,$H259&lt;&gt;"""",$I259&lt;&gt;""""),HYPERLINK(""https://www.munzee.com/m/""&amp;$H259&amp;""/""&amp;$I259&amp;""/map/?lat=""&amp;$D259&amp;""&amp;lon=""&amp;$E259&amp;""&amp;type=""&amp;$F259&amp;""&amp;name=""&amp;SUBSTITUTE($A259,""#"&amp;""",""%23""),$H259&amp;""/""&amp;$I259),IF($H259&lt;&gt;"""",IF(REGEXMATCH($H259,""50( ?['fF]([oO]{2})?[tT]?)?( ?[eE][rR]{2}[oO][rR])""),HYPERLINK(""https://www.munzee.com/map/?sandbox=1&amp;lat=""&amp;$D259&amp;""&amp;lon=""&amp;$E259&amp;""&amp;name=""&amp;SUBSTITUTE($A259,""#"",""%23""),""SANDBOX"""&amp;"),HYPERLINK(""https://www.munzee.com/m/""&amp;$H259&amp;""/deploys/0/type/""&amp;IFNA(VLOOKUP($F259,IMPORTRANGE(""https://docs.google.com/spreadsheets/d/1DliIGyDywdzxhd4svtjaewR0p9Y5UBTMNMQ2PcXsqss"",""type data!E2:F""),2,FALSE),$F259)&amp;""/"",$H259)),""""))"),"TMac2/956")</f>
        <v>TMac2/956</v>
      </c>
      <c r="K259" s="6" t="b">
        <v>1</v>
      </c>
      <c r="L259" s="9"/>
      <c r="M259" s="9">
        <f t="shared" si="1"/>
        <v>6</v>
      </c>
    </row>
    <row r="260">
      <c r="A260" s="3" t="s">
        <v>520</v>
      </c>
      <c r="B260" s="3">
        <v>19.0</v>
      </c>
      <c r="C260" s="3">
        <v>8.0</v>
      </c>
      <c r="D260" s="4">
        <v>51.5832271776561</v>
      </c>
      <c r="E260" s="4">
        <v>-0.2194735349442</v>
      </c>
      <c r="F260" s="3" t="s">
        <v>44</v>
      </c>
      <c r="G260" s="3" t="s">
        <v>45</v>
      </c>
      <c r="H260" s="6" t="s">
        <v>521</v>
      </c>
      <c r="I260" s="6">
        <v>2829.0</v>
      </c>
      <c r="J260" s="7" t="str">
        <f>IFERROR(__xludf.DUMMYFUNCTION("IF(AND(REGEXMATCH($H260,""50( ?['fF]([oO]{2})?[tT]?)?( ?[eE][rR]{2}[oO][rR])"")=FALSE,$H260&lt;&gt;"""",$I260&lt;&gt;""""),HYPERLINK(""https://www.munzee.com/m/""&amp;$H260&amp;""/""&amp;$I260&amp;""/map/?lat=""&amp;$D260&amp;""&amp;lon=""&amp;$E260&amp;""&amp;type=""&amp;$F260&amp;""&amp;name=""&amp;SUBSTITUTE($A260,""#"&amp;""",""%23""),$H260&amp;""/""&amp;$I260),IF($H260&lt;&gt;"""",IF(REGEXMATCH($H260,""50( ?['fF]([oO]{2})?[tT]?)?( ?[eE][rR]{2}[oO][rR])""),HYPERLINK(""https://www.munzee.com/map/?sandbox=1&amp;lat=""&amp;$D260&amp;""&amp;lon=""&amp;$E260&amp;""&amp;name=""&amp;SUBSTITUTE($A260,""#"",""%23""),""SANDBOX"""&amp;"),HYPERLINK(""https://www.munzee.com/m/""&amp;$H260&amp;""/deploys/0/type/""&amp;IFNA(VLOOKUP($F260,IMPORTRANGE(""https://docs.google.com/spreadsheets/d/1DliIGyDywdzxhd4svtjaewR0p9Y5UBTMNMQ2PcXsqss"",""type data!E2:F""),2,FALSE),$F260)&amp;""/"",$H260)),""""))"),"leesap/2829")</f>
        <v>leesap/2829</v>
      </c>
      <c r="K260" s="6" t="b">
        <v>1</v>
      </c>
      <c r="L260" s="18" t="s">
        <v>522</v>
      </c>
      <c r="M260" s="9">
        <f t="shared" si="1"/>
        <v>2</v>
      </c>
    </row>
    <row r="261">
      <c r="A261" s="3" t="s">
        <v>523</v>
      </c>
      <c r="B261" s="3">
        <v>19.0</v>
      </c>
      <c r="C261" s="3">
        <v>9.0</v>
      </c>
      <c r="D261" s="4">
        <v>51.5832271774288</v>
      </c>
      <c r="E261" s="4">
        <v>-0.2192422254404</v>
      </c>
      <c r="F261" s="3" t="s">
        <v>44</v>
      </c>
      <c r="G261" s="3" t="s">
        <v>45</v>
      </c>
      <c r="H261" s="6" t="s">
        <v>524</v>
      </c>
      <c r="I261" s="6">
        <v>21399.0</v>
      </c>
      <c r="J261" s="7" t="str">
        <f>IFERROR(__xludf.DUMMYFUNCTION("IF(AND(REGEXMATCH($H261,""50( ?['fF]([oO]{2})?[tT]?)?( ?[eE][rR]{2}[oO][rR])"")=FALSE,$H261&lt;&gt;"""",$I261&lt;&gt;""""),HYPERLINK(""https://www.munzee.com/m/""&amp;$H261&amp;""/""&amp;$I261&amp;""/map/?lat=""&amp;$D261&amp;""&amp;lon=""&amp;$E261&amp;""&amp;type=""&amp;$F261&amp;""&amp;name=""&amp;SUBSTITUTE($A261,""#"&amp;""",""%23""),$H261&amp;""/""&amp;$I261),IF($H261&lt;&gt;"""",IF(REGEXMATCH($H261,""50( ?['fF]([oO]{2})?[tT]?)?( ?[eE][rR]{2}[oO][rR])""),HYPERLINK(""https://www.munzee.com/map/?sandbox=1&amp;lat=""&amp;$D261&amp;""&amp;lon=""&amp;$E261&amp;""&amp;name=""&amp;SUBSTITUTE($A261,""#"",""%23""),""SANDBOX"""&amp;"),HYPERLINK(""https://www.munzee.com/m/""&amp;$H261&amp;""/deploys/0/type/""&amp;IFNA(VLOOKUP($F261,IMPORTRANGE(""https://docs.google.com/spreadsheets/d/1DliIGyDywdzxhd4svtjaewR0p9Y5UBTMNMQ2PcXsqss"",""type data!E2:F""),2,FALSE),$F261)&amp;""/"",$H261)),""""))"),"WanderingAus /21399")</f>
        <v>WanderingAus /21399</v>
      </c>
      <c r="K261" s="6" t="b">
        <v>1</v>
      </c>
      <c r="L261" s="9"/>
      <c r="M261" s="9">
        <f t="shared" si="1"/>
        <v>1</v>
      </c>
    </row>
    <row r="262">
      <c r="A262" s="3" t="s">
        <v>525</v>
      </c>
      <c r="B262" s="3">
        <v>19.0</v>
      </c>
      <c r="C262" s="3">
        <v>10.0</v>
      </c>
      <c r="D262" s="4">
        <v>51.5832271772014</v>
      </c>
      <c r="E262" s="4">
        <v>-0.2190109159367</v>
      </c>
      <c r="F262" s="3" t="s">
        <v>51</v>
      </c>
      <c r="G262" s="3" t="s">
        <v>52</v>
      </c>
      <c r="H262" s="6" t="s">
        <v>362</v>
      </c>
      <c r="I262" s="6">
        <v>3732.0</v>
      </c>
      <c r="J262" s="7" t="str">
        <f>IFERROR(__xludf.DUMMYFUNCTION("IF(AND(REGEXMATCH($H262,""50( ?['fF]([oO]{2})?[tT]?)?( ?[eE][rR]{2}[oO][rR])"")=FALSE,$H262&lt;&gt;"""",$I262&lt;&gt;""""),HYPERLINK(""https://www.munzee.com/m/""&amp;$H262&amp;""/""&amp;$I262&amp;""/map/?lat=""&amp;$D262&amp;""&amp;lon=""&amp;$E262&amp;""&amp;type=""&amp;$F262&amp;""&amp;name=""&amp;SUBSTITUTE($A262,""#"&amp;""",""%23""),$H262&amp;""/""&amp;$I262),IF($H262&lt;&gt;"""",IF(REGEXMATCH($H262,""50( ?['fF]([oO]{2})?[tT]?)?( ?[eE][rR]{2}[oO][rR])""),HYPERLINK(""https://www.munzee.com/map/?sandbox=1&amp;lat=""&amp;$D262&amp;""&amp;lon=""&amp;$E262&amp;""&amp;name=""&amp;SUBSTITUTE($A262,""#"",""%23""),""SANDBOX"""&amp;"),HYPERLINK(""https://www.munzee.com/m/""&amp;$H262&amp;""/deploys/0/type/""&amp;IFNA(VLOOKUP($F262,IMPORTRANGE(""https://docs.google.com/spreadsheets/d/1DliIGyDywdzxhd4svtjaewR0p9Y5UBTMNMQ2PcXsqss"",""type data!E2:F""),2,FALSE),$F262)&amp;""/"",$H262)),""""))"),"Syrtene/3732")</f>
        <v>Syrtene/3732</v>
      </c>
      <c r="K262" s="6" t="b">
        <v>1</v>
      </c>
      <c r="L262" s="18" t="s">
        <v>526</v>
      </c>
      <c r="M262" s="9">
        <f t="shared" si="1"/>
        <v>2</v>
      </c>
    </row>
    <row r="263">
      <c r="A263" s="3" t="s">
        <v>527</v>
      </c>
      <c r="B263" s="3">
        <v>19.0</v>
      </c>
      <c r="C263" s="3">
        <v>11.0</v>
      </c>
      <c r="D263" s="4">
        <v>51.5832271769741</v>
      </c>
      <c r="E263" s="4">
        <v>-0.2187796064329</v>
      </c>
      <c r="F263" s="3" t="s">
        <v>51</v>
      </c>
      <c r="G263" s="3" t="s">
        <v>52</v>
      </c>
      <c r="H263" s="6" t="s">
        <v>325</v>
      </c>
      <c r="I263" s="11">
        <v>524.0</v>
      </c>
      <c r="J263" s="7" t="str">
        <f>IFERROR(__xludf.DUMMYFUNCTION("IF(AND(REGEXMATCH($H263,""50( ?['fF]([oO]{2})?[tT]?)?( ?[eE][rR]{2}[oO][rR])"")=FALSE,$H263&lt;&gt;"""",$I263&lt;&gt;""""),HYPERLINK(""https://www.munzee.com/m/""&amp;$H263&amp;""/""&amp;$I263&amp;""/map/?lat=""&amp;$D263&amp;""&amp;lon=""&amp;$E263&amp;""&amp;type=""&amp;$F263&amp;""&amp;name=""&amp;SUBSTITUTE($A263,""#"&amp;""",""%23""),$H263&amp;""/""&amp;$I263),IF($H263&lt;&gt;"""",IF(REGEXMATCH($H263,""50( ?['fF]([oO]{2})?[tT]?)?( ?[eE][rR]{2}[oO][rR])""),HYPERLINK(""https://www.munzee.com/map/?sandbox=1&amp;lat=""&amp;$D263&amp;""&amp;lon=""&amp;$E263&amp;""&amp;name=""&amp;SUBSTITUTE($A263,""#"",""%23""),""SANDBOX"""&amp;"),HYPERLINK(""https://www.munzee.com/m/""&amp;$H263&amp;""/deploys/0/type/""&amp;IFNA(VLOOKUP($F263,IMPORTRANGE(""https://docs.google.com/spreadsheets/d/1DliIGyDywdzxhd4svtjaewR0p9Y5UBTMNMQ2PcXsqss"",""type data!E2:F""),2,FALSE),$F263)&amp;""/"",$H263)),""""))"),"Tanzy/524")</f>
        <v>Tanzy/524</v>
      </c>
      <c r="K263" s="6" t="b">
        <v>1</v>
      </c>
      <c r="L263" s="9"/>
      <c r="M263" s="9">
        <f t="shared" si="1"/>
        <v>3</v>
      </c>
    </row>
    <row r="264">
      <c r="A264" s="3" t="s">
        <v>528</v>
      </c>
      <c r="B264" s="3">
        <v>19.0</v>
      </c>
      <c r="C264" s="3">
        <v>12.0</v>
      </c>
      <c r="D264" s="4">
        <v>51.5832271767468</v>
      </c>
      <c r="E264" s="4">
        <v>-0.2185482969292</v>
      </c>
      <c r="F264" s="3" t="s">
        <v>51</v>
      </c>
      <c r="G264" s="3" t="s">
        <v>52</v>
      </c>
      <c r="H264" s="6" t="s">
        <v>335</v>
      </c>
      <c r="I264" s="6">
        <v>4513.0</v>
      </c>
      <c r="J264" s="7" t="str">
        <f>IFERROR(__xludf.DUMMYFUNCTION("IF(AND(REGEXMATCH($H264,""50( ?['fF]([oO]{2})?[tT]?)?( ?[eE][rR]{2}[oO][rR])"")=FALSE,$H264&lt;&gt;"""",$I264&lt;&gt;""""),HYPERLINK(""https://www.munzee.com/m/""&amp;$H264&amp;""/""&amp;$I264&amp;""/map/?lat=""&amp;$D264&amp;""&amp;lon=""&amp;$E264&amp;""&amp;type=""&amp;$F264&amp;""&amp;name=""&amp;SUBSTITUTE($A264,""#"&amp;""",""%23""),$H264&amp;""/""&amp;$I264),IF($H264&lt;&gt;"""",IF(REGEXMATCH($H264,""50( ?['fF]([oO]{2})?[tT]?)?( ?[eE][rR]{2}[oO][rR])""),HYPERLINK(""https://www.munzee.com/map/?sandbox=1&amp;lat=""&amp;$D264&amp;""&amp;lon=""&amp;$E264&amp;""&amp;name=""&amp;SUBSTITUTE($A264,""#"",""%23""),""SANDBOX"""&amp;"),HYPERLINK(""https://www.munzee.com/m/""&amp;$H264&amp;""/deploys/0/type/""&amp;IFNA(VLOOKUP($F264,IMPORTRANGE(""https://docs.google.com/spreadsheets/d/1DliIGyDywdzxhd4svtjaewR0p9Y5UBTMNMQ2PcXsqss"",""type data!E2:F""),2,FALSE),$F264)&amp;""/"",$H264)),""""))"),"geckofreund/4513")</f>
        <v>geckofreund/4513</v>
      </c>
      <c r="K264" s="6" t="b">
        <v>1</v>
      </c>
      <c r="L264" s="18" t="s">
        <v>529</v>
      </c>
      <c r="M264" s="9">
        <f t="shared" si="1"/>
        <v>2</v>
      </c>
    </row>
    <row r="265">
      <c r="A265" s="3" t="s">
        <v>530</v>
      </c>
      <c r="B265" s="3">
        <v>19.0</v>
      </c>
      <c r="C265" s="3">
        <v>13.0</v>
      </c>
      <c r="D265" s="4">
        <v>51.5832271765195</v>
      </c>
      <c r="E265" s="4">
        <v>-0.2183169874254</v>
      </c>
      <c r="F265" s="3" t="s">
        <v>44</v>
      </c>
      <c r="G265" s="3" t="s">
        <v>45</v>
      </c>
      <c r="H265" s="6" t="s">
        <v>531</v>
      </c>
      <c r="I265" s="6">
        <v>6444.0</v>
      </c>
      <c r="J265" s="7" t="str">
        <f>IFERROR(__xludf.DUMMYFUNCTION("IF(AND(REGEXMATCH($H265,""50( ?['fF]([oO]{2})?[tT]?)?( ?[eE][rR]{2}[oO][rR])"")=FALSE,$H265&lt;&gt;"""",$I265&lt;&gt;""""),HYPERLINK(""https://www.munzee.com/m/""&amp;$H265&amp;""/""&amp;$I265&amp;""/map/?lat=""&amp;$D265&amp;""&amp;lon=""&amp;$E265&amp;""&amp;type=""&amp;$F265&amp;""&amp;name=""&amp;SUBSTITUTE($A265,""#"&amp;""",""%23""),$H265&amp;""/""&amp;$I265),IF($H265&lt;&gt;"""",IF(REGEXMATCH($H265,""50( ?['fF]([oO]{2})?[tT]?)?( ?[eE][rR]{2}[oO][rR])""),HYPERLINK(""https://www.munzee.com/map/?sandbox=1&amp;lat=""&amp;$D265&amp;""&amp;lon=""&amp;$E265&amp;""&amp;name=""&amp;SUBSTITUTE($A265,""#"",""%23""),""SANDBOX"""&amp;"),HYPERLINK(""https://www.munzee.com/m/""&amp;$H265&amp;""/deploys/0/type/""&amp;IFNA(VLOOKUP($F265,IMPORTRANGE(""https://docs.google.com/spreadsheets/d/1DliIGyDywdzxhd4svtjaewR0p9Y5UBTMNMQ2PcXsqss"",""type data!E2:F""),2,FALSE),$F265)&amp;""/"",$H265)),""""))"),"MetteS/6444")</f>
        <v>MetteS/6444</v>
      </c>
      <c r="K265" s="6" t="b">
        <v>1</v>
      </c>
      <c r="L265" s="9"/>
      <c r="M265" s="9">
        <f t="shared" si="1"/>
        <v>1</v>
      </c>
    </row>
    <row r="266">
      <c r="A266" s="3" t="s">
        <v>532</v>
      </c>
      <c r="B266" s="3">
        <v>19.0</v>
      </c>
      <c r="C266" s="3">
        <v>14.0</v>
      </c>
      <c r="D266" s="4">
        <v>51.5832271762922</v>
      </c>
      <c r="E266" s="4">
        <v>-0.2180856779217</v>
      </c>
      <c r="F266" s="3" t="s">
        <v>44</v>
      </c>
      <c r="G266" s="3" t="s">
        <v>45</v>
      </c>
      <c r="H266" s="6" t="s">
        <v>533</v>
      </c>
      <c r="I266" s="6">
        <v>7869.0</v>
      </c>
      <c r="J266" s="7" t="str">
        <f>IFERROR(__xludf.DUMMYFUNCTION("IF(AND(REGEXMATCH($H266,""50( ?['fF]([oO]{2})?[tT]?)?( ?[eE][rR]{2}[oO][rR])"")=FALSE,$H266&lt;&gt;"""",$I266&lt;&gt;""""),HYPERLINK(""https://www.munzee.com/m/""&amp;$H266&amp;""/""&amp;$I266&amp;""/map/?lat=""&amp;$D266&amp;""&amp;lon=""&amp;$E266&amp;""&amp;type=""&amp;$F266&amp;""&amp;name=""&amp;SUBSTITUTE($A266,""#"&amp;""",""%23""),$H266&amp;""/""&amp;$I266),IF($H266&lt;&gt;"""",IF(REGEXMATCH($H266,""50( ?['fF]([oO]{2})?[tT]?)?( ?[eE][rR]{2}[oO][rR])""),HYPERLINK(""https://www.munzee.com/map/?sandbox=1&amp;lat=""&amp;$D266&amp;""&amp;lon=""&amp;$E266&amp;""&amp;name=""&amp;SUBSTITUTE($A266,""#"",""%23""),""SANDBOX"""&amp;"),HYPERLINK(""https://www.munzee.com/m/""&amp;$H266&amp;""/deploys/0/type/""&amp;IFNA(VLOOKUP($F266,IMPORTRANGE(""https://docs.google.com/spreadsheets/d/1DliIGyDywdzxhd4svtjaewR0p9Y5UBTMNMQ2PcXsqss"",""type data!E2:F""),2,FALSE),$F266)&amp;""/"",$H266)),""""))"),"BoMS/7869")</f>
        <v>BoMS/7869</v>
      </c>
      <c r="K266" s="6" t="b">
        <v>1</v>
      </c>
      <c r="L266" s="9"/>
      <c r="M266" s="9">
        <f t="shared" si="1"/>
        <v>1</v>
      </c>
    </row>
    <row r="267">
      <c r="A267" s="3" t="s">
        <v>534</v>
      </c>
      <c r="B267" s="3">
        <v>20.0</v>
      </c>
      <c r="C267" s="3">
        <v>9.0</v>
      </c>
      <c r="D267" s="4">
        <v>51.5830834469836</v>
      </c>
      <c r="E267" s="4">
        <v>-0.2192422459276</v>
      </c>
      <c r="F267" s="3" t="s">
        <v>39</v>
      </c>
      <c r="G267" s="3" t="s">
        <v>40</v>
      </c>
      <c r="H267" s="6" t="s">
        <v>414</v>
      </c>
      <c r="I267" s="6">
        <v>13268.0</v>
      </c>
      <c r="J267" s="7" t="str">
        <f>IFERROR(__xludf.DUMMYFUNCTION("IF(AND(REGEXMATCH($H267,""50( ?['fF]([oO]{2})?[tT]?)?( ?[eE][rR]{2}[oO][rR])"")=FALSE,$H267&lt;&gt;"""",$I267&lt;&gt;""""),HYPERLINK(""https://www.munzee.com/m/""&amp;$H267&amp;""/""&amp;$I267&amp;""/map/?lat=""&amp;$D267&amp;""&amp;lon=""&amp;$E267&amp;""&amp;type=""&amp;$F267&amp;""&amp;name=""&amp;SUBSTITUTE($A267,""#"&amp;""",""%23""),$H267&amp;""/""&amp;$I267),IF($H267&lt;&gt;"""",IF(REGEXMATCH($H267,""50( ?['fF]([oO]{2})?[tT]?)?( ?[eE][rR]{2}[oO][rR])""),HYPERLINK(""https://www.munzee.com/map/?sandbox=1&amp;lat=""&amp;$D267&amp;""&amp;lon=""&amp;$E267&amp;""&amp;name=""&amp;SUBSTITUTE($A267,""#"",""%23""),""SANDBOX"""&amp;"),HYPERLINK(""https://www.munzee.com/m/""&amp;$H267&amp;""/deploys/0/type/""&amp;IFNA(VLOOKUP($F267,IMPORTRANGE(""https://docs.google.com/spreadsheets/d/1DliIGyDywdzxhd4svtjaewR0p9Y5UBTMNMQ2PcXsqss"",""type data!E2:F""),2,FALSE),$F267)&amp;""/"",$H267)),""""))"),"kwd/13268")</f>
        <v>kwd/13268</v>
      </c>
      <c r="K267" s="6" t="b">
        <v>1</v>
      </c>
      <c r="L267" s="9"/>
      <c r="M267" s="9">
        <f t="shared" si="1"/>
        <v>2</v>
      </c>
    </row>
    <row r="268">
      <c r="A268" s="3" t="s">
        <v>535</v>
      </c>
      <c r="B268" s="3">
        <v>20.0</v>
      </c>
      <c r="C268" s="3">
        <v>10.0</v>
      </c>
      <c r="D268" s="4">
        <v>51.5830834467563</v>
      </c>
      <c r="E268" s="4">
        <v>-0.2190109371555</v>
      </c>
      <c r="F268" s="3" t="s">
        <v>29</v>
      </c>
      <c r="G268" s="3" t="s">
        <v>30</v>
      </c>
      <c r="H268" s="6" t="s">
        <v>171</v>
      </c>
      <c r="I268" s="6">
        <v>905.0</v>
      </c>
      <c r="J268" s="7" t="str">
        <f>IFERROR(__xludf.DUMMYFUNCTION("IF(AND(REGEXMATCH($H268,""50( ?['fF]([oO]{2})?[tT]?)?( ?[eE][rR]{2}[oO][rR])"")=FALSE,$H268&lt;&gt;"""",$I268&lt;&gt;""""),HYPERLINK(""https://www.munzee.com/m/""&amp;$H268&amp;""/""&amp;$I268&amp;""/map/?lat=""&amp;$D268&amp;""&amp;lon=""&amp;$E268&amp;""&amp;type=""&amp;$F268&amp;""&amp;name=""&amp;SUBSTITUTE($A268,""#"&amp;""",""%23""),$H268&amp;""/""&amp;$I268),IF($H268&lt;&gt;"""",IF(REGEXMATCH($H268,""50( ?['fF]([oO]{2})?[tT]?)?( ?[eE][rR]{2}[oO][rR])""),HYPERLINK(""https://www.munzee.com/map/?sandbox=1&amp;lat=""&amp;$D268&amp;""&amp;lon=""&amp;$E268&amp;""&amp;name=""&amp;SUBSTITUTE($A268,""#"",""%23""),""SANDBOX"""&amp;"),HYPERLINK(""https://www.munzee.com/m/""&amp;$H268&amp;""/deploys/0/type/""&amp;IFNA(VLOOKUP($F268,IMPORTRANGE(""https://docs.google.com/spreadsheets/d/1DliIGyDywdzxhd4svtjaewR0p9Y5UBTMNMQ2PcXsqss"",""type data!E2:F""),2,FALSE),$F268)&amp;""/"",$H268)),""""))"),"klc1960/905")</f>
        <v>klc1960/905</v>
      </c>
      <c r="K268" s="6" t="b">
        <v>1</v>
      </c>
      <c r="L268" s="9"/>
      <c r="M268" s="9">
        <f t="shared" si="1"/>
        <v>6</v>
      </c>
    </row>
    <row r="269">
      <c r="A269" s="3" t="s">
        <v>536</v>
      </c>
      <c r="B269" s="3">
        <v>20.0</v>
      </c>
      <c r="C269" s="3">
        <v>11.0</v>
      </c>
      <c r="D269" s="4">
        <v>51.583083446529</v>
      </c>
      <c r="E269" s="4">
        <v>-0.2187796283835</v>
      </c>
      <c r="F269" s="3" t="s">
        <v>33</v>
      </c>
      <c r="G269" s="3" t="s">
        <v>34</v>
      </c>
      <c r="H269" s="6" t="s">
        <v>142</v>
      </c>
      <c r="I269" s="6">
        <v>9942.0</v>
      </c>
      <c r="J269" s="7" t="str">
        <f>IFERROR(__xludf.DUMMYFUNCTION("IF(AND(REGEXMATCH($H269,""50( ?['fF]([oO]{2})?[tT]?)?( ?[eE][rR]{2}[oO][rR])"")=FALSE,$H269&lt;&gt;"""",$I269&lt;&gt;""""),HYPERLINK(""https://www.munzee.com/m/""&amp;$H269&amp;""/""&amp;$I269&amp;""/map/?lat=""&amp;$D269&amp;""&amp;lon=""&amp;$E269&amp;""&amp;type=""&amp;$F269&amp;""&amp;name=""&amp;SUBSTITUTE($A269,""#"&amp;""",""%23""),$H269&amp;""/""&amp;$I269),IF($H269&lt;&gt;"""",IF(REGEXMATCH($H269,""50( ?['fF]([oO]{2})?[tT]?)?( ?[eE][rR]{2}[oO][rR])""),HYPERLINK(""https://www.munzee.com/map/?sandbox=1&amp;lat=""&amp;$D269&amp;""&amp;lon=""&amp;$E269&amp;""&amp;name=""&amp;SUBSTITUTE($A269,""#"",""%23""),""SANDBOX"""&amp;"),HYPERLINK(""https://www.munzee.com/m/""&amp;$H269&amp;""/deploys/0/type/""&amp;IFNA(VLOOKUP($F269,IMPORTRANGE(""https://docs.google.com/spreadsheets/d/1DliIGyDywdzxhd4svtjaewR0p9Y5UBTMNMQ2PcXsqss"",""type data!E2:F""),2,FALSE),$F269)&amp;""/"",$H269)),""""))"),"georeyna/9942")</f>
        <v>georeyna/9942</v>
      </c>
      <c r="K269" s="6" t="b">
        <v>1</v>
      </c>
      <c r="L269" s="18" t="s">
        <v>537</v>
      </c>
      <c r="M269" s="9">
        <f t="shared" si="1"/>
        <v>4</v>
      </c>
    </row>
    <row r="270">
      <c r="A270" s="3" t="s">
        <v>538</v>
      </c>
      <c r="B270" s="3">
        <v>20.0</v>
      </c>
      <c r="C270" s="3">
        <v>12.0</v>
      </c>
      <c r="D270" s="4">
        <v>51.5830834463017</v>
      </c>
      <c r="E270" s="4">
        <v>-0.2185483196114</v>
      </c>
      <c r="F270" s="3" t="s">
        <v>29</v>
      </c>
      <c r="G270" s="3" t="s">
        <v>30</v>
      </c>
      <c r="H270" s="6" t="s">
        <v>53</v>
      </c>
      <c r="I270" s="6">
        <v>802.0</v>
      </c>
      <c r="J270" s="7" t="str">
        <f>IFERROR(__xludf.DUMMYFUNCTION("IF(AND(REGEXMATCH($H270,""50( ?['fF]([oO]{2})?[tT]?)?( ?[eE][rR]{2}[oO][rR])"")=FALSE,$H270&lt;&gt;"""",$I270&lt;&gt;""""),HYPERLINK(""https://www.munzee.com/m/""&amp;$H270&amp;""/""&amp;$I270&amp;""/map/?lat=""&amp;$D270&amp;""&amp;lon=""&amp;$E270&amp;""&amp;type=""&amp;$F270&amp;""&amp;name=""&amp;SUBSTITUTE($A270,""#"&amp;""",""%23""),$H270&amp;""/""&amp;$I270),IF($H270&lt;&gt;"""",IF(REGEXMATCH($H270,""50( ?['fF]([oO]{2})?[tT]?)?( ?[eE][rR]{2}[oO][rR])""),HYPERLINK(""https://www.munzee.com/map/?sandbox=1&amp;lat=""&amp;$D270&amp;""&amp;lon=""&amp;$E270&amp;""&amp;name=""&amp;SUBSTITUTE($A270,""#"",""%23""),""SANDBOX"""&amp;"),HYPERLINK(""https://www.munzee.com/m/""&amp;$H270&amp;""/deploys/0/type/""&amp;IFNA(VLOOKUP($F270,IMPORTRANGE(""https://docs.google.com/spreadsheets/d/1DliIGyDywdzxhd4svtjaewR0p9Y5UBTMNMQ2PcXsqss"",""type data!E2:F""),2,FALSE),$F270)&amp;""/"",$H270)),""""))"),"TMac2/802")</f>
        <v>TMac2/802</v>
      </c>
      <c r="K270" s="6" t="b">
        <v>1</v>
      </c>
      <c r="L270" s="9"/>
      <c r="M270" s="9">
        <f t="shared" si="1"/>
        <v>6</v>
      </c>
    </row>
    <row r="271">
      <c r="A271" s="3" t="s">
        <v>539</v>
      </c>
      <c r="B271" s="3">
        <v>20.0</v>
      </c>
      <c r="C271" s="3">
        <v>13.0</v>
      </c>
      <c r="D271" s="4">
        <v>51.5830834460744</v>
      </c>
      <c r="E271" s="4">
        <v>-0.2183170108393</v>
      </c>
      <c r="F271" s="3" t="s">
        <v>25</v>
      </c>
      <c r="G271" s="3" t="s">
        <v>26</v>
      </c>
      <c r="H271" s="6" t="s">
        <v>463</v>
      </c>
      <c r="I271" s="6">
        <v>2866.0</v>
      </c>
      <c r="J271" s="7" t="str">
        <f>IFERROR(__xludf.DUMMYFUNCTION("IF(AND(REGEXMATCH($H271,""50( ?['fF]([oO]{2})?[tT]?)?( ?[eE][rR]{2}[oO][rR])"")=FALSE,$H271&lt;&gt;"""",$I271&lt;&gt;""""),HYPERLINK(""https://www.munzee.com/m/""&amp;$H271&amp;""/""&amp;$I271&amp;""/map/?lat=""&amp;$D271&amp;""&amp;lon=""&amp;$E271&amp;""&amp;type=""&amp;$F271&amp;""&amp;name=""&amp;SUBSTITUTE($A271,""#"&amp;""",""%23""),$H271&amp;""/""&amp;$I271),IF($H271&lt;&gt;"""",IF(REGEXMATCH($H271,""50( ?['fF]([oO]{2})?[tT]?)?( ?[eE][rR]{2}[oO][rR])""),HYPERLINK(""https://www.munzee.com/map/?sandbox=1&amp;lat=""&amp;$D271&amp;""&amp;lon=""&amp;$E271&amp;""&amp;name=""&amp;SUBSTITUTE($A271,""#"",""%23""),""SANDBOX"""&amp;"),HYPERLINK(""https://www.munzee.com/m/""&amp;$H271&amp;""/deploys/0/type/""&amp;IFNA(VLOOKUP($F271,IMPORTRANGE(""https://docs.google.com/spreadsheets/d/1DliIGyDywdzxhd4svtjaewR0p9Y5UBTMNMQ2PcXsqss"",""type data!E2:F""),2,FALSE),$F271)&amp;""/"",$H271)),""""))"),"jldh/2866")</f>
        <v>jldh/2866</v>
      </c>
      <c r="K271" s="6" t="b">
        <v>1</v>
      </c>
      <c r="L271" s="9"/>
      <c r="M271" s="9">
        <f t="shared" si="1"/>
        <v>2</v>
      </c>
    </row>
    <row r="272">
      <c r="A272" s="3" t="s">
        <v>540</v>
      </c>
      <c r="B272" s="3">
        <v>21.0</v>
      </c>
      <c r="C272" s="3">
        <v>10.0</v>
      </c>
      <c r="D272" s="4">
        <v>51.5829397163109</v>
      </c>
      <c r="E272" s="4">
        <v>-0.2190109583745</v>
      </c>
      <c r="F272" s="3" t="s">
        <v>14</v>
      </c>
      <c r="G272" s="3" t="s">
        <v>15</v>
      </c>
      <c r="H272" s="6" t="s">
        <v>501</v>
      </c>
      <c r="I272" s="6">
        <v>6565.0</v>
      </c>
      <c r="J272" s="7" t="str">
        <f>IFERROR(__xludf.DUMMYFUNCTION("IF(AND(REGEXMATCH($H272,""50( ?['fF]([oO]{2})?[tT]?)?( ?[eE][rR]{2}[oO][rR])"")=FALSE,$H272&lt;&gt;"""",$I272&lt;&gt;""""),HYPERLINK(""https://www.munzee.com/m/""&amp;$H272&amp;""/""&amp;$I272&amp;""/map/?lat=""&amp;$D272&amp;""&amp;lon=""&amp;$E272&amp;""&amp;type=""&amp;$F272&amp;""&amp;name=""&amp;SUBSTITUTE($A272,""#"&amp;""",""%23""),$H272&amp;""/""&amp;$I272),IF($H272&lt;&gt;"""",IF(REGEXMATCH($H272,""50( ?['fF]([oO]{2})?[tT]?)?( ?[eE][rR]{2}[oO][rR])""),HYPERLINK(""https://www.munzee.com/map/?sandbox=1&amp;lat=""&amp;$D272&amp;""&amp;lon=""&amp;$E272&amp;""&amp;name=""&amp;SUBSTITUTE($A272,""#"",""%23""),""SANDBOX"""&amp;"),HYPERLINK(""https://www.munzee.com/m/""&amp;$H272&amp;""/deploys/0/type/""&amp;IFNA(VLOOKUP($F272,IMPORTRANGE(""https://docs.google.com/spreadsheets/d/1DliIGyDywdzxhd4svtjaewR0p9Y5UBTMNMQ2PcXsqss"",""type data!E2:F""),2,FALSE),$F272)&amp;""/"",$H272)),""""))"),"StaceyZ/6565")</f>
        <v>StaceyZ/6565</v>
      </c>
      <c r="K272" s="6" t="b">
        <v>1</v>
      </c>
      <c r="L272" s="18" t="s">
        <v>541</v>
      </c>
      <c r="M272" s="9">
        <f t="shared" si="1"/>
        <v>2</v>
      </c>
    </row>
    <row r="273">
      <c r="A273" s="3" t="s">
        <v>542</v>
      </c>
      <c r="B273" s="3">
        <v>21.0</v>
      </c>
      <c r="C273" s="3">
        <v>11.0</v>
      </c>
      <c r="D273" s="4">
        <v>51.5829397160836</v>
      </c>
      <c r="E273" s="4">
        <v>-0.2187796503341</v>
      </c>
      <c r="F273" s="3" t="s">
        <v>19</v>
      </c>
      <c r="G273" s="3" t="s">
        <v>20</v>
      </c>
      <c r="H273" s="6" t="s">
        <v>543</v>
      </c>
      <c r="I273" s="6">
        <v>2371.0</v>
      </c>
      <c r="J273" s="7" t="str">
        <f>IFERROR(__xludf.DUMMYFUNCTION("IF(AND(REGEXMATCH($H273,""50( ?['fF]([oO]{2})?[tT]?)?( ?[eE][rR]{2}[oO][rR])"")=FALSE,$H273&lt;&gt;"""",$I273&lt;&gt;""""),HYPERLINK(""https://www.munzee.com/m/""&amp;$H273&amp;""/""&amp;$I273&amp;""/map/?lat=""&amp;$D273&amp;""&amp;lon=""&amp;$E273&amp;""&amp;type=""&amp;$F273&amp;""&amp;name=""&amp;SUBSTITUTE($A273,""#"&amp;""",""%23""),$H273&amp;""/""&amp;$I273),IF($H273&lt;&gt;"""",IF(REGEXMATCH($H273,""50( ?['fF]([oO]{2})?[tT]?)?( ?[eE][rR]{2}[oO][rR])""),HYPERLINK(""https://www.munzee.com/map/?sandbox=1&amp;lat=""&amp;$D273&amp;""&amp;lon=""&amp;$E273&amp;""&amp;name=""&amp;SUBSTITUTE($A273,""#"",""%23""),""SANDBOX"""&amp;"),HYPERLINK(""https://www.munzee.com/m/""&amp;$H273&amp;""/deploys/0/type/""&amp;IFNA(VLOOKUP($F273,IMPORTRANGE(""https://docs.google.com/spreadsheets/d/1DliIGyDywdzxhd4svtjaewR0p9Y5UBTMNMQ2PcXsqss"",""type data!E2:F""),2,FALSE),$F273)&amp;""/"",$H273)),""""))"),"gatefan/2371")</f>
        <v>gatefan/2371</v>
      </c>
      <c r="K273" s="6" t="b">
        <v>1</v>
      </c>
      <c r="L273" s="9"/>
      <c r="M273" s="9">
        <f t="shared" si="1"/>
        <v>1</v>
      </c>
    </row>
    <row r="274">
      <c r="A274" s="3" t="s">
        <v>544</v>
      </c>
      <c r="B274" s="3">
        <v>21.0</v>
      </c>
      <c r="C274" s="3">
        <v>12.0</v>
      </c>
      <c r="D274" s="4">
        <v>51.5829397158563</v>
      </c>
      <c r="E274" s="4">
        <v>-0.2185483422937</v>
      </c>
      <c r="F274" s="3" t="s">
        <v>14</v>
      </c>
      <c r="G274" s="3" t="s">
        <v>15</v>
      </c>
      <c r="H274" s="6" t="s">
        <v>99</v>
      </c>
      <c r="I274" s="6">
        <v>6088.0</v>
      </c>
      <c r="J274" s="7" t="str">
        <f>IFERROR(__xludf.DUMMYFUNCTION("IF(AND(REGEXMATCH($H274,""50( ?['fF]([oO]{2})?[tT]?)?( ?[eE][rR]{2}[oO][rR])"")=FALSE,$H274&lt;&gt;"""",$I274&lt;&gt;""""),HYPERLINK(""https://www.munzee.com/m/""&amp;$H274&amp;""/""&amp;$I274&amp;""/map/?lat=""&amp;$D274&amp;""&amp;lon=""&amp;$E274&amp;""&amp;type=""&amp;$F274&amp;""&amp;name=""&amp;SUBSTITUTE($A274,""#"&amp;""",""%23""),$H274&amp;""/""&amp;$I274),IF($H274&lt;&gt;"""",IF(REGEXMATCH($H274,""50( ?['fF]([oO]{2})?[tT]?)?( ?[eE][rR]{2}[oO][rR])""),HYPERLINK(""https://www.munzee.com/map/?sandbox=1&amp;lat=""&amp;$D274&amp;""&amp;lon=""&amp;$E274&amp;""&amp;name=""&amp;SUBSTITUTE($A274,""#"",""%23""),""SANDBOX"""&amp;"),HYPERLINK(""https://www.munzee.com/m/""&amp;$H274&amp;""/deploys/0/type/""&amp;IFNA(VLOOKUP($F274,IMPORTRANGE(""https://docs.google.com/spreadsheets/d/1DliIGyDywdzxhd4svtjaewR0p9Y5UBTMNMQ2PcXsqss"",""type data!E2:F""),2,FALSE),$F274)&amp;""/"",$H274)),""""))"),"Amadoreugen/6088")</f>
        <v>Amadoreugen/6088</v>
      </c>
      <c r="K274" s="6" t="b">
        <v>1</v>
      </c>
      <c r="L274" s="9"/>
      <c r="M274" s="9">
        <f t="shared" si="1"/>
        <v>7</v>
      </c>
    </row>
  </sheetData>
  <customSheetViews>
    <customSheetView guid="{8B79A280-ADB2-44C2-8C97-89521C9DB43F}" filter="1" showAutoFilter="1">
      <autoFilter ref="$A$1:$M$274">
        <filterColumn colId="7">
          <filters>
            <filter val="lnlevy01"/>
            <filter val="KLC"/>
            <filter val="MrBarnard"/>
            <filter val="Majsan"/>
            <filter val="Syrtene"/>
            <filter val="Bambi5"/>
            <filter val="ol0n0lo"/>
            <filter val="Fossillady"/>
            <filter val="Amadoreugen"/>
            <filter val="lanyasummer"/>
            <filter val="Yoshigirl"/>
            <filter val="klc1960"/>
            <filter val="kwilhelm001"/>
            <filter val="Leesap"/>
            <filter val="mossieman"/>
            <filter val="iScreamBIue"/>
            <filter val="GMariusz"/>
            <filter val="Quietriots"/>
            <filter val="mortonfox"/>
            <filter val="spdx2"/>
            <filter val="denali0407"/>
            <filter val="raunas"/>
            <filter val="halizwein"/>
            <filter val="moonster"/>
            <filter val="geckofreund"/>
            <filter val="Unicorn55"/>
            <filter val="szakica"/>
            <filter val="Bisquick2"/>
            <filter val="ashthegeogenius"/>
            <filter val="barefootguru"/>
            <filter val="5Star"/>
            <filter val="munzeefarmor"/>
            <filter val="OldFruits"/>
            <filter val="Beermaven"/>
            <filter val="Benotje"/>
            <filter val="twoleftknees"/>
            <filter val="andyscorch"/>
            <filter val="Aniara"/>
            <filter val="jacksparrow"/>
            <filter val="NikitaStolk"/>
            <filter val="kiitokurre"/>
            <filter val="Centern"/>
            <filter val="bazfum"/>
            <filter val="janzattic"/>
            <filter val="92Supercoupe"/>
            <filter val="flipperandco"/>
            <filter val="Tanzy"/>
            <filter val="wanderingausl"/>
            <filter val="munzeeprof"/>
            <filter val="Peter1980"/>
            <filter val="Nierenstein"/>
            <filter val="Cachelady"/>
            <filter val="dazzaf"/>
            <filter val="taska1981"/>
            <filter val="fionails"/>
            <filter val="Tornado"/>
            <filter val="wally62"/>
            <filter val="nbtzyy2"/>
            <filter val="leesap"/>
            <filter val="FlatBlack"/>
            <filter val="lonni"/>
            <filter val="TTFNCachn"/>
            <filter val="IggiePiggie"/>
            <filter val="SzymcioT"/>
            <filter val="georeyna"/>
            <filter val="MaryJaneKitty"/>
            <filter val="rayannchick"/>
            <filter val="volki2000"/>
            <filter val="BonnieB1"/>
            <filter val="123xilef"/>
            <filter val="MsGiggler"/>
            <filter val="Chivasloyal"/>
            <filter val="levesund"/>
            <filter val="ruckus2012"/>
            <filter val="JemmaJ1983"/>
            <filter val="jldh"/>
            <filter val="Lehmis"/>
            <filter val="technical13"/>
            <filter val="kwd"/>
            <filter val="Clareppuccino"/>
            <filter val="Tinman1980"/>
            <filter val="halaszkiraly"/>
            <filter val="Sivontim"/>
            <filter val="lison55"/>
            <filter val="rgforsythe"/>
            <filter val="Noisette"/>
            <filter val="nuttynan"/>
            <filter val="mding4gold"/>
            <filter val="PelicanRouge"/>
            <filter val="WanderingAus"/>
            <filter val="ArchieRuby"/>
            <filter val="roughdraft"/>
            <filter val="wemissmo"/>
            <filter val="munzeemor"/>
            <filter val="NoahCache"/>
            <filter val="shrekmiester"/>
            <filter val="ivwarrior"/>
            <filter val="Maattmoo"/>
            <filter val="JaroslavKaas"/>
            <filter val="newbee"/>
            <filter val="Tonliluvsnow"/>
            <filter val="alexcarter"/>
            <filter val="cuttingcrew"/>
            <filter val="Attis"/>
            <filter val="Bungle"/>
            <filter val="50ft error"/>
            <filter val="SillyMooseMama"/>
            <filter val="50' Error"/>
            <filter val="NYBOSS"/>
            <filter val="WantingSnow"/>
            <filter val="destolkjes4ever"/>
            <filter val="Naturelover"/>
            <filter val="CoffeeEater"/>
            <filter val="taxi343"/>
            <filter val="einkilorind"/>
            <filter val="all0123"/>
            <filter val="Maxi72"/>
            <filter val="Moppett85"/>
            <filter val="Babydane"/>
            <filter val="crazycolorado"/>
            <filter val="Smith2190"/>
            <filter val="Humez"/>
            <filter val="SammIam"/>
            <filter val="DABirds"/>
            <filter val="heathcote07"/>
            <filter val="WinterCheetah"/>
            <filter val="Newfruit"/>
            <filter val="TheJenks7"/>
            <filter val="fabiusz"/>
            <filter val="Derlame"/>
            <filter val="CarlisleCachers"/>
            <filter val="RangerTJ"/>
            <filter val="xraybill"/>
            <filter val="sportytaxi"/>
            <filter val="JBurden"/>
            <filter val="BoMS"/>
            <filter val="redshark78"/>
            <filter val="bjktgdmb"/>
            <filter val="mihul"/>
            <filter val="gatefan"/>
            <filter val="DarbyJoan"/>
            <filter val="Kyrandia"/>
            <filter val="jafo43"/>
            <filter val="granitente"/>
            <filter val="linusbi"/>
            <filter val="q22q17"/>
            <filter val="kpcrystal07"/>
            <filter val="MetteS"/>
            <filter val="monrose"/>
            <filter val="Lehmich"/>
            <filter val="Heathcote07"/>
            <filter val="TeamTazmina"/>
            <filter val="JABIE28"/>
            <filter val="superchucklez"/>
            <filter val="TMac2"/>
            <filter val="babyw"/>
            <filter val="naturelover"/>
            <filter val="teamsturms"/>
            <filter val="annabanana"/>
            <filter val="WhatsItAllAbout"/>
            <filter val="StaceyZ"/>
          </filters>
        </filterColumn>
        <filterColumn colId="10">
          <filters blank="1"/>
        </filterColumn>
      </autoFilter>
    </customSheetView>
  </customSheetViews>
  <conditionalFormatting sqref="A2:I274 L2:L274">
    <cfRule type="expression" dxfId="0" priority="1">
      <formula>IF(AND(OR($H2="",$I2=""),$K2=TRUE),TRUE,FALSE)</formula>
    </cfRule>
  </conditionalFormatting>
  <conditionalFormatting sqref="A2:L274">
    <cfRule type="expression" dxfId="1" priority="2">
      <formula>IF(AND($H2&lt;&gt;"",$I2&lt;&gt;"",$K2=TRUE),TRUE,FALSE)</formula>
    </cfRule>
  </conditionalFormatting>
  <conditionalFormatting sqref="A2:G274 L207">
    <cfRule type="expression" dxfId="2" priority="3">
      <formula>IF($G2="Catapult",TRUE,FALSE)</formula>
    </cfRule>
  </conditionalFormatting>
  <conditionalFormatting sqref="A2:F274 L207">
    <cfRule type="expression" dxfId="3" priority="4">
      <formula>IF($G2="timberwolf",TRUE,FALSE)</formula>
    </cfRule>
  </conditionalFormatting>
  <conditionalFormatting sqref="A2:F274 L207">
    <cfRule type="expression" dxfId="4" priority="5">
      <formula>IF($G2="silver",TRUE,FALSE)</formula>
    </cfRule>
  </conditionalFormatting>
  <conditionalFormatting sqref="A2:F274 L207">
    <cfRule type="expression" dxfId="5" priority="6">
      <formula>IF($G2="gray",TRUE,FALSE)</formula>
    </cfRule>
  </conditionalFormatting>
  <conditionalFormatting sqref="A2:F274 L207">
    <cfRule type="expression" dxfId="6" priority="7">
      <formula>IF($G2="black",TRUE,FALSE)</formula>
    </cfRule>
  </conditionalFormatting>
  <conditionalFormatting sqref="A2:F274 L207">
    <cfRule type="expression" dxfId="7" priority="8">
      <formula>IF($G2="orchid",TRUE,FALSE)</formula>
    </cfRule>
  </conditionalFormatting>
  <conditionalFormatting sqref="A2:F274 L207">
    <cfRule type="expression" dxfId="8" priority="9">
      <formula>IF($G2="wisteria",TRUE,FALSE)</formula>
    </cfRule>
  </conditionalFormatting>
  <conditionalFormatting sqref="A2:F274 L207">
    <cfRule type="expression" dxfId="9" priority="10">
      <formula>IF($G2="purple mountains majesty",TRUE,FALSE)</formula>
    </cfRule>
  </conditionalFormatting>
  <conditionalFormatting sqref="A2:F274 L207">
    <cfRule type="expression" dxfId="10" priority="11">
      <formula>IF($G2="violet",TRUE,FALSE)</formula>
    </cfRule>
  </conditionalFormatting>
  <conditionalFormatting sqref="A2:F274 L207">
    <cfRule type="expression" dxfId="11" priority="12">
      <formula>IF($G2="plum",TRUE,FALSE)</formula>
    </cfRule>
  </conditionalFormatting>
  <conditionalFormatting sqref="A2:F274 L207">
    <cfRule type="expression" dxfId="12" priority="13">
      <formula>IF($G2="violet",TRUE,FALSE)</formula>
    </cfRule>
  </conditionalFormatting>
  <conditionalFormatting sqref="A2:F274 L207">
    <cfRule type="expression" dxfId="13" priority="14">
      <formula>IF($G2="indigo",TRUE,FALSE)</formula>
    </cfRule>
  </conditionalFormatting>
  <conditionalFormatting sqref="A2:F274 L207">
    <cfRule type="expression" dxfId="14" priority="15">
      <formula>IF($G2="blue",TRUE,FALSE)</formula>
    </cfRule>
  </conditionalFormatting>
  <conditionalFormatting sqref="A2:F274 L207">
    <cfRule type="expression" dxfId="15" priority="16">
      <formula>IF($G2="cadet blue",TRUE,FALSE)</formula>
    </cfRule>
  </conditionalFormatting>
  <conditionalFormatting sqref="A2:F274 L207">
    <cfRule type="expression" dxfId="16" priority="17">
      <formula>IF($G2="periwinkle",TRUE,FALSE)</formula>
    </cfRule>
  </conditionalFormatting>
  <conditionalFormatting sqref="A2:F274 L207">
    <cfRule type="expression" dxfId="17" priority="18">
      <formula>IF($G2="cornflower",TRUE,FALSE)</formula>
    </cfRule>
  </conditionalFormatting>
  <conditionalFormatting sqref="A2:F274 L207">
    <cfRule type="expression" dxfId="18" priority="19">
      <formula>IF($G2="blue green",TRUE,FALSE)</formula>
    </cfRule>
  </conditionalFormatting>
  <conditionalFormatting sqref="A2:F274 L207">
    <cfRule type="expression" dxfId="19" priority="20">
      <formula>IF($G2="pacific blue",TRUE,FALSE)</formula>
    </cfRule>
  </conditionalFormatting>
  <conditionalFormatting sqref="A2:F274 L207">
    <cfRule type="expression" dxfId="20" priority="21">
      <formula>IF($G2="cerulean",TRUE,FALSE)</formula>
    </cfRule>
  </conditionalFormatting>
  <conditionalFormatting sqref="A2:F274 L207">
    <cfRule type="expression" dxfId="21" priority="22">
      <formula>IF($G2="robin egg blue",TRUE,FALSE)</formula>
    </cfRule>
  </conditionalFormatting>
  <conditionalFormatting sqref="A2:F274 L207">
    <cfRule type="expression" dxfId="22" priority="23">
      <formula>IF($G2="turquoise blue",TRUE,FALSE)</formula>
    </cfRule>
  </conditionalFormatting>
  <conditionalFormatting sqref="A2:F274 L207">
    <cfRule type="expression" dxfId="23" priority="24">
      <formula>IF($G2="sea green",TRUE,FALSE)</formula>
    </cfRule>
  </conditionalFormatting>
  <conditionalFormatting sqref="A2:F274 L207">
    <cfRule type="expression" dxfId="24" priority="25">
      <formula>IF($G2="granny smith apple",TRUE,FALSE)</formula>
    </cfRule>
  </conditionalFormatting>
  <conditionalFormatting sqref="A2:F274 L207">
    <cfRule type="expression" dxfId="25" priority="26">
      <formula>IF($G2="green",TRUE,FALSE)</formula>
    </cfRule>
  </conditionalFormatting>
  <conditionalFormatting sqref="A2:F274 L207">
    <cfRule type="expression" dxfId="25" priority="27">
      <formula>IF($G2="green",TRUE,FALSE)</formula>
    </cfRule>
  </conditionalFormatting>
  <conditionalFormatting sqref="A2:F274 L207">
    <cfRule type="expression" dxfId="26" priority="28">
      <formula>IF($G2="forest green",TRUE,FALSE)</formula>
    </cfRule>
  </conditionalFormatting>
  <conditionalFormatting sqref="A2:F274 L207">
    <cfRule type="expression" dxfId="27" priority="29">
      <formula>IF($G2="asparagus",TRUE,FALSE)</formula>
    </cfRule>
  </conditionalFormatting>
  <conditionalFormatting sqref="A2:F274 L207">
    <cfRule type="expression" dxfId="28" priority="30">
      <formula>IF($G2="olive green",TRUE,FALSE)</formula>
    </cfRule>
  </conditionalFormatting>
  <conditionalFormatting sqref="A2:F274 L207">
    <cfRule type="expression" dxfId="29" priority="31">
      <formula>IF($G2="yellow green",TRUE,FALSE)</formula>
    </cfRule>
  </conditionalFormatting>
  <conditionalFormatting sqref="A2:F274 L207">
    <cfRule type="expression" dxfId="30" priority="32">
      <formula>IF($G2="green yellow",TRUE,FALSE)</formula>
    </cfRule>
  </conditionalFormatting>
  <conditionalFormatting sqref="A2:F274 L207">
    <cfRule type="expression" dxfId="31" priority="33">
      <formula>IF($G2="spring green",TRUE,FALSE)</formula>
    </cfRule>
  </conditionalFormatting>
  <conditionalFormatting sqref="A2:F274 L207">
    <cfRule type="expression" dxfId="32" priority="34">
      <formula>IF($G2="gold",TRUE,FALSE)</formula>
    </cfRule>
  </conditionalFormatting>
  <conditionalFormatting sqref="A2:F274 L207">
    <cfRule type="expression" dxfId="33" priority="35">
      <formula>IF($G2="yellow",TRUE,FALSE)</formula>
    </cfRule>
  </conditionalFormatting>
  <conditionalFormatting sqref="A2:F274 L207">
    <cfRule type="expression" dxfId="34" priority="36">
      <formula>IF($G2="goldenrod",TRUE,FALSE)</formula>
    </cfRule>
  </conditionalFormatting>
  <conditionalFormatting sqref="A2:F274 L207">
    <cfRule type="expression" dxfId="35" priority="37">
      <formula>IF($G2="dandelion",TRUE,FALSE)</formula>
    </cfRule>
  </conditionalFormatting>
  <conditionalFormatting sqref="A2:F274 L207">
    <cfRule type="expression" dxfId="36" priority="38">
      <formula>IF($G2="burnt orange",TRUE,FALSE)</formula>
    </cfRule>
  </conditionalFormatting>
  <conditionalFormatting sqref="A2:F274 L207">
    <cfRule type="expression" dxfId="37" priority="39">
      <formula>IF($G2="orange",TRUE,FALSE)</formula>
    </cfRule>
  </conditionalFormatting>
  <conditionalFormatting sqref="A2:F274 L207">
    <cfRule type="expression" dxfId="38" priority="40">
      <formula>IF($G2="melon",TRUE,FALSE)</formula>
    </cfRule>
  </conditionalFormatting>
  <conditionalFormatting sqref="A2:F274 L207">
    <cfRule type="expression" dxfId="39" priority="41">
      <formula>IF($G2="pink",TRUE,FALSE)</formula>
    </cfRule>
  </conditionalFormatting>
  <conditionalFormatting sqref="A2:F274 L207">
    <cfRule type="expression" dxfId="40" priority="42">
      <formula>IF($G2="carnation pink",TRUE,FALSE)</formula>
    </cfRule>
  </conditionalFormatting>
  <conditionalFormatting sqref="A2:F274 L207">
    <cfRule type="expression" dxfId="41" priority="43">
      <formula>IF($G2="mauvelous",TRUE,FALSE)</formula>
    </cfRule>
  </conditionalFormatting>
  <conditionalFormatting sqref="A2:F274 L207">
    <cfRule type="expression" dxfId="42" priority="44">
      <formula>IF($G2="salmon",TRUE,FALSE)</formula>
    </cfRule>
  </conditionalFormatting>
  <conditionalFormatting sqref="A2:F274 L207">
    <cfRule type="expression" dxfId="43" priority="45">
      <formula>IF($G2="tickle me pink",TRUE,FALSE)</formula>
    </cfRule>
  </conditionalFormatting>
  <conditionalFormatting sqref="A2:F274 L207">
    <cfRule type="expression" dxfId="44" priority="46">
      <formula>IF($G2="magenta",TRUE,FALSE)</formula>
    </cfRule>
  </conditionalFormatting>
  <conditionalFormatting sqref="A2:F274 L207">
    <cfRule type="expression" dxfId="45" priority="47">
      <formula>IF($G2="wild strawberry",TRUE,FALSE)</formula>
    </cfRule>
  </conditionalFormatting>
  <conditionalFormatting sqref="A2:F274 L207">
    <cfRule type="expression" dxfId="46" priority="48">
      <formula>IF($G2="violet red",TRUE,FALSE)</formula>
    </cfRule>
  </conditionalFormatting>
  <conditionalFormatting sqref="A2:F274 L207">
    <cfRule type="expression" dxfId="47" priority="49">
      <formula>IF($G2="red violet",TRUE,FALSE)</formula>
    </cfRule>
  </conditionalFormatting>
  <conditionalFormatting sqref="A2:F274 L207">
    <cfRule type="expression" dxfId="48" priority="50">
      <formula>IF($G2="apricot",TRUE,FALSE)</formula>
    </cfRule>
  </conditionalFormatting>
  <conditionalFormatting sqref="A2:F274 L207">
    <cfRule type="expression" dxfId="49" priority="51">
      <formula>IF($G2="peach",TRUE,FALSE)</formula>
    </cfRule>
  </conditionalFormatting>
  <conditionalFormatting sqref="A2:F274 L207">
    <cfRule type="expression" dxfId="50" priority="52">
      <formula>IF($G2="macaroni and cheese",TRUE,FALSE)</formula>
    </cfRule>
  </conditionalFormatting>
  <conditionalFormatting sqref="A2:F274 L207">
    <cfRule type="expression" dxfId="51" priority="53">
      <formula>IF($G2="tan",TRUE,FALSE)</formula>
    </cfRule>
  </conditionalFormatting>
  <conditionalFormatting sqref="A2:F274 L207">
    <cfRule type="expression" dxfId="52" priority="54">
      <formula>IF($G2="burnt sienna",TRUE,FALSE)</formula>
    </cfRule>
  </conditionalFormatting>
  <conditionalFormatting sqref="A2:F274 L207">
    <cfRule type="expression" dxfId="53" priority="55">
      <formula>IF($G2="bittersweet",TRUE,FALSE)</formula>
    </cfRule>
  </conditionalFormatting>
  <conditionalFormatting sqref="A2:F274 L207">
    <cfRule type="expression" dxfId="54" priority="56">
      <formula>IF($G2="red orange",TRUE,FALSE)</formula>
    </cfRule>
  </conditionalFormatting>
  <conditionalFormatting sqref="A2:F274 L207">
    <cfRule type="expression" dxfId="55" priority="57">
      <formula>IF($G2="scarlet",TRUE,FALSE)</formula>
    </cfRule>
  </conditionalFormatting>
  <conditionalFormatting sqref="A2:F274 L207">
    <cfRule type="expression" dxfId="56" priority="58">
      <formula>IF($G2="red",TRUE,FALSE)</formula>
    </cfRule>
  </conditionalFormatting>
  <conditionalFormatting sqref="A2:F274 L207">
    <cfRule type="expression" dxfId="57" priority="59">
      <formula>IF($G2="brick red",TRUE,FALSE)</formula>
    </cfRule>
  </conditionalFormatting>
  <conditionalFormatting sqref="A2:F274 L207">
    <cfRule type="expression" dxfId="58" priority="60">
      <formula>IF($G2="mahogany",TRUE,FALSE)</formula>
    </cfRule>
  </conditionalFormatting>
  <conditionalFormatting sqref="A2:F274 L207">
    <cfRule type="expression" dxfId="59" priority="61">
      <formula>IF($G2="chestnut",TRUE,FALSE)</formula>
    </cfRule>
  </conditionalFormatting>
  <conditionalFormatting sqref="A2:F274 L207">
    <cfRule type="expression" dxfId="60" priority="62">
      <formula>IF($G2="tumbleweed",TRUE,FALSE)</formula>
    </cfRule>
  </conditionalFormatting>
  <conditionalFormatting sqref="A2:F274 L207">
    <cfRule type="expression" dxfId="61" priority="63">
      <formula>IF($G2="raw sienna",TRUE,FALSE)</formula>
    </cfRule>
  </conditionalFormatting>
  <conditionalFormatting sqref="A2:F274 L207">
    <cfRule type="expression" dxfId="62" priority="64">
      <formula>IF($G2="brown",TRUE,FALSE)</formula>
    </cfRule>
  </conditionalFormatting>
  <conditionalFormatting sqref="A2:F274 L207">
    <cfRule type="expression" dxfId="63" priority="65">
      <formula>IF($G2="carrot seed",TRUE,FALSE)</formula>
    </cfRule>
  </conditionalFormatting>
  <conditionalFormatting sqref="A2:F274 L207">
    <cfRule type="expression" dxfId="64" priority="66">
      <formula>IF($G2="peas seed",TRUE,FALSE)</formula>
    </cfRule>
  </conditionalFormatting>
  <conditionalFormatting sqref="A2:F274 L207">
    <cfRule type="expression" dxfId="65" priority="67">
      <formula>IF($G2="colt",TRUE,FALSE)</formula>
    </cfRule>
  </conditionalFormatting>
  <conditionalFormatting sqref="A2:F274 L207">
    <cfRule type="expression" dxfId="66" priority="68">
      <formula>IF($G2="chick",TRUE,FALSE)</formula>
    </cfRule>
  </conditionalFormatting>
  <conditionalFormatting sqref="A2:F274 L207">
    <cfRule type="expression" dxfId="67" priority="69">
      <formula>IF($G2="farmer",TRUE,FALSE)</formula>
    </cfRule>
  </conditionalFormatting>
  <conditionalFormatting sqref="A2:F274 L207">
    <cfRule type="expression" dxfId="68" priority="70">
      <formula>IF($G2="field",TRUE,FALSE)</formula>
    </cfRule>
  </conditionalFormatting>
  <conditionalFormatting sqref="H2:L274">
    <cfRule type="expression" dxfId="69" priority="71">
      <formula>IF(AND($H2&lt;&gt;"",$I2&lt;&gt;"",$K2=FALSE),TRUE,FALSE)</formula>
    </cfRule>
  </conditionalFormatting>
  <conditionalFormatting sqref="H2:J274 L2:L274">
    <cfRule type="expression" dxfId="70" priority="72">
      <formula>IF(AND($H2&lt;&gt;"",$I2="",$K2=FALSE),TRUE,FALSE)</formula>
    </cfRule>
  </conditionalFormatting>
  <conditionalFormatting sqref="A2:F274 L207">
    <cfRule type="expression" dxfId="71" priority="73">
      <formula>IF($G2="onyx",TRUE,FALSE)</formula>
    </cfRule>
  </conditionalFormatting>
  <conditionalFormatting sqref="A2:F274 L207">
    <cfRule type="expression" dxfId="72" priority="74">
      <formula>IF($G2="citrine",TRUE,FALSE)</formula>
    </cfRule>
  </conditionalFormatting>
  <conditionalFormatting sqref="A2:F274 L207">
    <cfRule type="expression" dxfId="73" priority="75">
      <formula>IF($G2="electric mystery",TRUE,FALSE)</formula>
    </cfRule>
  </conditionalFormatting>
  <conditionalFormatting sqref="A2:F274 L207">
    <cfRule type="expression" dxfId="74" priority="76">
      <formula>IF($G2="sapphire",TRUE,FALSE)</formula>
    </cfRule>
  </conditionalFormatting>
  <conditionalFormatting sqref="A2:F274 L207">
    <cfRule type="expression" dxfId="75" priority="77">
      <formula>IF($G2="surprise",TRUE,FALSE)</formula>
    </cfRule>
  </conditionalFormatting>
  <conditionalFormatting sqref="A2:G274 L207">
    <cfRule type="expression" dxfId="2" priority="78">
      <formula>IF($G2="Catapult",TRUE,FALSE)</formula>
    </cfRule>
  </conditionalFormatting>
  <conditionalFormatting sqref="A2:G274 L207">
    <cfRule type="expression" dxfId="76" priority="79">
      <formula>IF($G2="amethyst",TRUE,FALSE)</formula>
    </cfRule>
  </conditionalFormatting>
  <conditionalFormatting sqref="A2:G274 L207">
    <cfRule type="expression" dxfId="77" priority="80">
      <formula>IF($G2="air mystery",TRUE,FALSE)</formula>
    </cfRule>
  </conditionalFormatting>
  <conditionalFormatting sqref="A2:G274 L207">
    <cfRule type="expression" dxfId="78" priority="81">
      <formula>IF($G2="crossbow",TRUE,FALSE)</formula>
    </cfRule>
  </conditionalFormatting>
  <hyperlinks>
    <hyperlink r:id="rId1" ref="L2"/>
    <hyperlink r:id="rId2" ref="L75"/>
    <hyperlink r:id="rId3" ref="L83"/>
    <hyperlink r:id="rId4" ref="L85"/>
    <hyperlink r:id="rId5" ref="L86"/>
    <hyperlink r:id="rId6" ref="L117"/>
    <hyperlink r:id="rId7" ref="L118"/>
    <hyperlink r:id="rId8" ref="L120"/>
    <hyperlink r:id="rId9" ref="L134"/>
    <hyperlink r:id="rId10" ref="L143"/>
    <hyperlink r:id="rId11" ref="L171"/>
    <hyperlink r:id="rId12" ref="L178"/>
    <hyperlink r:id="rId13" ref="L180"/>
    <hyperlink r:id="rId14" ref="L182"/>
    <hyperlink r:id="rId15" ref="L192"/>
    <hyperlink r:id="rId16" ref="L194"/>
    <hyperlink r:id="rId17" ref="L200"/>
    <hyperlink r:id="rId18" ref="L210"/>
    <hyperlink r:id="rId19" ref="L215"/>
    <hyperlink r:id="rId20" ref="L243"/>
    <hyperlink r:id="rId21" ref="I245"/>
    <hyperlink r:id="rId22" ref="L247"/>
    <hyperlink r:id="rId23" ref="L260"/>
    <hyperlink r:id="rId24" ref="L262"/>
    <hyperlink r:id="rId25" ref="L264"/>
    <hyperlink r:id="rId26" ref="L269"/>
    <hyperlink r:id="rId27" ref="L272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3" width="15.75"/>
    <col customWidth="1" min="4" max="4" width="18.88"/>
    <col customWidth="1" min="5" max="8" width="15.75"/>
  </cols>
  <sheetData>
    <row r="1" hidden="1">
      <c r="A1" s="3" t="s">
        <v>545</v>
      </c>
      <c r="B1" s="26" t="s">
        <v>546</v>
      </c>
      <c r="D1" s="27">
        <v>50.0</v>
      </c>
      <c r="F1" s="10"/>
      <c r="G1" s="10"/>
      <c r="H1" s="10"/>
    </row>
    <row r="2" hidden="1">
      <c r="A2" s="3" t="s">
        <v>545</v>
      </c>
      <c r="B2" s="26" t="s">
        <v>547</v>
      </c>
      <c r="D2" s="28" t="s">
        <v>548</v>
      </c>
      <c r="F2" s="10"/>
      <c r="G2" s="10"/>
      <c r="H2" s="10"/>
    </row>
    <row r="3" hidden="1">
      <c r="A3" s="3" t="s">
        <v>545</v>
      </c>
      <c r="B3" s="26" t="s">
        <v>549</v>
      </c>
      <c r="D3" s="28" t="s">
        <v>550</v>
      </c>
      <c r="F3" s="10"/>
      <c r="G3" s="10"/>
      <c r="H3" s="10"/>
    </row>
    <row r="4">
      <c r="A4" s="29" t="s">
        <v>551</v>
      </c>
    </row>
    <row r="6">
      <c r="A6" s="30" t="str">
        <f>HYPERLINK($D$2,"Coordination Chat")</f>
        <v>Coordination Chat</v>
      </c>
      <c r="B6" s="30" t="str">
        <f>HYPERLINK($D$3,"Map Link")</f>
        <v>Map Link</v>
      </c>
      <c r="C6" s="10"/>
      <c r="D6" s="31" t="s">
        <v>552</v>
      </c>
      <c r="E6" s="32">
        <f>SUM($E$8:$E108)</f>
        <v>273</v>
      </c>
      <c r="F6" s="32">
        <f>SUM($F$8:$F108)</f>
        <v>273</v>
      </c>
      <c r="G6" s="32">
        <f>SUM($G$8:$G108)</f>
        <v>0</v>
      </c>
      <c r="H6" s="33">
        <f>IFERROR(F6/E6,"")</f>
        <v>1</v>
      </c>
    </row>
    <row r="7">
      <c r="A7" s="3" t="s">
        <v>553</v>
      </c>
      <c r="D7" s="34" t="s">
        <v>554</v>
      </c>
      <c r="E7" s="35" t="s">
        <v>555</v>
      </c>
      <c r="F7" s="35" t="s">
        <v>12</v>
      </c>
      <c r="G7" s="35" t="s">
        <v>556</v>
      </c>
      <c r="H7" s="35" t="s">
        <v>557</v>
      </c>
    </row>
    <row r="8">
      <c r="D8" s="10" t="str">
        <f>IFERROR(__xludf.DUMMYFUNCTION("UNIQUE(Hendon!$G2:G108)"),"rainbow")</f>
        <v>rainbow</v>
      </c>
      <c r="E8" s="10">
        <f>IF($D8="","",COUNTIF(Hendon!$G$2:$G108, $D8))</f>
        <v>8</v>
      </c>
      <c r="F8" s="10">
        <f t="shared" ref="F8:F108" si="1">IF($D8="","",E8-G8)</f>
        <v>8</v>
      </c>
      <c r="G8" s="10">
        <f>IF($D8="","",COUNTIFS(Hendon!$H$2:$H108,"",Hendon!$G$2:$G108, $D8))</f>
        <v>0</v>
      </c>
      <c r="H8" s="36">
        <f t="shared" ref="H8:H108" si="2">IF($D8="","",F8/E8)</f>
        <v>1</v>
      </c>
    </row>
    <row r="9">
      <c r="D9" s="10" t="str">
        <f>IFERROR(__xludf.DUMMYFUNCTION("""COMPUTED_VALUE"""),"black")</f>
        <v>black</v>
      </c>
      <c r="E9" s="10">
        <f>IF($D9="","",COUNTIF(Hendon!$G$2:$G108, $D9))</f>
        <v>4</v>
      </c>
      <c r="F9" s="10">
        <f t="shared" si="1"/>
        <v>4</v>
      </c>
      <c r="G9" s="10">
        <f>IF($D9="","",COUNTIFS(Hendon!$H$2:$H108,"",Hendon!$G$2:$G108, $D9))</f>
        <v>0</v>
      </c>
      <c r="H9" s="36">
        <f t="shared" si="2"/>
        <v>1</v>
      </c>
    </row>
    <row r="10">
      <c r="A10" s="3" t="s">
        <v>558</v>
      </c>
      <c r="D10" s="10" t="str">
        <f>IFERROR(__xludf.DUMMYFUNCTION("""COMPUTED_VALUE"""),"air mystery")</f>
        <v>air mystery</v>
      </c>
      <c r="E10" s="10">
        <f>IF($D10="","",COUNTIF(Hendon!$G$2:$G108, $D10))</f>
        <v>6</v>
      </c>
      <c r="F10" s="10">
        <f t="shared" si="1"/>
        <v>6</v>
      </c>
      <c r="G10" s="10">
        <f>IF($D10="","",COUNTIFS(Hendon!$H$2:$H108,"",Hendon!$G$2:$G108, $D10))</f>
        <v>0</v>
      </c>
      <c r="H10" s="36">
        <f t="shared" si="2"/>
        <v>1</v>
      </c>
    </row>
    <row r="11">
      <c r="D11" s="10" t="str">
        <f>IFERROR(__xludf.DUMMYFUNCTION("""COMPUTED_VALUE"""),"electric mystery")</f>
        <v>electric mystery</v>
      </c>
      <c r="E11" s="10">
        <f>IF($D11="","",COUNTIF(Hendon!$G$2:$G108, $D11))</f>
        <v>48</v>
      </c>
      <c r="F11" s="10">
        <f t="shared" si="1"/>
        <v>48</v>
      </c>
      <c r="G11" s="10">
        <f>IF($D11="","",COUNTIFS(Hendon!$H$2:$H108,"",Hendon!$G$2:$G108, $D11))</f>
        <v>0</v>
      </c>
      <c r="H11" s="36">
        <f t="shared" si="2"/>
        <v>1</v>
      </c>
    </row>
    <row r="12">
      <c r="D12" s="10" t="str">
        <f>IFERROR(__xludf.DUMMYFUNCTION("""COMPUTED_VALUE"""),"turquoise blue")</f>
        <v>turquoise blue</v>
      </c>
      <c r="E12" s="10">
        <f>IF($D12="","",COUNTIF(Hendon!$G$2:$G108, $D12))</f>
        <v>4</v>
      </c>
      <c r="F12" s="10">
        <f t="shared" si="1"/>
        <v>4</v>
      </c>
      <c r="G12" s="10">
        <f>IF($D12="","",COUNTIFS(Hendon!$H$2:$H108,"",Hendon!$G$2:$G108, $D12))</f>
        <v>0</v>
      </c>
      <c r="H12" s="36">
        <f t="shared" si="2"/>
        <v>1</v>
      </c>
    </row>
    <row r="13">
      <c r="D13" s="10" t="str">
        <f>IFERROR(__xludf.DUMMYFUNCTION("""COMPUTED_VALUE"""),"sir prize wheel")</f>
        <v>sir prize wheel</v>
      </c>
      <c r="E13" s="10">
        <f>IF($D13="","",COUNTIF(Hendon!$G$2:$G108, $D13))</f>
        <v>6</v>
      </c>
      <c r="F13" s="10">
        <f t="shared" si="1"/>
        <v>6</v>
      </c>
      <c r="G13" s="10">
        <f>IF($D13="","",COUNTIFS(Hendon!$H$2:$H108,"",Hendon!$G$2:$G108, $D13))</f>
        <v>0</v>
      </c>
      <c r="H13" s="36">
        <f t="shared" si="2"/>
        <v>1</v>
      </c>
    </row>
    <row r="14">
      <c r="D14" s="10" t="str">
        <f>IFERROR(__xludf.DUMMYFUNCTION("""COMPUTED_VALUE"""),"surprise")</f>
        <v>surprise</v>
      </c>
      <c r="E14" s="10">
        <f>IF($D14="","",COUNTIF(Hendon!$G$2:$G108, $D14))</f>
        <v>16</v>
      </c>
      <c r="F14" s="10">
        <f t="shared" si="1"/>
        <v>16</v>
      </c>
      <c r="G14" s="10">
        <f>IF($D14="","",COUNTIFS(Hendon!$H$2:$H108,"",Hendon!$G$2:$G108, $D14))</f>
        <v>0</v>
      </c>
      <c r="H14" s="36">
        <f t="shared" si="2"/>
        <v>1</v>
      </c>
    </row>
    <row r="15">
      <c r="D15" s="10" t="str">
        <f>IFERROR(__xludf.DUMMYFUNCTION("""COMPUTED_VALUE"""),"onyx")</f>
        <v>onyx</v>
      </c>
      <c r="E15" s="10">
        <f>IF($D15="","",COUNTIF(Hendon!$G$2:$G108, $D15))</f>
        <v>12</v>
      </c>
      <c r="F15" s="10">
        <f t="shared" si="1"/>
        <v>12</v>
      </c>
      <c r="G15" s="10">
        <f>IF($D15="","",COUNTIFS(Hendon!$H$2:$H108,"",Hendon!$G$2:$G108, $D15))</f>
        <v>0</v>
      </c>
      <c r="H15" s="36">
        <f t="shared" si="2"/>
        <v>1</v>
      </c>
    </row>
    <row r="16">
      <c r="D16" s="10" t="str">
        <f>IFERROR(__xludf.DUMMYFUNCTION("""COMPUTED_VALUE"""),"citrine")</f>
        <v>citrine</v>
      </c>
      <c r="E16" s="10">
        <f>IF($D16="","",COUNTIF(Hendon!$G$2:$G108, $D16))</f>
        <v>12</v>
      </c>
      <c r="F16" s="10">
        <f t="shared" si="1"/>
        <v>12</v>
      </c>
      <c r="G16" s="10">
        <f>IF($D16="","",COUNTIFS(Hendon!$H$2:$H108,"",Hendon!$G$2:$G108, $D16))</f>
        <v>0</v>
      </c>
      <c r="H16" s="36">
        <f t="shared" si="2"/>
        <v>1</v>
      </c>
    </row>
    <row r="17">
      <c r="D17" s="10" t="str">
        <f>IFERROR(__xludf.DUMMYFUNCTION("""COMPUTED_VALUE"""),"catapult")</f>
        <v>catapult</v>
      </c>
      <c r="E17" s="10">
        <f>IF($D17="","",COUNTIF(Hendon!$G$2:$G108, $D17))</f>
        <v>32</v>
      </c>
      <c r="F17" s="10">
        <f t="shared" si="1"/>
        <v>32</v>
      </c>
      <c r="G17" s="10">
        <f>IF($D17="","",COUNTIFS(Hendon!$H$2:$H108,"",Hendon!$G$2:$G108, $D17))</f>
        <v>0</v>
      </c>
      <c r="H17" s="36">
        <f t="shared" si="2"/>
        <v>1</v>
      </c>
    </row>
    <row r="18">
      <c r="D18" s="10" t="str">
        <f>IFERROR(__xludf.DUMMYFUNCTION("""COMPUTED_VALUE"""),"sapphire")</f>
        <v>sapphire</v>
      </c>
      <c r="E18" s="10">
        <f>IF($D18="","",COUNTIF(Hendon!$G$2:$G108, $D18))</f>
        <v>12</v>
      </c>
      <c r="F18" s="10">
        <f t="shared" si="1"/>
        <v>12</v>
      </c>
      <c r="G18" s="10">
        <f>IF($D18="","",COUNTIFS(Hendon!$H$2:$H108,"",Hendon!$G$2:$G108, $D18))</f>
        <v>0</v>
      </c>
      <c r="H18" s="36">
        <f t="shared" si="2"/>
        <v>1</v>
      </c>
    </row>
    <row r="19">
      <c r="D19" s="10" t="str">
        <f>IFERROR(__xludf.DUMMYFUNCTION("""COMPUTED_VALUE"""),"amethyst")</f>
        <v>amethyst</v>
      </c>
      <c r="E19" s="10">
        <f>IF($D19="","",COUNTIF(Hendon!$G$2:$G108, $D19))</f>
        <v>8</v>
      </c>
      <c r="F19" s="10">
        <f t="shared" si="1"/>
        <v>8</v>
      </c>
      <c r="G19" s="10">
        <f>IF($D19="","",COUNTIFS(Hendon!$H$2:$H108,"",Hendon!$G$2:$G108, $D19))</f>
        <v>0</v>
      </c>
      <c r="H19" s="36">
        <f t="shared" si="2"/>
        <v>1</v>
      </c>
    </row>
    <row r="20">
      <c r="D20" s="10" t="str">
        <f>IFERROR(__xludf.DUMMYFUNCTION("""COMPUTED_VALUE"""),"mahogany")</f>
        <v>mahogany</v>
      </c>
      <c r="E20" s="10">
        <f>IF($D20="","",COUNTIF(Hendon!$G$2:$G108, $D20))</f>
        <v>8</v>
      </c>
      <c r="F20" s="10">
        <f t="shared" si="1"/>
        <v>8</v>
      </c>
      <c r="G20" s="10">
        <f>IF($D20="","",COUNTIFS(Hendon!$H$2:$H108,"",Hendon!$G$2:$G108, $D20))</f>
        <v>0</v>
      </c>
      <c r="H20" s="36">
        <f t="shared" si="2"/>
        <v>1</v>
      </c>
    </row>
    <row r="21">
      <c r="D21" s="10" t="str">
        <f>IFERROR(__xludf.DUMMYFUNCTION("""COMPUTED_VALUE"""),"apricot")</f>
        <v>apricot</v>
      </c>
      <c r="E21" s="10">
        <f>IF($D21="","",COUNTIF(Hendon!$G$2:$G108, $D21))</f>
        <v>8</v>
      </c>
      <c r="F21" s="10">
        <f t="shared" si="1"/>
        <v>8</v>
      </c>
      <c r="G21" s="10">
        <f>IF($D21="","",COUNTIFS(Hendon!$H$2:$H108,"",Hendon!$G$2:$G108, $D21))</f>
        <v>0</v>
      </c>
      <c r="H21" s="36">
        <f t="shared" si="2"/>
        <v>1</v>
      </c>
    </row>
    <row r="22">
      <c r="D22" s="10" t="str">
        <f>IFERROR(__xludf.DUMMYFUNCTION("""COMPUTED_VALUE"""),"blue green")</f>
        <v>blue green</v>
      </c>
      <c r="E22" s="10">
        <f>IF($D22="","",COUNTIF(Hendon!$G$2:$G108, $D22))</f>
        <v>4</v>
      </c>
      <c r="F22" s="10">
        <f t="shared" si="1"/>
        <v>4</v>
      </c>
      <c r="G22" s="10">
        <f>IF($D22="","",COUNTIFS(Hendon!$H$2:$H108,"",Hendon!$G$2:$G108, $D22))</f>
        <v>0</v>
      </c>
      <c r="H22" s="36">
        <f t="shared" si="2"/>
        <v>1</v>
      </c>
    </row>
    <row r="23">
      <c r="D23" s="10" t="str">
        <f>IFERROR(__xludf.DUMMYFUNCTION("""COMPUTED_VALUE"""),"safari truck")</f>
        <v>safari truck</v>
      </c>
      <c r="E23" s="10">
        <f>IF($D23="","",COUNTIF(Hendon!$G$2:$G108, $D23))</f>
        <v>16</v>
      </c>
      <c r="F23" s="10">
        <f t="shared" si="1"/>
        <v>16</v>
      </c>
      <c r="G23" s="10">
        <f>IF($D23="","",COUNTIFS(Hendon!$H$2:$H108,"",Hendon!$G$2:$G108, $D23))</f>
        <v>0</v>
      </c>
      <c r="H23" s="36">
        <f t="shared" si="2"/>
        <v>1</v>
      </c>
    </row>
    <row r="24">
      <c r="D24" s="10" t="str">
        <f>IFERROR(__xludf.DUMMYFUNCTION("""COMPUTED_VALUE"""),"green")</f>
        <v>green</v>
      </c>
      <c r="E24" s="10">
        <f>IF($D24="","",COUNTIF(Hendon!$G$2:$G108, $D24))</f>
        <v>4</v>
      </c>
      <c r="F24" s="10">
        <f t="shared" si="1"/>
        <v>4</v>
      </c>
      <c r="G24" s="10">
        <f>IF($D24="","",COUNTIFS(Hendon!$H$2:$H108,"",Hendon!$G$2:$G108, $D24))</f>
        <v>0</v>
      </c>
      <c r="H24" s="36">
        <f t="shared" si="2"/>
        <v>1</v>
      </c>
    </row>
    <row r="25">
      <c r="D25" s="10" t="str">
        <f>IFERROR(__xludf.DUMMYFUNCTION("""COMPUTED_VALUE"""),"burnt orange")</f>
        <v>burnt orange</v>
      </c>
      <c r="E25" s="10">
        <f>IF($D25="","",COUNTIF(Hendon!$G$2:$G108, $D25))</f>
        <v>4</v>
      </c>
      <c r="F25" s="10">
        <f t="shared" si="1"/>
        <v>4</v>
      </c>
      <c r="G25" s="10">
        <f>IF($D25="","",COUNTIFS(Hendon!$H$2:$H108,"",Hendon!$G$2:$G108, $D25))</f>
        <v>0</v>
      </c>
      <c r="H25" s="36">
        <f t="shared" si="2"/>
        <v>1</v>
      </c>
    </row>
    <row r="26">
      <c r="D26" s="10" t="str">
        <f>IFERROR(__xludf.DUMMYFUNCTION("""COMPUTED_VALUE"""),"violet")</f>
        <v>violet</v>
      </c>
      <c r="E26" s="10">
        <f>IF($D26="","",COUNTIF(Hendon!$G$2:$G108, $D26))</f>
        <v>4</v>
      </c>
      <c r="F26" s="10">
        <f t="shared" si="1"/>
        <v>4</v>
      </c>
      <c r="G26" s="10">
        <f>IF($D26="","",COUNTIFS(Hendon!$H$2:$H108,"",Hendon!$G$2:$G108, $D26))</f>
        <v>0</v>
      </c>
      <c r="H26" s="36">
        <f t="shared" si="2"/>
        <v>1</v>
      </c>
    </row>
    <row r="27">
      <c r="A27" s="37"/>
      <c r="B27" s="37"/>
      <c r="C27" s="37"/>
      <c r="D27" s="10" t="str">
        <f>IFERROR(__xludf.DUMMYFUNCTION("""COMPUTED_VALUE"""),"canoe")</f>
        <v>canoe</v>
      </c>
      <c r="E27" s="10">
        <f>IF($D27="","",COUNTIF(Hendon!$G$2:$G108, $D27))</f>
        <v>16</v>
      </c>
      <c r="F27" s="10">
        <f t="shared" si="1"/>
        <v>16</v>
      </c>
      <c r="G27" s="10">
        <f>IF($D27="","",COUNTIFS(Hendon!$H$2:$H108,"",Hendon!$G$2:$G108, $D27))</f>
        <v>0</v>
      </c>
      <c r="H27" s="36">
        <f t="shared" si="2"/>
        <v>1</v>
      </c>
    </row>
    <row r="28">
      <c r="A28" s="38" t="str">
        <f>IFERROR(__xludf.DUMMYFUNCTION("(""Top ""&amp;IF(COUNTUNIQUE(Hendon!$H$2:$H108)=1,"" Placer:"",IF(COUNTUNIQUE(Hendon!$H$2:$H108)&lt;$D$1,"""",$D$1&amp;"" of "")&amp;COUNTUNIQUE(Hendon!$H$2:$H108)&amp;"" Placers:""))"),"Top 50 of 163 Placers:")</f>
        <v>Top 50 of 163 Placers:</v>
      </c>
      <c r="B28" s="37"/>
      <c r="C28" s="39"/>
      <c r="D28" s="10" t="str">
        <f>IFERROR(__xludf.DUMMYFUNCTION("""COMPUTED_VALUE"""),"purple mountains majesty")</f>
        <v>purple mountains majesty</v>
      </c>
      <c r="E28" s="10">
        <f>IF($D28="","",COUNTIF(Hendon!$G$2:$G108, $D28))</f>
        <v>4</v>
      </c>
      <c r="F28" s="10">
        <f t="shared" si="1"/>
        <v>4</v>
      </c>
      <c r="G28" s="10">
        <f>IF($D28="","",COUNTIFS(Hendon!$H$2:$H108,"",Hendon!$G$2:$G108, $D28))</f>
        <v>0</v>
      </c>
      <c r="H28" s="36">
        <f t="shared" si="2"/>
        <v>1</v>
      </c>
    </row>
    <row r="29">
      <c r="A29" s="40" t="str">
        <f>IFERROR(__xludf.DUMMYFUNCTION("QUERY(Hendon!$H$2:$I108, ""select H, count(H), count(I) where H != '' group by H order by count(I) desc, count(H) desc, H limit ""&amp;$D$1&amp;"" label H 'Username', count(H) 'Promised', count(I) 'Placed'"", 0)"),"Username")</f>
        <v>Username</v>
      </c>
      <c r="B29" s="41" t="str">
        <f>IFERROR(__xludf.DUMMYFUNCTION("""COMPUTED_VALUE"""),"Promised")</f>
        <v>Promised</v>
      </c>
      <c r="C29" s="42" t="str">
        <f>IFERROR(__xludf.DUMMYFUNCTION("""COMPUTED_VALUE"""),"Placed")</f>
        <v>Placed</v>
      </c>
      <c r="D29" s="10" t="str">
        <f>IFERROR(__xludf.DUMMYFUNCTION("""COMPUTED_VALUE"""),"farmer")</f>
        <v>farmer</v>
      </c>
      <c r="E29" s="10">
        <f>IF($D29="","",COUNTIF(Hendon!$G$2:$G108, $D29))</f>
        <v>12</v>
      </c>
      <c r="F29" s="10">
        <f t="shared" si="1"/>
        <v>12</v>
      </c>
      <c r="G29" s="10">
        <f>IF($D29="","",COUNTIFS(Hendon!$H$2:$H108,"",Hendon!$G$2:$G108, $D29))</f>
        <v>0</v>
      </c>
      <c r="H29" s="36">
        <f t="shared" si="2"/>
        <v>1</v>
      </c>
    </row>
    <row r="30">
      <c r="A30" s="43" t="str">
        <f>IFERROR(__xludf.DUMMYFUNCTION("""COMPUTED_VALUE"""),"WanderingAus")</f>
        <v>WanderingAus</v>
      </c>
      <c r="B30" s="44">
        <f>IFERROR(__xludf.DUMMYFUNCTION("""COMPUTED_VALUE"""),10.0)</f>
        <v>10</v>
      </c>
      <c r="C30" s="45">
        <f>IFERROR(__xludf.DUMMYFUNCTION("""COMPUTED_VALUE"""),10.0)</f>
        <v>10</v>
      </c>
      <c r="D30" s="10" t="str">
        <f>IFERROR(__xludf.DUMMYFUNCTION("""COMPUTED_VALUE"""),"colt")</f>
        <v>colt</v>
      </c>
      <c r="E30" s="10">
        <f>IF($D30="","",COUNTIF(Hendon!$G$2:$G108, $D30))</f>
        <v>8</v>
      </c>
      <c r="F30" s="10">
        <f t="shared" si="1"/>
        <v>8</v>
      </c>
      <c r="G30" s="10">
        <f>IF($D30="","",COUNTIFS(Hendon!$H$2:$H108,"",Hendon!$G$2:$G108, $D30))</f>
        <v>0</v>
      </c>
      <c r="H30" s="36">
        <f t="shared" si="2"/>
        <v>1</v>
      </c>
    </row>
    <row r="31">
      <c r="A31" s="46" t="str">
        <f>IFERROR(__xludf.DUMMYFUNCTION("""COMPUTED_VALUE"""),"IggiePiggie")</f>
        <v>IggiePiggie</v>
      </c>
      <c r="B31" s="47">
        <f>IFERROR(__xludf.DUMMYFUNCTION("""COMPUTED_VALUE"""),7.0)</f>
        <v>7</v>
      </c>
      <c r="C31" s="48">
        <f>IFERROR(__xludf.DUMMYFUNCTION("""COMPUTED_VALUE"""),7.0)</f>
        <v>7</v>
      </c>
      <c r="D31" s="10" t="str">
        <f>IFERROR(__xludf.DUMMYFUNCTION("""COMPUTED_VALUE"""),"chick")</f>
        <v>chick</v>
      </c>
      <c r="E31" s="10">
        <f>IF($D31="","",COUNTIF(Hendon!$G$2:$G108, $D31))</f>
        <v>8</v>
      </c>
      <c r="F31" s="10">
        <f t="shared" si="1"/>
        <v>8</v>
      </c>
      <c r="G31" s="10">
        <f>IF($D31="","",COUNTIFS(Hendon!$H$2:$H108,"",Hendon!$G$2:$G108, $D31))</f>
        <v>0</v>
      </c>
      <c r="H31" s="36">
        <f t="shared" si="2"/>
        <v>1</v>
      </c>
    </row>
    <row r="32">
      <c r="A32" s="49" t="str">
        <f>IFERROR(__xludf.DUMMYFUNCTION("""COMPUTED_VALUE"""),"raunas")</f>
        <v>raunas</v>
      </c>
      <c r="B32" s="50">
        <f>IFERROR(__xludf.DUMMYFUNCTION("""COMPUTED_VALUE"""),7.0)</f>
        <v>7</v>
      </c>
      <c r="C32" s="51">
        <f>IFERROR(__xludf.DUMMYFUNCTION("""COMPUTED_VALUE"""),7.0)</f>
        <v>7</v>
      </c>
      <c r="D32" s="10" t="str">
        <f>IFERROR(__xludf.DUMMYFUNCTION("""COMPUTED_VALUE"""),"carrot seed")</f>
        <v>carrot seed</v>
      </c>
      <c r="E32" s="10">
        <f>IF($D32="","",COUNTIF(Hendon!$G$2:$G108, $D32))</f>
        <v>4</v>
      </c>
      <c r="F32" s="10">
        <f t="shared" si="1"/>
        <v>4</v>
      </c>
      <c r="G32" s="10">
        <f>IF($D32="","",COUNTIFS(Hendon!$H$2:$H108,"",Hendon!$G$2:$G108, $D32))</f>
        <v>0</v>
      </c>
      <c r="H32" s="36">
        <f t="shared" si="2"/>
        <v>1</v>
      </c>
    </row>
    <row r="33">
      <c r="A33" s="52" t="str">
        <f>IFERROR(__xludf.DUMMYFUNCTION("""COMPUTED_VALUE"""),"Amadoreugen")</f>
        <v>Amadoreugen</v>
      </c>
      <c r="B33" s="53">
        <f>IFERROR(__xludf.DUMMYFUNCTION("""COMPUTED_VALUE"""),7.0)</f>
        <v>7</v>
      </c>
      <c r="C33" s="54">
        <f>IFERROR(__xludf.DUMMYFUNCTION("""COMPUTED_VALUE"""),6.0)</f>
        <v>6</v>
      </c>
      <c r="D33" s="10" t="str">
        <f>IFERROR(__xludf.DUMMYFUNCTION("""COMPUTED_VALUE"""),"peas seed")</f>
        <v>peas seed</v>
      </c>
      <c r="E33" s="10">
        <f>IF($D33="","",COUNTIF(Hendon!$G$2:$G108, $D33))</f>
        <v>4</v>
      </c>
      <c r="F33" s="10">
        <f t="shared" si="1"/>
        <v>4</v>
      </c>
      <c r="G33" s="10">
        <f>IF($D33="","",COUNTIFS(Hendon!$H$2:$H108,"",Hendon!$G$2:$G108, $D33))</f>
        <v>0</v>
      </c>
      <c r="H33" s="36">
        <f t="shared" si="2"/>
        <v>1</v>
      </c>
    </row>
    <row r="34">
      <c r="A34" s="55" t="str">
        <f>IFERROR(__xludf.DUMMYFUNCTION("""COMPUTED_VALUE"""),"klc1960")</f>
        <v>klc1960</v>
      </c>
      <c r="B34" s="56">
        <f>IFERROR(__xludf.DUMMYFUNCTION("""COMPUTED_VALUE"""),6.0)</f>
        <v>6</v>
      </c>
      <c r="C34" s="57">
        <f>IFERROR(__xludf.DUMMYFUNCTION("""COMPUTED_VALUE"""),6.0)</f>
        <v>6</v>
      </c>
      <c r="D34" s="10" t="str">
        <f>IFERROR(__xludf.DUMMYFUNCTION("""COMPUTED_VALUE"""),"POI")</f>
        <v>POI</v>
      </c>
      <c r="E34" s="10">
        <f>IF($D34="","",COUNTIF(Hendon!$G$2:$G108, $D34))</f>
        <v>1</v>
      </c>
      <c r="F34" s="10">
        <f t="shared" si="1"/>
        <v>1</v>
      </c>
      <c r="G34" s="10">
        <f>IF($D34="","",COUNTIFS(Hendon!$H$2:$H108,"",Hendon!$G$2:$G108, $D34))</f>
        <v>0</v>
      </c>
      <c r="H34" s="36">
        <f t="shared" si="2"/>
        <v>1</v>
      </c>
    </row>
    <row r="35">
      <c r="A35" s="58" t="str">
        <f>IFERROR(__xludf.DUMMYFUNCTION("""COMPUTED_VALUE"""),"SzymcioT")</f>
        <v>SzymcioT</v>
      </c>
      <c r="B35" s="59">
        <f>IFERROR(__xludf.DUMMYFUNCTION("""COMPUTED_VALUE"""),6.0)</f>
        <v>6</v>
      </c>
      <c r="C35" s="60">
        <f>IFERROR(__xludf.DUMMYFUNCTION("""COMPUTED_VALUE"""),6.0)</f>
        <v>6</v>
      </c>
      <c r="D35" s="10"/>
      <c r="E35" s="10" t="str">
        <f>IF($D35="","",COUNTIF(Hendon!$G$2:$G108, $D35))</f>
        <v/>
      </c>
      <c r="F35" s="10" t="str">
        <f t="shared" si="1"/>
        <v/>
      </c>
      <c r="G35" s="10" t="str">
        <f>IF($D35="","",COUNTIFS(Hendon!$H$2:$H108,"",Hendon!$G$2:$G108, $D35))</f>
        <v/>
      </c>
      <c r="H35" s="36" t="str">
        <f t="shared" si="2"/>
        <v/>
      </c>
    </row>
    <row r="36">
      <c r="A36" s="58" t="str">
        <f>IFERROR(__xludf.DUMMYFUNCTION("""COMPUTED_VALUE"""),"TMac2")</f>
        <v>TMac2</v>
      </c>
      <c r="B36" s="59">
        <f>IFERROR(__xludf.DUMMYFUNCTION("""COMPUTED_VALUE"""),6.0)</f>
        <v>6</v>
      </c>
      <c r="C36" s="60">
        <f>IFERROR(__xludf.DUMMYFUNCTION("""COMPUTED_VALUE"""),6.0)</f>
        <v>6</v>
      </c>
      <c r="D36" s="10"/>
      <c r="E36" s="10" t="str">
        <f>IF($D36="","",COUNTIF(Hendon!$G$2:$G108, $D36))</f>
        <v/>
      </c>
      <c r="F36" s="10" t="str">
        <f t="shared" si="1"/>
        <v/>
      </c>
      <c r="G36" s="10" t="str">
        <f>IF($D36="","",COUNTIFS(Hendon!$H$2:$H108,"",Hendon!$G$2:$G108, $D36))</f>
        <v/>
      </c>
      <c r="H36" s="36" t="str">
        <f t="shared" si="2"/>
        <v/>
      </c>
    </row>
    <row r="37">
      <c r="A37" s="58" t="str">
        <f>IFERROR(__xludf.DUMMYFUNCTION("""COMPUTED_VALUE"""),"georeyna")</f>
        <v>georeyna</v>
      </c>
      <c r="B37" s="59">
        <f>IFERROR(__xludf.DUMMYFUNCTION("""COMPUTED_VALUE"""),5.0)</f>
        <v>5</v>
      </c>
      <c r="C37" s="60">
        <f>IFERROR(__xludf.DUMMYFUNCTION("""COMPUTED_VALUE"""),5.0)</f>
        <v>5</v>
      </c>
      <c r="D37" s="10"/>
      <c r="E37" s="10" t="str">
        <f>IF($D37="","",COUNTIF(Hendon!$G$2:$G108, $D37))</f>
        <v/>
      </c>
      <c r="F37" s="10" t="str">
        <f t="shared" si="1"/>
        <v/>
      </c>
      <c r="G37" s="10" t="str">
        <f>IF($D37="","",COUNTIFS(Hendon!$H$2:$H108,"",Hendon!$G$2:$G108, $D37))</f>
        <v/>
      </c>
      <c r="H37" s="36" t="str">
        <f t="shared" si="2"/>
        <v/>
      </c>
    </row>
    <row r="38">
      <c r="A38" s="58" t="str">
        <f>IFERROR(__xludf.DUMMYFUNCTION("""COMPUTED_VALUE"""),"technical13")</f>
        <v>technical13</v>
      </c>
      <c r="B38" s="59">
        <f>IFERROR(__xludf.DUMMYFUNCTION("""COMPUTED_VALUE"""),5.0)</f>
        <v>5</v>
      </c>
      <c r="C38" s="60">
        <f>IFERROR(__xludf.DUMMYFUNCTION("""COMPUTED_VALUE"""),5.0)</f>
        <v>5</v>
      </c>
      <c r="D38" s="10"/>
      <c r="E38" s="10" t="str">
        <f>IF($D38="","",COUNTIF(Hendon!$G$2:$G108, $D38))</f>
        <v/>
      </c>
      <c r="F38" s="10" t="str">
        <f t="shared" si="1"/>
        <v/>
      </c>
      <c r="G38" s="10" t="str">
        <f>IF($D38="","",COUNTIFS(Hendon!$H$2:$H108,"",Hendon!$G$2:$G108, $D38))</f>
        <v/>
      </c>
      <c r="H38" s="36" t="str">
        <f t="shared" si="2"/>
        <v/>
      </c>
    </row>
    <row r="39">
      <c r="A39" s="49" t="str">
        <f>IFERROR(__xludf.DUMMYFUNCTION("""COMPUTED_VALUE"""),"Beermaven")</f>
        <v>Beermaven</v>
      </c>
      <c r="B39" s="50">
        <f>IFERROR(__xludf.DUMMYFUNCTION("""COMPUTED_VALUE"""),4.0)</f>
        <v>4</v>
      </c>
      <c r="C39" s="51">
        <f>IFERROR(__xludf.DUMMYFUNCTION("""COMPUTED_VALUE"""),4.0)</f>
        <v>4</v>
      </c>
      <c r="D39" s="10"/>
      <c r="E39" s="10" t="str">
        <f>IF($D39="","",COUNTIF(Hendon!$G$2:$G108, $D39))</f>
        <v/>
      </c>
      <c r="F39" s="10" t="str">
        <f t="shared" si="1"/>
        <v/>
      </c>
      <c r="G39" s="10" t="str">
        <f>IF($D39="","",COUNTIFS(Hendon!$H$2:$H108,"",Hendon!$G$2:$G108, $D39))</f>
        <v/>
      </c>
      <c r="H39" s="36" t="str">
        <f t="shared" si="2"/>
        <v/>
      </c>
    </row>
    <row r="40">
      <c r="A40" s="58" t="str">
        <f>IFERROR(__xludf.DUMMYFUNCTION("""COMPUTED_VALUE"""),"Clareppuccino")</f>
        <v>Clareppuccino</v>
      </c>
      <c r="B40" s="59">
        <f>IFERROR(__xludf.DUMMYFUNCTION("""COMPUTED_VALUE"""),4.0)</f>
        <v>4</v>
      </c>
      <c r="C40" s="60">
        <f>IFERROR(__xludf.DUMMYFUNCTION("""COMPUTED_VALUE"""),4.0)</f>
        <v>4</v>
      </c>
      <c r="D40" s="10"/>
      <c r="E40" s="10" t="str">
        <f>IF($D40="","",COUNTIF(Hendon!$G$2:$G108, $D40))</f>
        <v/>
      </c>
      <c r="F40" s="10" t="str">
        <f t="shared" si="1"/>
        <v/>
      </c>
      <c r="G40" s="10" t="str">
        <f>IF($D40="","",COUNTIFS(Hendon!$H$2:$H108,"",Hendon!$G$2:$G108, $D40))</f>
        <v/>
      </c>
      <c r="H40" s="36" t="str">
        <f t="shared" si="2"/>
        <v/>
      </c>
    </row>
    <row r="41">
      <c r="A41" s="58" t="str">
        <f>IFERROR(__xludf.DUMMYFUNCTION("""COMPUTED_VALUE"""),"Noisette")</f>
        <v>Noisette</v>
      </c>
      <c r="B41" s="59">
        <f>IFERROR(__xludf.DUMMYFUNCTION("""COMPUTED_VALUE"""),4.0)</f>
        <v>4</v>
      </c>
      <c r="C41" s="60">
        <f>IFERROR(__xludf.DUMMYFUNCTION("""COMPUTED_VALUE"""),4.0)</f>
        <v>4</v>
      </c>
      <c r="D41" s="10"/>
      <c r="E41" s="10" t="str">
        <f>IF($D41="","",COUNTIF(Hendon!$G$2:$G108, $D41))</f>
        <v/>
      </c>
      <c r="F41" s="10" t="str">
        <f t="shared" si="1"/>
        <v/>
      </c>
      <c r="G41" s="10" t="str">
        <f>IF($D41="","",COUNTIFS(Hendon!$H$2:$H108,"",Hendon!$G$2:$G108, $D41))</f>
        <v/>
      </c>
      <c r="H41" s="36" t="str">
        <f t="shared" si="2"/>
        <v/>
      </c>
    </row>
    <row r="42">
      <c r="A42" s="58" t="str">
        <f>IFERROR(__xludf.DUMMYFUNCTION("""COMPUTED_VALUE"""),"92Supercoupe")</f>
        <v>92Supercoupe</v>
      </c>
      <c r="B42" s="59">
        <f>IFERROR(__xludf.DUMMYFUNCTION("""COMPUTED_VALUE"""),3.0)</f>
        <v>3</v>
      </c>
      <c r="C42" s="60">
        <f>IFERROR(__xludf.DUMMYFUNCTION("""COMPUTED_VALUE"""),3.0)</f>
        <v>3</v>
      </c>
      <c r="D42" s="10"/>
      <c r="E42" s="10" t="str">
        <f>IF($D42="","",COUNTIF(Hendon!$G$2:$G108, $D42))</f>
        <v/>
      </c>
      <c r="F42" s="10" t="str">
        <f t="shared" si="1"/>
        <v/>
      </c>
      <c r="G42" s="10" t="str">
        <f>IF($D42="","",COUNTIFS(Hendon!$H$2:$H108,"",Hendon!$G$2:$G108, $D42))</f>
        <v/>
      </c>
      <c r="H42" s="36" t="str">
        <f t="shared" si="2"/>
        <v/>
      </c>
    </row>
    <row r="43">
      <c r="A43" s="58" t="str">
        <f>IFERROR(__xludf.DUMMYFUNCTION("""COMPUTED_VALUE"""),"babyw")</f>
        <v>babyw</v>
      </c>
      <c r="B43" s="59">
        <f>IFERROR(__xludf.DUMMYFUNCTION("""COMPUTED_VALUE"""),3.0)</f>
        <v>3</v>
      </c>
      <c r="C43" s="60">
        <f>IFERROR(__xludf.DUMMYFUNCTION("""COMPUTED_VALUE"""),3.0)</f>
        <v>3</v>
      </c>
      <c r="D43" s="10"/>
      <c r="E43" s="10" t="str">
        <f>IF($D43="","",COUNTIF(Hendon!$G$2:$G108, $D43))</f>
        <v/>
      </c>
      <c r="F43" s="10" t="str">
        <f t="shared" si="1"/>
        <v/>
      </c>
      <c r="G43" s="10" t="str">
        <f>IF($D43="","",COUNTIFS(Hendon!$H$2:$H108,"",Hendon!$G$2:$G108, $D43))</f>
        <v/>
      </c>
      <c r="H43" s="36" t="str">
        <f t="shared" si="2"/>
        <v/>
      </c>
    </row>
    <row r="44">
      <c r="A44" s="49" t="str">
        <f>IFERROR(__xludf.DUMMYFUNCTION("""COMPUTED_VALUE"""),"JABIE28")</f>
        <v>JABIE28</v>
      </c>
      <c r="B44" s="50">
        <f>IFERROR(__xludf.DUMMYFUNCTION("""COMPUTED_VALUE"""),3.0)</f>
        <v>3</v>
      </c>
      <c r="C44" s="51">
        <f>IFERROR(__xludf.DUMMYFUNCTION("""COMPUTED_VALUE"""),3.0)</f>
        <v>3</v>
      </c>
      <c r="D44" s="10"/>
      <c r="E44" s="10" t="str">
        <f>IF($D44="","",COUNTIF(Hendon!$G$2:$G108, $D44))</f>
        <v/>
      </c>
      <c r="F44" s="10" t="str">
        <f t="shared" si="1"/>
        <v/>
      </c>
      <c r="G44" s="10" t="str">
        <f>IF($D44="","",COUNTIFS(Hendon!$H$2:$H108,"",Hendon!$G$2:$G108, $D44))</f>
        <v/>
      </c>
      <c r="H44" s="36" t="str">
        <f t="shared" si="2"/>
        <v/>
      </c>
    </row>
    <row r="45">
      <c r="A45" s="58" t="str">
        <f>IFERROR(__xludf.DUMMYFUNCTION("""COMPUTED_VALUE"""),"janzattic")</f>
        <v>janzattic</v>
      </c>
      <c r="B45" s="59">
        <f>IFERROR(__xludf.DUMMYFUNCTION("""COMPUTED_VALUE"""),3.0)</f>
        <v>3</v>
      </c>
      <c r="C45" s="60">
        <f>IFERROR(__xludf.DUMMYFUNCTION("""COMPUTED_VALUE"""),3.0)</f>
        <v>3</v>
      </c>
      <c r="D45" s="10"/>
      <c r="E45" s="10" t="str">
        <f>IF($D45="","",COUNTIF(Hendon!$G$2:$G108, $D45))</f>
        <v/>
      </c>
      <c r="F45" s="10" t="str">
        <f t="shared" si="1"/>
        <v/>
      </c>
      <c r="G45" s="10" t="str">
        <f>IF($D45="","",COUNTIFS(Hendon!$H$2:$H108,"",Hendon!$G$2:$G108, $D45))</f>
        <v/>
      </c>
      <c r="H45" s="36" t="str">
        <f t="shared" si="2"/>
        <v/>
      </c>
    </row>
    <row r="46">
      <c r="A46" s="58" t="str">
        <f>IFERROR(__xludf.DUMMYFUNCTION("""COMPUTED_VALUE"""),"MaryJaneKitty")</f>
        <v>MaryJaneKitty</v>
      </c>
      <c r="B46" s="59">
        <f>IFERROR(__xludf.DUMMYFUNCTION("""COMPUTED_VALUE"""),3.0)</f>
        <v>3</v>
      </c>
      <c r="C46" s="60">
        <f>IFERROR(__xludf.DUMMYFUNCTION("""COMPUTED_VALUE"""),3.0)</f>
        <v>3</v>
      </c>
      <c r="D46" s="10"/>
      <c r="E46" s="10" t="str">
        <f>IF($D46="","",COUNTIF(Hendon!$G$2:$G108, $D46))</f>
        <v/>
      </c>
      <c r="F46" s="10" t="str">
        <f t="shared" si="1"/>
        <v/>
      </c>
      <c r="G46" s="10" t="str">
        <f>IF($D46="","",COUNTIFS(Hendon!$H$2:$H108,"",Hendon!$G$2:$G108, $D46))</f>
        <v/>
      </c>
      <c r="H46" s="36" t="str">
        <f t="shared" si="2"/>
        <v/>
      </c>
    </row>
    <row r="47">
      <c r="A47" s="58" t="str">
        <f>IFERROR(__xludf.DUMMYFUNCTION("""COMPUTED_VALUE"""),"monrose")</f>
        <v>monrose</v>
      </c>
      <c r="B47" s="59">
        <f>IFERROR(__xludf.DUMMYFUNCTION("""COMPUTED_VALUE"""),3.0)</f>
        <v>3</v>
      </c>
      <c r="C47" s="60">
        <f>IFERROR(__xludf.DUMMYFUNCTION("""COMPUTED_VALUE"""),3.0)</f>
        <v>3</v>
      </c>
      <c r="D47" s="10"/>
      <c r="E47" s="10" t="str">
        <f>IF($D47="","",COUNTIF(Hendon!$G$2:$G108, $D47))</f>
        <v/>
      </c>
      <c r="F47" s="10" t="str">
        <f t="shared" si="1"/>
        <v/>
      </c>
      <c r="G47" s="10" t="str">
        <f>IF($D47="","",COUNTIFS(Hendon!$H$2:$H108,"",Hendon!$G$2:$G108, $D47))</f>
        <v/>
      </c>
      <c r="H47" s="36" t="str">
        <f t="shared" si="2"/>
        <v/>
      </c>
    </row>
    <row r="48">
      <c r="A48" s="49" t="str">
        <f>IFERROR(__xludf.DUMMYFUNCTION("""COMPUTED_VALUE"""),"munzeeprof")</f>
        <v>munzeeprof</v>
      </c>
      <c r="B48" s="50">
        <f>IFERROR(__xludf.DUMMYFUNCTION("""COMPUTED_VALUE"""),3.0)</f>
        <v>3</v>
      </c>
      <c r="C48" s="51">
        <f>IFERROR(__xludf.DUMMYFUNCTION("""COMPUTED_VALUE"""),3.0)</f>
        <v>3</v>
      </c>
      <c r="D48" s="10"/>
      <c r="E48" s="10" t="str">
        <f>IF($D48="","",COUNTIF(Hendon!$G$2:$G108, $D48))</f>
        <v/>
      </c>
      <c r="F48" s="10" t="str">
        <f t="shared" si="1"/>
        <v/>
      </c>
      <c r="G48" s="10" t="str">
        <f>IF($D48="","",COUNTIFS(Hendon!$H$2:$H108,"",Hendon!$G$2:$G108, $D48))</f>
        <v/>
      </c>
      <c r="H48" s="36" t="str">
        <f t="shared" si="2"/>
        <v/>
      </c>
    </row>
    <row r="49">
      <c r="A49" s="58" t="str">
        <f>IFERROR(__xludf.DUMMYFUNCTION("""COMPUTED_VALUE"""),"Tanzy")</f>
        <v>Tanzy</v>
      </c>
      <c r="B49" s="59">
        <f>IFERROR(__xludf.DUMMYFUNCTION("""COMPUTED_VALUE"""),3.0)</f>
        <v>3</v>
      </c>
      <c r="C49" s="60">
        <f>IFERROR(__xludf.DUMMYFUNCTION("""COMPUTED_VALUE"""),3.0)</f>
        <v>3</v>
      </c>
      <c r="D49" s="10"/>
      <c r="E49" s="10" t="str">
        <f>IF($D49="","",COUNTIF(Hendon!$G$2:$G108, $D49))</f>
        <v/>
      </c>
      <c r="F49" s="10" t="str">
        <f t="shared" si="1"/>
        <v/>
      </c>
      <c r="G49" s="10" t="str">
        <f>IF($D49="","",COUNTIFS(Hendon!$H$2:$H108,"",Hendon!$G$2:$G108, $D49))</f>
        <v/>
      </c>
      <c r="H49" s="36" t="str">
        <f t="shared" si="2"/>
        <v/>
      </c>
    </row>
    <row r="50">
      <c r="A50" s="58" t="str">
        <f>IFERROR(__xludf.DUMMYFUNCTION("""COMPUTED_VALUE"""),"WinterCheetah")</f>
        <v>WinterCheetah</v>
      </c>
      <c r="B50" s="59">
        <f>IFERROR(__xludf.DUMMYFUNCTION("""COMPUTED_VALUE"""),3.0)</f>
        <v>3</v>
      </c>
      <c r="C50" s="60">
        <f>IFERROR(__xludf.DUMMYFUNCTION("""COMPUTED_VALUE"""),3.0)</f>
        <v>3</v>
      </c>
      <c r="D50" s="10"/>
      <c r="E50" s="10" t="str">
        <f>IF($D50="","",COUNTIF(Hendon!$G$2:$G108, $D50))</f>
        <v/>
      </c>
      <c r="F50" s="10" t="str">
        <f t="shared" si="1"/>
        <v/>
      </c>
      <c r="G50" s="10" t="str">
        <f>IF($D50="","",COUNTIFS(Hendon!$H$2:$H108,"",Hendon!$G$2:$G108, $D50))</f>
        <v/>
      </c>
      <c r="H50" s="36" t="str">
        <f t="shared" si="2"/>
        <v/>
      </c>
    </row>
    <row r="51">
      <c r="A51" s="58" t="str">
        <f>IFERROR(__xludf.DUMMYFUNCTION("""COMPUTED_VALUE"""),"123xilef")</f>
        <v>123xilef</v>
      </c>
      <c r="B51" s="59">
        <f>IFERROR(__xludf.DUMMYFUNCTION("""COMPUTED_VALUE"""),2.0)</f>
        <v>2</v>
      </c>
      <c r="C51" s="60">
        <f>IFERROR(__xludf.DUMMYFUNCTION("""COMPUTED_VALUE"""),2.0)</f>
        <v>2</v>
      </c>
      <c r="D51" s="10"/>
      <c r="E51" s="10" t="str">
        <f>IF($D51="","",COUNTIF(Hendon!$G$2:$G108, $D51))</f>
        <v/>
      </c>
      <c r="F51" s="10" t="str">
        <f t="shared" si="1"/>
        <v/>
      </c>
      <c r="G51" s="10" t="str">
        <f>IF($D51="","",COUNTIFS(Hendon!$H$2:$H108,"",Hendon!$G$2:$G108, $D51))</f>
        <v/>
      </c>
      <c r="H51" s="36" t="str">
        <f t="shared" si="2"/>
        <v/>
      </c>
    </row>
    <row r="52">
      <c r="A52" s="58" t="str">
        <f>IFERROR(__xludf.DUMMYFUNCTION("""COMPUTED_VALUE"""),"ashthegeogenius")</f>
        <v>ashthegeogenius</v>
      </c>
      <c r="B52" s="59">
        <f>IFERROR(__xludf.DUMMYFUNCTION("""COMPUTED_VALUE"""),2.0)</f>
        <v>2</v>
      </c>
      <c r="C52" s="60">
        <f>IFERROR(__xludf.DUMMYFUNCTION("""COMPUTED_VALUE"""),2.0)</f>
        <v>2</v>
      </c>
      <c r="D52" s="10"/>
      <c r="E52" s="10" t="str">
        <f>IF($D52="","",COUNTIF(Hendon!$G$2:$G108, $D52))</f>
        <v/>
      </c>
      <c r="F52" s="10" t="str">
        <f t="shared" si="1"/>
        <v/>
      </c>
      <c r="G52" s="10" t="str">
        <f>IF($D52="","",COUNTIFS(Hendon!$H$2:$H108,"",Hendon!$G$2:$G108, $D52))</f>
        <v/>
      </c>
      <c r="H52" s="36" t="str">
        <f t="shared" si="2"/>
        <v/>
      </c>
    </row>
    <row r="53">
      <c r="A53" s="49" t="str">
        <f>IFERROR(__xludf.DUMMYFUNCTION("""COMPUTED_VALUE"""),"Bisquick2")</f>
        <v>Bisquick2</v>
      </c>
      <c r="B53" s="50">
        <f>IFERROR(__xludf.DUMMYFUNCTION("""COMPUTED_VALUE"""),2.0)</f>
        <v>2</v>
      </c>
      <c r="C53" s="51">
        <f>IFERROR(__xludf.DUMMYFUNCTION("""COMPUTED_VALUE"""),2.0)</f>
        <v>2</v>
      </c>
      <c r="D53" s="10"/>
      <c r="E53" s="10" t="str">
        <f>IF($D53="","",COUNTIF(Hendon!$G$2:$G108, $D53))</f>
        <v/>
      </c>
      <c r="F53" s="10" t="str">
        <f t="shared" si="1"/>
        <v/>
      </c>
      <c r="G53" s="10" t="str">
        <f>IF($D53="","",COUNTIFS(Hendon!$H$2:$H108,"",Hendon!$G$2:$G108, $D53))</f>
        <v/>
      </c>
      <c r="H53" s="36" t="str">
        <f t="shared" si="2"/>
        <v/>
      </c>
    </row>
    <row r="54">
      <c r="A54" s="58" t="str">
        <f>IFERROR(__xludf.DUMMYFUNCTION("""COMPUTED_VALUE"""),"DarbyJoan")</f>
        <v>DarbyJoan</v>
      </c>
      <c r="B54" s="59">
        <f>IFERROR(__xludf.DUMMYFUNCTION("""COMPUTED_VALUE"""),2.0)</f>
        <v>2</v>
      </c>
      <c r="C54" s="60">
        <f>IFERROR(__xludf.DUMMYFUNCTION("""COMPUTED_VALUE"""),2.0)</f>
        <v>2</v>
      </c>
      <c r="D54" s="10"/>
      <c r="E54" s="10" t="str">
        <f>IF($D54="","",COUNTIF(Hendon!$G$2:$G108, $D54))</f>
        <v/>
      </c>
      <c r="F54" s="10" t="str">
        <f t="shared" si="1"/>
        <v/>
      </c>
      <c r="G54" s="10" t="str">
        <f>IF($D54="","",COUNTIFS(Hendon!$H$2:$H108,"",Hendon!$G$2:$G108, $D54))</f>
        <v/>
      </c>
      <c r="H54" s="36" t="str">
        <f t="shared" si="2"/>
        <v/>
      </c>
    </row>
    <row r="55">
      <c r="A55" s="58" t="str">
        <f>IFERROR(__xludf.DUMMYFUNCTION("""COMPUTED_VALUE"""),"einkilorind")</f>
        <v>einkilorind</v>
      </c>
      <c r="B55" s="59">
        <f>IFERROR(__xludf.DUMMYFUNCTION("""COMPUTED_VALUE"""),2.0)</f>
        <v>2</v>
      </c>
      <c r="C55" s="60">
        <f>IFERROR(__xludf.DUMMYFUNCTION("""COMPUTED_VALUE"""),2.0)</f>
        <v>2</v>
      </c>
      <c r="D55" s="10"/>
      <c r="E55" s="10" t="str">
        <f>IF($D55="","",COUNTIF(Hendon!$G$2:$G108, $D55))</f>
        <v/>
      </c>
      <c r="F55" s="10" t="str">
        <f t="shared" si="1"/>
        <v/>
      </c>
      <c r="G55" s="10" t="str">
        <f>IF($D55="","",COUNTIFS(Hendon!$H$2:$H108,"",Hendon!$G$2:$G108, $D55))</f>
        <v/>
      </c>
      <c r="H55" s="36" t="str">
        <f t="shared" si="2"/>
        <v/>
      </c>
    </row>
    <row r="56">
      <c r="A56" s="58" t="str">
        <f>IFERROR(__xludf.DUMMYFUNCTION("""COMPUTED_VALUE"""),"Fossillady")</f>
        <v>Fossillady</v>
      </c>
      <c r="B56" s="59">
        <f>IFERROR(__xludf.DUMMYFUNCTION("""COMPUTED_VALUE"""),2.0)</f>
        <v>2</v>
      </c>
      <c r="C56" s="60">
        <f>IFERROR(__xludf.DUMMYFUNCTION("""COMPUTED_VALUE"""),2.0)</f>
        <v>2</v>
      </c>
      <c r="D56" s="10"/>
      <c r="E56" s="10" t="str">
        <f>IF($D56="","",COUNTIF(Hendon!$G$2:$G108, $D56))</f>
        <v/>
      </c>
      <c r="F56" s="10" t="str">
        <f t="shared" si="1"/>
        <v/>
      </c>
      <c r="G56" s="10" t="str">
        <f>IF($D56="","",COUNTIFS(Hendon!$H$2:$H108,"",Hendon!$G$2:$G108, $D56))</f>
        <v/>
      </c>
      <c r="H56" s="36" t="str">
        <f t="shared" si="2"/>
        <v/>
      </c>
    </row>
    <row r="57">
      <c r="A57" s="58" t="str">
        <f>IFERROR(__xludf.DUMMYFUNCTION("""COMPUTED_VALUE"""),"geckofreund")</f>
        <v>geckofreund</v>
      </c>
      <c r="B57" s="59">
        <f>IFERROR(__xludf.DUMMYFUNCTION("""COMPUTED_VALUE"""),2.0)</f>
        <v>2</v>
      </c>
      <c r="C57" s="60">
        <f>IFERROR(__xludf.DUMMYFUNCTION("""COMPUTED_VALUE"""),2.0)</f>
        <v>2</v>
      </c>
      <c r="D57" s="10"/>
      <c r="E57" s="10" t="str">
        <f>IF($D57="","",COUNTIF(Hendon!$G$2:$G108, $D57))</f>
        <v/>
      </c>
      <c r="F57" s="10" t="str">
        <f t="shared" si="1"/>
        <v/>
      </c>
      <c r="G57" s="10" t="str">
        <f>IF($D57="","",COUNTIFS(Hendon!$H$2:$H108,"",Hendon!$G$2:$G108, $D57))</f>
        <v/>
      </c>
      <c r="H57" s="36" t="str">
        <f t="shared" si="2"/>
        <v/>
      </c>
    </row>
    <row r="58">
      <c r="A58" s="49" t="str">
        <f>IFERROR(__xludf.DUMMYFUNCTION("""COMPUTED_VALUE"""),"granitente")</f>
        <v>granitente</v>
      </c>
      <c r="B58" s="50">
        <f>IFERROR(__xludf.DUMMYFUNCTION("""COMPUTED_VALUE"""),2.0)</f>
        <v>2</v>
      </c>
      <c r="C58" s="51">
        <f>IFERROR(__xludf.DUMMYFUNCTION("""COMPUTED_VALUE"""),2.0)</f>
        <v>2</v>
      </c>
      <c r="D58" s="10"/>
      <c r="E58" s="10" t="str">
        <f>IF($D58="","",COUNTIF(Hendon!$G$2:$G108, $D58))</f>
        <v/>
      </c>
      <c r="F58" s="10" t="str">
        <f t="shared" si="1"/>
        <v/>
      </c>
      <c r="G58" s="10" t="str">
        <f>IF($D58="","",COUNTIFS(Hendon!$H$2:$H108,"",Hendon!$G$2:$G108, $D58))</f>
        <v/>
      </c>
      <c r="H58" s="36" t="str">
        <f t="shared" si="2"/>
        <v/>
      </c>
    </row>
    <row r="59">
      <c r="A59" s="58" t="str">
        <f>IFERROR(__xludf.DUMMYFUNCTION("""COMPUTED_VALUE"""),"halizwein")</f>
        <v>halizwein</v>
      </c>
      <c r="B59" s="59">
        <f>IFERROR(__xludf.DUMMYFUNCTION("""COMPUTED_VALUE"""),2.0)</f>
        <v>2</v>
      </c>
      <c r="C59" s="60">
        <f>IFERROR(__xludf.DUMMYFUNCTION("""COMPUTED_VALUE"""),2.0)</f>
        <v>2</v>
      </c>
      <c r="D59" s="10"/>
      <c r="E59" s="10" t="str">
        <f>IF($D59="","",COUNTIF(Hendon!$G$2:$G108, $D59))</f>
        <v/>
      </c>
      <c r="F59" s="10" t="str">
        <f t="shared" si="1"/>
        <v/>
      </c>
      <c r="G59" s="10" t="str">
        <f>IF($D59="","",COUNTIFS(Hendon!$H$2:$H108,"",Hendon!$G$2:$G108, $D59))</f>
        <v/>
      </c>
      <c r="H59" s="36" t="str">
        <f t="shared" si="2"/>
        <v/>
      </c>
    </row>
    <row r="60">
      <c r="A60" s="58" t="str">
        <f>IFERROR(__xludf.DUMMYFUNCTION("""COMPUTED_VALUE"""),"iScreamBIue")</f>
        <v>iScreamBIue</v>
      </c>
      <c r="B60" s="59">
        <f>IFERROR(__xludf.DUMMYFUNCTION("""COMPUTED_VALUE"""),2.0)</f>
        <v>2</v>
      </c>
      <c r="C60" s="60">
        <f>IFERROR(__xludf.DUMMYFUNCTION("""COMPUTED_VALUE"""),2.0)</f>
        <v>2</v>
      </c>
      <c r="D60" s="10"/>
      <c r="E60" s="10" t="str">
        <f>IF($D60="","",COUNTIF(Hendon!$G$2:$G108, $D60))</f>
        <v/>
      </c>
      <c r="F60" s="10" t="str">
        <f t="shared" si="1"/>
        <v/>
      </c>
      <c r="G60" s="10" t="str">
        <f>IF($D60="","",COUNTIFS(Hendon!$H$2:$H108,"",Hendon!$G$2:$G108, $D60))</f>
        <v/>
      </c>
      <c r="H60" s="36" t="str">
        <f t="shared" si="2"/>
        <v/>
      </c>
    </row>
    <row r="61">
      <c r="A61" s="58" t="str">
        <f>IFERROR(__xludf.DUMMYFUNCTION("""COMPUTED_VALUE"""),"ivwarrior")</f>
        <v>ivwarrior</v>
      </c>
      <c r="B61" s="59">
        <f>IFERROR(__xludf.DUMMYFUNCTION("""COMPUTED_VALUE"""),2.0)</f>
        <v>2</v>
      </c>
      <c r="C61" s="60">
        <f>IFERROR(__xludf.DUMMYFUNCTION("""COMPUTED_VALUE"""),2.0)</f>
        <v>2</v>
      </c>
      <c r="D61" s="10"/>
      <c r="E61" s="10" t="str">
        <f>IF($D61="","",COUNTIF(Hendon!$G$2:$G108, $D61))</f>
        <v/>
      </c>
      <c r="F61" s="10" t="str">
        <f t="shared" si="1"/>
        <v/>
      </c>
      <c r="G61" s="10" t="str">
        <f>IF($D61="","",COUNTIFS(Hendon!$H$2:$H108,"",Hendon!$G$2:$G108, $D61))</f>
        <v/>
      </c>
      <c r="H61" s="36" t="str">
        <f t="shared" si="2"/>
        <v/>
      </c>
    </row>
    <row r="62">
      <c r="A62" s="58" t="str">
        <f>IFERROR(__xludf.DUMMYFUNCTION("""COMPUTED_VALUE"""),"jldh")</f>
        <v>jldh</v>
      </c>
      <c r="B62" s="59">
        <f>IFERROR(__xludf.DUMMYFUNCTION("""COMPUTED_VALUE"""),2.0)</f>
        <v>2</v>
      </c>
      <c r="C62" s="60">
        <f>IFERROR(__xludf.DUMMYFUNCTION("""COMPUTED_VALUE"""),2.0)</f>
        <v>2</v>
      </c>
      <c r="D62" s="10"/>
      <c r="E62" s="10" t="str">
        <f>IF($D62="","",COUNTIF(Hendon!$G$2:$G108, $D62))</f>
        <v/>
      </c>
      <c r="F62" s="10" t="str">
        <f t="shared" si="1"/>
        <v/>
      </c>
      <c r="G62" s="10" t="str">
        <f>IF($D62="","",COUNTIFS(Hendon!$H$2:$H108,"",Hendon!$G$2:$G108, $D62))</f>
        <v/>
      </c>
      <c r="H62" s="36" t="str">
        <f t="shared" si="2"/>
        <v/>
      </c>
    </row>
    <row r="63">
      <c r="A63" s="49" t="str">
        <f>IFERROR(__xludf.DUMMYFUNCTION("""COMPUTED_VALUE"""),"kiitokurre")</f>
        <v>kiitokurre</v>
      </c>
      <c r="B63" s="50">
        <f>IFERROR(__xludf.DUMMYFUNCTION("""COMPUTED_VALUE"""),2.0)</f>
        <v>2</v>
      </c>
      <c r="C63" s="51">
        <f>IFERROR(__xludf.DUMMYFUNCTION("""COMPUTED_VALUE"""),2.0)</f>
        <v>2</v>
      </c>
      <c r="D63" s="10"/>
      <c r="E63" s="10" t="str">
        <f>IF($D63="","",COUNTIF(Hendon!$G$2:$G108, $D63))</f>
        <v/>
      </c>
      <c r="F63" s="10" t="str">
        <f t="shared" si="1"/>
        <v/>
      </c>
      <c r="G63" s="10" t="str">
        <f>IF($D63="","",COUNTIFS(Hendon!$H$2:$H108,"",Hendon!$G$2:$G108, $D63))</f>
        <v/>
      </c>
      <c r="H63" s="36" t="str">
        <f t="shared" si="2"/>
        <v/>
      </c>
    </row>
    <row r="64">
      <c r="A64" s="58" t="str">
        <f>IFERROR(__xludf.DUMMYFUNCTION("""COMPUTED_VALUE"""),"kwd")</f>
        <v>kwd</v>
      </c>
      <c r="B64" s="59">
        <f>IFERROR(__xludf.DUMMYFUNCTION("""COMPUTED_VALUE"""),2.0)</f>
        <v>2</v>
      </c>
      <c r="C64" s="60">
        <f>IFERROR(__xludf.DUMMYFUNCTION("""COMPUTED_VALUE"""),2.0)</f>
        <v>2</v>
      </c>
      <c r="D64" s="10"/>
      <c r="E64" s="10" t="str">
        <f>IF($D64="","",COUNTIF(Hendon!$G$2:$G108, $D64))</f>
        <v/>
      </c>
      <c r="F64" s="10" t="str">
        <f t="shared" si="1"/>
        <v/>
      </c>
      <c r="G64" s="10" t="str">
        <f>IF($D64="","",COUNTIFS(Hendon!$H$2:$H108,"",Hendon!$G$2:$G108, $D64))</f>
        <v/>
      </c>
      <c r="H64" s="36" t="str">
        <f t="shared" si="2"/>
        <v/>
      </c>
    </row>
    <row r="65">
      <c r="A65" s="58" t="str">
        <f>IFERROR(__xludf.DUMMYFUNCTION("""COMPUTED_VALUE"""),"lanyasummer")</f>
        <v>lanyasummer</v>
      </c>
      <c r="B65" s="59">
        <f>IFERROR(__xludf.DUMMYFUNCTION("""COMPUTED_VALUE"""),2.0)</f>
        <v>2</v>
      </c>
      <c r="C65" s="60">
        <f>IFERROR(__xludf.DUMMYFUNCTION("""COMPUTED_VALUE"""),2.0)</f>
        <v>2</v>
      </c>
      <c r="D65" s="10"/>
      <c r="E65" s="10" t="str">
        <f>IF($D65="","",COUNTIF(Hendon!$G$2:$G108, $D65))</f>
        <v/>
      </c>
      <c r="F65" s="10" t="str">
        <f t="shared" si="1"/>
        <v/>
      </c>
      <c r="G65" s="10" t="str">
        <f>IF($D65="","",COUNTIFS(Hendon!$H$2:$H108,"",Hendon!$G$2:$G108, $D65))</f>
        <v/>
      </c>
      <c r="H65" s="36" t="str">
        <f t="shared" si="2"/>
        <v/>
      </c>
    </row>
    <row r="66">
      <c r="A66" s="58" t="str">
        <f>IFERROR(__xludf.DUMMYFUNCTION("""COMPUTED_VALUE"""),"Lehmich")</f>
        <v>Lehmich</v>
      </c>
      <c r="B66" s="59">
        <f>IFERROR(__xludf.DUMMYFUNCTION("""COMPUTED_VALUE"""),2.0)</f>
        <v>2</v>
      </c>
      <c r="C66" s="60">
        <f>IFERROR(__xludf.DUMMYFUNCTION("""COMPUTED_VALUE"""),2.0)</f>
        <v>2</v>
      </c>
      <c r="D66" s="10"/>
      <c r="E66" s="10" t="str">
        <f>IF($D66="","",COUNTIF(Hendon!$G$2:$G108, $D66))</f>
        <v/>
      </c>
      <c r="F66" s="10" t="str">
        <f t="shared" si="1"/>
        <v/>
      </c>
      <c r="G66" s="10" t="str">
        <f>IF($D66="","",COUNTIFS(Hendon!$H$2:$H108,"",Hendon!$G$2:$G108, $D66))</f>
        <v/>
      </c>
      <c r="H66" s="36" t="str">
        <f t="shared" si="2"/>
        <v/>
      </c>
    </row>
    <row r="67">
      <c r="A67" s="58" t="str">
        <f>IFERROR(__xludf.DUMMYFUNCTION("""COMPUTED_VALUE"""),"lnlevy01")</f>
        <v>lnlevy01</v>
      </c>
      <c r="B67" s="59">
        <f>IFERROR(__xludf.DUMMYFUNCTION("""COMPUTED_VALUE"""),2.0)</f>
        <v>2</v>
      </c>
      <c r="C67" s="60">
        <f>IFERROR(__xludf.DUMMYFUNCTION("""COMPUTED_VALUE"""),2.0)</f>
        <v>2</v>
      </c>
      <c r="D67" s="10"/>
      <c r="E67" s="10" t="str">
        <f>IF($D67="","",COUNTIF(Hendon!$G$2:$G108, $D67))</f>
        <v/>
      </c>
      <c r="F67" s="10" t="str">
        <f t="shared" si="1"/>
        <v/>
      </c>
      <c r="G67" s="10" t="str">
        <f>IF($D67="","",COUNTIFS(Hendon!$H$2:$H108,"",Hendon!$G$2:$G108, $D67))</f>
        <v/>
      </c>
      <c r="H67" s="36" t="str">
        <f t="shared" si="2"/>
        <v/>
      </c>
    </row>
    <row r="68">
      <c r="A68" s="49" t="str">
        <f>IFERROR(__xludf.DUMMYFUNCTION("""COMPUTED_VALUE"""),"lonni")</f>
        <v>lonni</v>
      </c>
      <c r="B68" s="50">
        <f>IFERROR(__xludf.DUMMYFUNCTION("""COMPUTED_VALUE"""),2.0)</f>
        <v>2</v>
      </c>
      <c r="C68" s="51">
        <f>IFERROR(__xludf.DUMMYFUNCTION("""COMPUTED_VALUE"""),2.0)</f>
        <v>2</v>
      </c>
      <c r="D68" s="10"/>
      <c r="E68" s="10" t="str">
        <f>IF($D68="","",COUNTIF(Hendon!$G$2:$G108, $D68))</f>
        <v/>
      </c>
      <c r="F68" s="10" t="str">
        <f t="shared" si="1"/>
        <v/>
      </c>
      <c r="G68" s="10" t="str">
        <f>IF($D68="","",COUNTIFS(Hendon!$H$2:$H108,"",Hendon!$G$2:$G108, $D68))</f>
        <v/>
      </c>
      <c r="H68" s="36" t="str">
        <f t="shared" si="2"/>
        <v/>
      </c>
    </row>
    <row r="69">
      <c r="A69" s="58" t="str">
        <f>IFERROR(__xludf.DUMMYFUNCTION("""COMPUTED_VALUE"""),"MrBarnard")</f>
        <v>MrBarnard</v>
      </c>
      <c r="B69" s="59">
        <f>IFERROR(__xludf.DUMMYFUNCTION("""COMPUTED_VALUE"""),2.0)</f>
        <v>2</v>
      </c>
      <c r="C69" s="60">
        <f>IFERROR(__xludf.DUMMYFUNCTION("""COMPUTED_VALUE"""),2.0)</f>
        <v>2</v>
      </c>
      <c r="D69" s="10"/>
      <c r="E69" s="10" t="str">
        <f>IF($D69="","",COUNTIF(Hendon!$G$2:$G108, $D69))</f>
        <v/>
      </c>
      <c r="F69" s="10" t="str">
        <f t="shared" si="1"/>
        <v/>
      </c>
      <c r="G69" s="10" t="str">
        <f>IF($D69="","",COUNTIFS(Hendon!$H$2:$H108,"",Hendon!$G$2:$G108, $D69))</f>
        <v/>
      </c>
      <c r="H69" s="36" t="str">
        <f t="shared" si="2"/>
        <v/>
      </c>
    </row>
    <row r="70">
      <c r="A70" s="58" t="str">
        <f>IFERROR(__xludf.DUMMYFUNCTION("""COMPUTED_VALUE"""),"Nierenstein")</f>
        <v>Nierenstein</v>
      </c>
      <c r="B70" s="59">
        <f>IFERROR(__xludf.DUMMYFUNCTION("""COMPUTED_VALUE"""),2.0)</f>
        <v>2</v>
      </c>
      <c r="C70" s="60">
        <f>IFERROR(__xludf.DUMMYFUNCTION("""COMPUTED_VALUE"""),2.0)</f>
        <v>2</v>
      </c>
      <c r="D70" s="10"/>
      <c r="E70" s="10" t="str">
        <f>IF($D70="","",COUNTIF(Hendon!$G$2:$G108, $D70))</f>
        <v/>
      </c>
      <c r="F70" s="10" t="str">
        <f t="shared" si="1"/>
        <v/>
      </c>
      <c r="G70" s="10" t="str">
        <f>IF($D70="","",COUNTIFS(Hendon!$H$2:$H108,"",Hendon!$G$2:$G108, $D70))</f>
        <v/>
      </c>
      <c r="H70" s="36" t="str">
        <f t="shared" si="2"/>
        <v/>
      </c>
    </row>
    <row r="71">
      <c r="A71" s="58" t="str">
        <f>IFERROR(__xludf.DUMMYFUNCTION("""COMPUTED_VALUE"""),"NoahCache")</f>
        <v>NoahCache</v>
      </c>
      <c r="B71" s="59">
        <f>IFERROR(__xludf.DUMMYFUNCTION("""COMPUTED_VALUE"""),2.0)</f>
        <v>2</v>
      </c>
      <c r="C71" s="60">
        <f>IFERROR(__xludf.DUMMYFUNCTION("""COMPUTED_VALUE"""),2.0)</f>
        <v>2</v>
      </c>
      <c r="D71" s="10"/>
      <c r="E71" s="10" t="str">
        <f>IF($D71="","",COUNTIF(Hendon!$G$2:$G108, $D71))</f>
        <v/>
      </c>
      <c r="F71" s="10" t="str">
        <f t="shared" si="1"/>
        <v/>
      </c>
      <c r="G71" s="10" t="str">
        <f>IF($D71="","",COUNTIFS(Hendon!$H$2:$H108,"",Hendon!$G$2:$G108, $D71))</f>
        <v/>
      </c>
      <c r="H71" s="36" t="str">
        <f t="shared" si="2"/>
        <v/>
      </c>
    </row>
    <row r="72">
      <c r="A72" s="58" t="str">
        <f>IFERROR(__xludf.DUMMYFUNCTION("""COMPUTED_VALUE"""),"nuttynan")</f>
        <v>nuttynan</v>
      </c>
      <c r="B72" s="59">
        <f>IFERROR(__xludf.DUMMYFUNCTION("""COMPUTED_VALUE"""),2.0)</f>
        <v>2</v>
      </c>
      <c r="C72" s="60">
        <f>IFERROR(__xludf.DUMMYFUNCTION("""COMPUTED_VALUE"""),2.0)</f>
        <v>2</v>
      </c>
      <c r="D72" s="10"/>
      <c r="E72" s="10" t="str">
        <f>IF($D72="","",COUNTIF(Hendon!$G$2:$G108, $D72))</f>
        <v/>
      </c>
      <c r="F72" s="10" t="str">
        <f t="shared" si="1"/>
        <v/>
      </c>
      <c r="G72" s="10" t="str">
        <f>IF($D72="","",COUNTIFS(Hendon!$H$2:$H108,"",Hendon!$G$2:$G108, $D72))</f>
        <v/>
      </c>
      <c r="H72" s="36" t="str">
        <f t="shared" si="2"/>
        <v/>
      </c>
    </row>
    <row r="73">
      <c r="A73" s="49" t="str">
        <f>IFERROR(__xludf.DUMMYFUNCTION("""COMPUTED_VALUE"""),"NYBOSS")</f>
        <v>NYBOSS</v>
      </c>
      <c r="B73" s="50">
        <f>IFERROR(__xludf.DUMMYFUNCTION("""COMPUTED_VALUE"""),2.0)</f>
        <v>2</v>
      </c>
      <c r="C73" s="51">
        <f>IFERROR(__xludf.DUMMYFUNCTION("""COMPUTED_VALUE"""),2.0)</f>
        <v>2</v>
      </c>
      <c r="D73" s="10"/>
      <c r="E73" s="10" t="str">
        <f>IF($D73="","",COUNTIF(Hendon!$G$2:$G108, $D73))</f>
        <v/>
      </c>
      <c r="F73" s="10" t="str">
        <f t="shared" si="1"/>
        <v/>
      </c>
      <c r="G73" s="10" t="str">
        <f>IF($D73="","",COUNTIFS(Hendon!$H$2:$H108,"",Hendon!$G$2:$G108, $D73))</f>
        <v/>
      </c>
      <c r="H73" s="36" t="str">
        <f t="shared" si="2"/>
        <v/>
      </c>
    </row>
    <row r="74">
      <c r="A74" s="58" t="str">
        <f>IFERROR(__xludf.DUMMYFUNCTION("""COMPUTED_VALUE"""),"rgforsythe")</f>
        <v>rgforsythe</v>
      </c>
      <c r="B74" s="59">
        <f>IFERROR(__xludf.DUMMYFUNCTION("""COMPUTED_VALUE"""),2.0)</f>
        <v>2</v>
      </c>
      <c r="C74" s="60">
        <f>IFERROR(__xludf.DUMMYFUNCTION("""COMPUTED_VALUE"""),2.0)</f>
        <v>2</v>
      </c>
      <c r="D74" s="10"/>
      <c r="E74" s="10" t="str">
        <f>IF($D74="","",COUNTIF(Hendon!$G$2:$G108, $D74))</f>
        <v/>
      </c>
      <c r="F74" s="10" t="str">
        <f t="shared" si="1"/>
        <v/>
      </c>
      <c r="G74" s="10" t="str">
        <f>IF($D74="","",COUNTIFS(Hendon!$H$2:$H108,"",Hendon!$G$2:$G108, $D74))</f>
        <v/>
      </c>
      <c r="H74" s="36" t="str">
        <f t="shared" si="2"/>
        <v/>
      </c>
    </row>
    <row r="75">
      <c r="A75" s="58" t="str">
        <f>IFERROR(__xludf.DUMMYFUNCTION("""COMPUTED_VALUE"""),"ruckus2012")</f>
        <v>ruckus2012</v>
      </c>
      <c r="B75" s="59">
        <f>IFERROR(__xludf.DUMMYFUNCTION("""COMPUTED_VALUE"""),2.0)</f>
        <v>2</v>
      </c>
      <c r="C75" s="60">
        <f>IFERROR(__xludf.DUMMYFUNCTION("""COMPUTED_VALUE"""),2.0)</f>
        <v>2</v>
      </c>
      <c r="D75" s="10"/>
      <c r="E75" s="10" t="str">
        <f>IF($D75="","",COUNTIF(Hendon!$G$2:$G108, $D75))</f>
        <v/>
      </c>
      <c r="F75" s="10" t="str">
        <f t="shared" si="1"/>
        <v/>
      </c>
      <c r="G75" s="10" t="str">
        <f>IF($D75="","",COUNTIFS(Hendon!$H$2:$H108,"",Hendon!$G$2:$G108, $D75))</f>
        <v/>
      </c>
      <c r="H75" s="36" t="str">
        <f t="shared" si="2"/>
        <v/>
      </c>
    </row>
    <row r="76">
      <c r="A76" s="58" t="str">
        <f>IFERROR(__xludf.DUMMYFUNCTION("""COMPUTED_VALUE"""),"Smith2190")</f>
        <v>Smith2190</v>
      </c>
      <c r="B76" s="59">
        <f>IFERROR(__xludf.DUMMYFUNCTION("""COMPUTED_VALUE"""),2.0)</f>
        <v>2</v>
      </c>
      <c r="C76" s="60">
        <f>IFERROR(__xludf.DUMMYFUNCTION("""COMPUTED_VALUE"""),2.0)</f>
        <v>2</v>
      </c>
      <c r="D76" s="10"/>
      <c r="E76" s="10" t="str">
        <f>IF($D76="","",COUNTIF(Hendon!$G$2:$G108, $D76))</f>
        <v/>
      </c>
      <c r="F76" s="10" t="str">
        <f t="shared" si="1"/>
        <v/>
      </c>
      <c r="G76" s="10" t="str">
        <f>IF($D76="","",COUNTIFS(Hendon!$H$2:$H108,"",Hendon!$G$2:$G108, $D76))</f>
        <v/>
      </c>
      <c r="H76" s="36" t="str">
        <f t="shared" si="2"/>
        <v/>
      </c>
    </row>
    <row r="77">
      <c r="A77" s="58" t="str">
        <f>IFERROR(__xludf.DUMMYFUNCTION("""COMPUTED_VALUE"""),"StaceyZ")</f>
        <v>StaceyZ</v>
      </c>
      <c r="B77" s="59">
        <f>IFERROR(__xludf.DUMMYFUNCTION("""COMPUTED_VALUE"""),2.0)</f>
        <v>2</v>
      </c>
      <c r="C77" s="60">
        <f>IFERROR(__xludf.DUMMYFUNCTION("""COMPUTED_VALUE"""),2.0)</f>
        <v>2</v>
      </c>
      <c r="D77" s="10"/>
      <c r="E77" s="10" t="str">
        <f>IF($D77="","",COUNTIF(Hendon!$G$2:$G108, $D77))</f>
        <v/>
      </c>
      <c r="F77" s="10" t="str">
        <f t="shared" si="1"/>
        <v/>
      </c>
      <c r="G77" s="10" t="str">
        <f>IF($D77="","",COUNTIFS(Hendon!$H$2:$H108,"",Hendon!$G$2:$G108, $D77))</f>
        <v/>
      </c>
      <c r="H77" s="36" t="str">
        <f t="shared" si="2"/>
        <v/>
      </c>
    </row>
    <row r="78">
      <c r="A78" s="49" t="str">
        <f>IFERROR(__xludf.DUMMYFUNCTION("""COMPUTED_VALUE"""),"Syrtene")</f>
        <v>Syrtene</v>
      </c>
      <c r="B78" s="50">
        <f>IFERROR(__xludf.DUMMYFUNCTION("""COMPUTED_VALUE"""),2.0)</f>
        <v>2</v>
      </c>
      <c r="C78" s="51">
        <f>IFERROR(__xludf.DUMMYFUNCTION("""COMPUTED_VALUE"""),2.0)</f>
        <v>2</v>
      </c>
      <c r="D78" s="10"/>
      <c r="E78" s="10" t="str">
        <f>IF($D78="","",COUNTIF(Hendon!$G$2:$G108, $D78))</f>
        <v/>
      </c>
      <c r="F78" s="10" t="str">
        <f t="shared" si="1"/>
        <v/>
      </c>
      <c r="G78" s="10" t="str">
        <f>IF($D78="","",COUNTIFS(Hendon!$H$2:$H108,"",Hendon!$G$2:$G108, $D78))</f>
        <v/>
      </c>
      <c r="H78" s="36" t="str">
        <f t="shared" si="2"/>
        <v/>
      </c>
    </row>
    <row r="79">
      <c r="A79" s="58" t="str">
        <f>IFERROR(__xludf.DUMMYFUNCTION("""COMPUTED_VALUE"""),"teamsturms")</f>
        <v>teamsturms</v>
      </c>
      <c r="B79" s="59">
        <f>IFERROR(__xludf.DUMMYFUNCTION("""COMPUTED_VALUE"""),2.0)</f>
        <v>2</v>
      </c>
      <c r="C79" s="60">
        <f>IFERROR(__xludf.DUMMYFUNCTION("""COMPUTED_VALUE"""),2.0)</f>
        <v>2</v>
      </c>
      <c r="D79" s="10"/>
      <c r="E79" s="10" t="str">
        <f>IF($D79="","",COUNTIF(Hendon!$G$2:$G108, $D79))</f>
        <v/>
      </c>
      <c r="F79" s="10" t="str">
        <f t="shared" si="1"/>
        <v/>
      </c>
      <c r="G79" s="10" t="str">
        <f>IF($D79="","",COUNTIFS(Hendon!$H$2:$H108,"",Hendon!$G$2:$G108, $D79))</f>
        <v/>
      </c>
      <c r="H79" s="36" t="str">
        <f t="shared" si="2"/>
        <v/>
      </c>
    </row>
    <row r="80">
      <c r="A80" s="58"/>
      <c r="B80" s="59"/>
      <c r="C80" s="60"/>
      <c r="D80" s="10"/>
      <c r="E80" s="10" t="str">
        <f>IF($D80="","",COUNTIF(Hendon!$G$2:$G108, $D80))</f>
        <v/>
      </c>
      <c r="F80" s="10" t="str">
        <f t="shared" si="1"/>
        <v/>
      </c>
      <c r="G80" s="10" t="str">
        <f>IF($D80="","",COUNTIFS(Hendon!$H$2:$H108,"",Hendon!$G$2:$G108, $D80))</f>
        <v/>
      </c>
      <c r="H80" s="36" t="str">
        <f t="shared" si="2"/>
        <v/>
      </c>
    </row>
    <row r="81">
      <c r="A81" s="58"/>
      <c r="B81" s="59"/>
      <c r="C81" s="60"/>
      <c r="D81" s="10"/>
      <c r="E81" s="10" t="str">
        <f>IF($D81="","",COUNTIF(Hendon!$G$2:$G108, $D81))</f>
        <v/>
      </c>
      <c r="F81" s="10" t="str">
        <f t="shared" si="1"/>
        <v/>
      </c>
      <c r="G81" s="10" t="str">
        <f>IF($D81="","",COUNTIFS(Hendon!$H$2:$H108,"",Hendon!$G$2:$G108, $D81))</f>
        <v/>
      </c>
      <c r="H81" s="36" t="str">
        <f t="shared" si="2"/>
        <v/>
      </c>
    </row>
    <row r="82">
      <c r="A82" s="58"/>
      <c r="B82" s="59"/>
      <c r="C82" s="60"/>
      <c r="D82" s="10"/>
      <c r="E82" s="10" t="str">
        <f>IF($D82="","",COUNTIF(Hendon!$G$2:$G108, $D82))</f>
        <v/>
      </c>
      <c r="F82" s="10" t="str">
        <f t="shared" si="1"/>
        <v/>
      </c>
      <c r="G82" s="10" t="str">
        <f>IF($D82="","",COUNTIFS(Hendon!$H$2:$H108,"",Hendon!$G$2:$G108, $D82))</f>
        <v/>
      </c>
      <c r="H82" s="36" t="str">
        <f t="shared" si="2"/>
        <v/>
      </c>
    </row>
    <row r="83">
      <c r="A83" s="49"/>
      <c r="B83" s="50"/>
      <c r="C83" s="51"/>
      <c r="D83" s="10"/>
      <c r="E83" s="10" t="str">
        <f>IF($D83="","",COUNTIF(Hendon!$G$2:$G108, $D83))</f>
        <v/>
      </c>
      <c r="F83" s="10" t="str">
        <f t="shared" si="1"/>
        <v/>
      </c>
      <c r="G83" s="10" t="str">
        <f>IF($D83="","",COUNTIFS(Hendon!$H$2:$H108,"",Hendon!$G$2:$G108, $D83))</f>
        <v/>
      </c>
      <c r="H83" s="36" t="str">
        <f t="shared" si="2"/>
        <v/>
      </c>
    </row>
    <row r="84">
      <c r="A84" s="58"/>
      <c r="B84" s="59"/>
      <c r="C84" s="60"/>
      <c r="D84" s="10"/>
      <c r="E84" s="10" t="str">
        <f>IF($D84="","",COUNTIF(Hendon!$G$2:$G108, $D84))</f>
        <v/>
      </c>
      <c r="F84" s="10" t="str">
        <f t="shared" si="1"/>
        <v/>
      </c>
      <c r="G84" s="10" t="str">
        <f>IF($D84="","",COUNTIFS(Hendon!$H$2:$H108,"",Hendon!$G$2:$G108, $D84))</f>
        <v/>
      </c>
      <c r="H84" s="36" t="str">
        <f t="shared" si="2"/>
        <v/>
      </c>
    </row>
    <row r="85">
      <c r="A85" s="58"/>
      <c r="B85" s="59"/>
      <c r="C85" s="60"/>
      <c r="D85" s="10"/>
      <c r="E85" s="10" t="str">
        <f>IF($D85="","",COUNTIF(Hendon!$G$2:$G108, $D85))</f>
        <v/>
      </c>
      <c r="F85" s="10" t="str">
        <f t="shared" si="1"/>
        <v/>
      </c>
      <c r="G85" s="10" t="str">
        <f>IF($D85="","",COUNTIFS(Hendon!$H$2:$H108,"",Hendon!$G$2:$G108, $D85))</f>
        <v/>
      </c>
      <c r="H85" s="36" t="str">
        <f t="shared" si="2"/>
        <v/>
      </c>
    </row>
    <row r="86">
      <c r="A86" s="58"/>
      <c r="B86" s="59"/>
      <c r="C86" s="60"/>
      <c r="D86" s="10"/>
      <c r="E86" s="10" t="str">
        <f>IF($D86="","",COUNTIF(Hendon!$G$2:$G108, $D86))</f>
        <v/>
      </c>
      <c r="F86" s="10" t="str">
        <f t="shared" si="1"/>
        <v/>
      </c>
      <c r="G86" s="10" t="str">
        <f>IF($D86="","",COUNTIFS(Hendon!$H$2:$H108,"",Hendon!$G$2:$G108, $D86))</f>
        <v/>
      </c>
      <c r="H86" s="36" t="str">
        <f t="shared" si="2"/>
        <v/>
      </c>
    </row>
    <row r="87">
      <c r="A87" s="58"/>
      <c r="B87" s="59"/>
      <c r="C87" s="60"/>
      <c r="D87" s="10"/>
      <c r="E87" s="10" t="str">
        <f>IF($D87="","",COUNTIF(Hendon!$G$2:$G108, $D87))</f>
        <v/>
      </c>
      <c r="F87" s="10" t="str">
        <f t="shared" si="1"/>
        <v/>
      </c>
      <c r="G87" s="10" t="str">
        <f>IF($D87="","",COUNTIFS(Hendon!$H$2:$H108,"",Hendon!$G$2:$G108, $D87))</f>
        <v/>
      </c>
      <c r="H87" s="36" t="str">
        <f t="shared" si="2"/>
        <v/>
      </c>
    </row>
    <row r="88">
      <c r="A88" s="49"/>
      <c r="B88" s="50"/>
      <c r="C88" s="51"/>
      <c r="D88" s="10"/>
      <c r="E88" s="10" t="str">
        <f>IF($D88="","",COUNTIF(Hendon!$G$2:$G108, $D88))</f>
        <v/>
      </c>
      <c r="F88" s="10" t="str">
        <f t="shared" si="1"/>
        <v/>
      </c>
      <c r="G88" s="10" t="str">
        <f>IF($D88="","",COUNTIFS(Hendon!$H$2:$H108,"",Hendon!$G$2:$G108, $D88))</f>
        <v/>
      </c>
      <c r="H88" s="36" t="str">
        <f t="shared" si="2"/>
        <v/>
      </c>
    </row>
    <row r="89">
      <c r="A89" s="58"/>
      <c r="B89" s="59"/>
      <c r="C89" s="60"/>
      <c r="D89" s="10"/>
      <c r="E89" s="10" t="str">
        <f>IF($D89="","",COUNTIF(Hendon!$G$2:$G108, $D89))</f>
        <v/>
      </c>
      <c r="F89" s="10" t="str">
        <f t="shared" si="1"/>
        <v/>
      </c>
      <c r="G89" s="10" t="str">
        <f>IF($D89="","",COUNTIFS(Hendon!$H$2:$H108,"",Hendon!$G$2:$G108, $D89))</f>
        <v/>
      </c>
      <c r="H89" s="36" t="str">
        <f t="shared" si="2"/>
        <v/>
      </c>
    </row>
    <row r="90">
      <c r="A90" s="58"/>
      <c r="B90" s="59"/>
      <c r="C90" s="60"/>
      <c r="D90" s="10"/>
      <c r="E90" s="10" t="str">
        <f>IF($D90="","",COUNTIF(Hendon!$G$2:$G108, $D90))</f>
        <v/>
      </c>
      <c r="F90" s="10" t="str">
        <f t="shared" si="1"/>
        <v/>
      </c>
      <c r="G90" s="10" t="str">
        <f>IF($D90="","",COUNTIFS(Hendon!$H$2:$H108,"",Hendon!$G$2:$G108, $D90))</f>
        <v/>
      </c>
      <c r="H90" s="36" t="str">
        <f t="shared" si="2"/>
        <v/>
      </c>
    </row>
    <row r="91">
      <c r="A91" s="58"/>
      <c r="B91" s="59"/>
      <c r="C91" s="60"/>
      <c r="D91" s="10"/>
      <c r="E91" s="10" t="str">
        <f>IF($D91="","",COUNTIF(Hendon!$G$2:$G108, $D91))</f>
        <v/>
      </c>
      <c r="F91" s="10" t="str">
        <f t="shared" si="1"/>
        <v/>
      </c>
      <c r="G91" s="10" t="str">
        <f>IF($D91="","",COUNTIFS(Hendon!$H$2:$H108,"",Hendon!$G$2:$G108, $D91))</f>
        <v/>
      </c>
      <c r="H91" s="36" t="str">
        <f t="shared" si="2"/>
        <v/>
      </c>
    </row>
    <row r="92">
      <c r="A92" s="58"/>
      <c r="B92" s="59"/>
      <c r="C92" s="60"/>
      <c r="D92" s="10"/>
      <c r="E92" s="10" t="str">
        <f>IF($D92="","",COUNTIF(Hendon!$G$2:$G108, $D92))</f>
        <v/>
      </c>
      <c r="F92" s="10" t="str">
        <f t="shared" si="1"/>
        <v/>
      </c>
      <c r="G92" s="10" t="str">
        <f>IF($D92="","",COUNTIFS(Hendon!$H$2:$H108,"",Hendon!$G$2:$G108, $D92))</f>
        <v/>
      </c>
      <c r="H92" s="36" t="str">
        <f t="shared" si="2"/>
        <v/>
      </c>
    </row>
    <row r="93">
      <c r="A93" s="49"/>
      <c r="B93" s="50"/>
      <c r="C93" s="51"/>
      <c r="D93" s="10"/>
      <c r="E93" s="10" t="str">
        <f>IF($D93="","",COUNTIF(Hendon!$G$2:$G108, $D93))</f>
        <v/>
      </c>
      <c r="F93" s="10" t="str">
        <f t="shared" si="1"/>
        <v/>
      </c>
      <c r="G93" s="10" t="str">
        <f>IF($D93="","",COUNTIFS(Hendon!$H$2:$H108,"",Hendon!$G$2:$G108, $D93))</f>
        <v/>
      </c>
      <c r="H93" s="36" t="str">
        <f t="shared" si="2"/>
        <v/>
      </c>
    </row>
    <row r="94">
      <c r="A94" s="58"/>
      <c r="B94" s="59"/>
      <c r="C94" s="60"/>
      <c r="D94" s="10"/>
      <c r="E94" s="10" t="str">
        <f>IF($D94="","",COUNTIF(Hendon!$G$2:$G108, $D94))</f>
        <v/>
      </c>
      <c r="F94" s="10" t="str">
        <f t="shared" si="1"/>
        <v/>
      </c>
      <c r="G94" s="10" t="str">
        <f>IF($D94="","",COUNTIFS(Hendon!$H$2:$H108,"",Hendon!$G$2:$G108, $D94))</f>
        <v/>
      </c>
      <c r="H94" s="36" t="str">
        <f t="shared" si="2"/>
        <v/>
      </c>
    </row>
    <row r="95">
      <c r="A95" s="58"/>
      <c r="B95" s="59"/>
      <c r="C95" s="60"/>
      <c r="D95" s="10"/>
      <c r="E95" s="10" t="str">
        <f>IF($D95="","",COUNTIF(Hendon!$G$2:$G108, $D95))</f>
        <v/>
      </c>
      <c r="F95" s="10" t="str">
        <f t="shared" si="1"/>
        <v/>
      </c>
      <c r="G95" s="10" t="str">
        <f>IF($D95="","",COUNTIFS(Hendon!$H$2:$H108,"",Hendon!$G$2:$G108, $D95))</f>
        <v/>
      </c>
      <c r="H95" s="36" t="str">
        <f t="shared" si="2"/>
        <v/>
      </c>
    </row>
    <row r="96">
      <c r="A96" s="58"/>
      <c r="B96" s="59"/>
      <c r="C96" s="60"/>
      <c r="D96" s="10"/>
      <c r="E96" s="10" t="str">
        <f>IF($D96="","",COUNTIF(Hendon!$G$2:$G108, $D96))</f>
        <v/>
      </c>
      <c r="F96" s="10" t="str">
        <f t="shared" si="1"/>
        <v/>
      </c>
      <c r="G96" s="10" t="str">
        <f>IF($D96="","",COUNTIFS(Hendon!$H$2:$H108,"",Hendon!$G$2:$G108, $D96))</f>
        <v/>
      </c>
      <c r="H96" s="36" t="str">
        <f t="shared" si="2"/>
        <v/>
      </c>
    </row>
    <row r="97">
      <c r="A97" s="58"/>
      <c r="B97" s="59"/>
      <c r="C97" s="60"/>
      <c r="D97" s="10"/>
      <c r="E97" s="10" t="str">
        <f>IF($D97="","",COUNTIF(Hendon!$G$2:$G108, $D97))</f>
        <v/>
      </c>
      <c r="F97" s="10" t="str">
        <f t="shared" si="1"/>
        <v/>
      </c>
      <c r="G97" s="10" t="str">
        <f>IF($D97="","",COUNTIFS(Hendon!$H$2:$H108,"",Hendon!$G$2:$G108, $D97))</f>
        <v/>
      </c>
      <c r="H97" s="36" t="str">
        <f t="shared" si="2"/>
        <v/>
      </c>
    </row>
    <row r="98">
      <c r="A98" s="49"/>
      <c r="B98" s="50"/>
      <c r="C98" s="51"/>
      <c r="D98" s="10"/>
      <c r="E98" s="10" t="str">
        <f>IF($D98="","",COUNTIF(Hendon!$G$2:$G108, $D98))</f>
        <v/>
      </c>
      <c r="F98" s="10" t="str">
        <f t="shared" si="1"/>
        <v/>
      </c>
      <c r="G98" s="10" t="str">
        <f>IF($D98="","",COUNTIFS(Hendon!$H$2:$H108,"",Hendon!$G$2:$G108, $D98))</f>
        <v/>
      </c>
      <c r="H98" s="36" t="str">
        <f t="shared" si="2"/>
        <v/>
      </c>
    </row>
    <row r="99">
      <c r="A99" s="58"/>
      <c r="B99" s="59"/>
      <c r="C99" s="60"/>
      <c r="D99" s="10"/>
      <c r="E99" s="10" t="str">
        <f>IF($D99="","",COUNTIF(Hendon!$G$2:$G108, $D99))</f>
        <v/>
      </c>
      <c r="F99" s="10" t="str">
        <f t="shared" si="1"/>
        <v/>
      </c>
      <c r="G99" s="10" t="str">
        <f>IF($D99="","",COUNTIFS(Hendon!$H$2:$H108,"",Hendon!$G$2:$G108, $D99))</f>
        <v/>
      </c>
      <c r="H99" s="36" t="str">
        <f t="shared" si="2"/>
        <v/>
      </c>
    </row>
    <row r="100">
      <c r="A100" s="58"/>
      <c r="B100" s="59"/>
      <c r="C100" s="60"/>
      <c r="D100" s="10"/>
      <c r="E100" s="10" t="str">
        <f>IF($D100="","",COUNTIF(Hendon!$G$2:$G108, $D100))</f>
        <v/>
      </c>
      <c r="F100" s="10" t="str">
        <f t="shared" si="1"/>
        <v/>
      </c>
      <c r="G100" s="10" t="str">
        <f>IF($D100="","",COUNTIFS(Hendon!$H$2:$H108,"",Hendon!$G$2:$G108, $D100))</f>
        <v/>
      </c>
      <c r="H100" s="36" t="str">
        <f t="shared" si="2"/>
        <v/>
      </c>
    </row>
    <row r="101">
      <c r="A101" s="58"/>
      <c r="B101" s="59"/>
      <c r="C101" s="60"/>
      <c r="D101" s="10"/>
      <c r="E101" s="10" t="str">
        <f>IF($D101="","",COUNTIF(Hendon!$G$2:$G108, $D101))</f>
        <v/>
      </c>
      <c r="F101" s="10" t="str">
        <f t="shared" si="1"/>
        <v/>
      </c>
      <c r="G101" s="10" t="str">
        <f>IF($D101="","",COUNTIFS(Hendon!$H$2:$H108,"",Hendon!$G$2:$G108, $D101))</f>
        <v/>
      </c>
      <c r="H101" s="36" t="str">
        <f t="shared" si="2"/>
        <v/>
      </c>
    </row>
    <row r="102">
      <c r="A102" s="58"/>
      <c r="B102" s="59"/>
      <c r="C102" s="60"/>
      <c r="D102" s="10"/>
      <c r="E102" s="10" t="str">
        <f>IF($D102="","",COUNTIF(Hendon!$G$2:$G108, $D102))</f>
        <v/>
      </c>
      <c r="F102" s="10" t="str">
        <f t="shared" si="1"/>
        <v/>
      </c>
      <c r="G102" s="10" t="str">
        <f>IF($D102="","",COUNTIFS(Hendon!$H$2:$H108,"",Hendon!$G$2:$G108, $D102))</f>
        <v/>
      </c>
      <c r="H102" s="36" t="str">
        <f t="shared" si="2"/>
        <v/>
      </c>
    </row>
    <row r="103">
      <c r="A103" s="49"/>
      <c r="B103" s="50"/>
      <c r="C103" s="51"/>
      <c r="D103" s="10"/>
      <c r="E103" s="10" t="str">
        <f>IF($D103="","",COUNTIF(Hendon!$G$2:$G108, $D103))</f>
        <v/>
      </c>
      <c r="F103" s="10" t="str">
        <f t="shared" si="1"/>
        <v/>
      </c>
      <c r="G103" s="10" t="str">
        <f>IF($D103="","",COUNTIFS(Hendon!$H$2:$H108,"",Hendon!$G$2:$G108, $D103))</f>
        <v/>
      </c>
      <c r="H103" s="36" t="str">
        <f t="shared" si="2"/>
        <v/>
      </c>
    </row>
    <row r="104">
      <c r="A104" s="58"/>
      <c r="B104" s="59"/>
      <c r="C104" s="60"/>
      <c r="D104" s="10"/>
      <c r="E104" s="10" t="str">
        <f>IF($D104="","",COUNTIF(Hendon!$G$2:$G108, $D104))</f>
        <v/>
      </c>
      <c r="F104" s="10" t="str">
        <f t="shared" si="1"/>
        <v/>
      </c>
      <c r="G104" s="10" t="str">
        <f>IF($D104="","",COUNTIFS(Hendon!$H$2:$H108,"",Hendon!$G$2:$G108, $D104))</f>
        <v/>
      </c>
      <c r="H104" s="36" t="str">
        <f t="shared" si="2"/>
        <v/>
      </c>
    </row>
    <row r="105">
      <c r="A105" s="58"/>
      <c r="B105" s="59"/>
      <c r="C105" s="60"/>
      <c r="D105" s="10"/>
      <c r="E105" s="10" t="str">
        <f>IF($D105="","",COUNTIF(Hendon!$G$2:$G108, $D105))</f>
        <v/>
      </c>
      <c r="F105" s="10" t="str">
        <f t="shared" si="1"/>
        <v/>
      </c>
      <c r="G105" s="10" t="str">
        <f>IF($D105="","",COUNTIFS(Hendon!$H$2:$H108,"",Hendon!$G$2:$G108, $D105))</f>
        <v/>
      </c>
      <c r="H105" s="36" t="str">
        <f t="shared" si="2"/>
        <v/>
      </c>
    </row>
    <row r="106">
      <c r="A106" s="58"/>
      <c r="B106" s="59"/>
      <c r="C106" s="60"/>
      <c r="D106" s="10"/>
      <c r="E106" s="10" t="str">
        <f>IF($D106="","",COUNTIF(Hendon!$G$2:$G108, $D106))</f>
        <v/>
      </c>
      <c r="F106" s="10" t="str">
        <f t="shared" si="1"/>
        <v/>
      </c>
      <c r="G106" s="10" t="str">
        <f>IF($D106="","",COUNTIFS(Hendon!$H$2:$H108,"",Hendon!$G$2:$G108, $D106))</f>
        <v/>
      </c>
      <c r="H106" s="36" t="str">
        <f t="shared" si="2"/>
        <v/>
      </c>
    </row>
    <row r="107">
      <c r="A107" s="58"/>
      <c r="B107" s="59"/>
      <c r="C107" s="60"/>
      <c r="D107" s="10"/>
      <c r="E107" s="10" t="str">
        <f>IF($D107="","",COUNTIF(Hendon!$G$2:$G108, $D107))</f>
        <v/>
      </c>
      <c r="F107" s="10" t="str">
        <f t="shared" si="1"/>
        <v/>
      </c>
      <c r="G107" s="10" t="str">
        <f>IF($D107="","",COUNTIFS(Hendon!$H$2:$H108,"",Hendon!$G$2:$G108, $D107))</f>
        <v/>
      </c>
      <c r="H107" s="36" t="str">
        <f t="shared" si="2"/>
        <v/>
      </c>
    </row>
    <row r="108">
      <c r="A108" s="49"/>
      <c r="B108" s="50"/>
      <c r="C108" s="51"/>
      <c r="D108" s="10"/>
      <c r="E108" s="10" t="str">
        <f>IF($D108="","",COUNTIF(Hendon!$G$2:$G108, $D108))</f>
        <v/>
      </c>
      <c r="F108" s="10" t="str">
        <f t="shared" si="1"/>
        <v/>
      </c>
      <c r="G108" s="10" t="str">
        <f>IF($D108="","",COUNTIFS(Hendon!$H$2:$H108,"",Hendon!$G$2:$G108, $D108))</f>
        <v/>
      </c>
      <c r="H108" s="36" t="str">
        <f t="shared" si="2"/>
        <v/>
      </c>
    </row>
  </sheetData>
  <mergeCells count="10">
    <mergeCell ref="A7:C9"/>
    <mergeCell ref="A10:C27"/>
    <mergeCell ref="A28:C28"/>
    <mergeCell ref="B1:C1"/>
    <mergeCell ref="D1:E1"/>
    <mergeCell ref="B2:C2"/>
    <mergeCell ref="D2:E2"/>
    <mergeCell ref="B3:C3"/>
    <mergeCell ref="D3:E3"/>
    <mergeCell ref="A4:H5"/>
  </mergeCells>
  <conditionalFormatting sqref="D8:G108">
    <cfRule type="expression" dxfId="79" priority="1">
      <formula>IF($D8="POI",TRUE,FALSE)</formula>
    </cfRule>
  </conditionalFormatting>
  <conditionalFormatting sqref="D8:G108">
    <cfRule type="expression" dxfId="3" priority="2">
      <formula>IF($D8="timberwolf",TRUE,FALSE)</formula>
    </cfRule>
  </conditionalFormatting>
  <conditionalFormatting sqref="D8:G108">
    <cfRule type="expression" dxfId="4" priority="3">
      <formula>IF($D8="silver",TRUE,FALSE)</formula>
    </cfRule>
  </conditionalFormatting>
  <conditionalFormatting sqref="D8:G108">
    <cfRule type="expression" dxfId="5" priority="4">
      <formula>IF($D8="gray",TRUE,FALSE)</formula>
    </cfRule>
  </conditionalFormatting>
  <conditionalFormatting sqref="D8:G108">
    <cfRule type="expression" dxfId="6" priority="5">
      <formula>IF($D8="black",TRUE,FALSE)</formula>
    </cfRule>
  </conditionalFormatting>
  <conditionalFormatting sqref="D8:G108">
    <cfRule type="expression" dxfId="7" priority="6">
      <formula>IF($D8="orchid",TRUE,FALSE)</formula>
    </cfRule>
  </conditionalFormatting>
  <conditionalFormatting sqref="D8:G108">
    <cfRule type="expression" dxfId="8" priority="7">
      <formula>IF($D8="wisteria",TRUE,FALSE)</formula>
    </cfRule>
  </conditionalFormatting>
  <conditionalFormatting sqref="D8:G108">
    <cfRule type="expression" dxfId="9" priority="8">
      <formula>IF($D8="purple mountains majesty",TRUE,FALSE)</formula>
    </cfRule>
  </conditionalFormatting>
  <conditionalFormatting sqref="D8:G108">
    <cfRule type="expression" dxfId="10" priority="9">
      <formula>IF($D8="violet",TRUE,FALSE)</formula>
    </cfRule>
  </conditionalFormatting>
  <conditionalFormatting sqref="D8:G108">
    <cfRule type="expression" dxfId="11" priority="10">
      <formula>IF($D8="plum",TRUE,FALSE)</formula>
    </cfRule>
  </conditionalFormatting>
  <conditionalFormatting sqref="D8:G108">
    <cfRule type="expression" dxfId="12" priority="11">
      <formula>IF($D8="violet",TRUE,FALSE)</formula>
    </cfRule>
  </conditionalFormatting>
  <conditionalFormatting sqref="D8:G108">
    <cfRule type="expression" dxfId="13" priority="12">
      <formula>IF($D8="indigo",TRUE,FALSE)</formula>
    </cfRule>
  </conditionalFormatting>
  <conditionalFormatting sqref="D8:G108">
    <cfRule type="expression" dxfId="14" priority="13">
      <formula>IF($D8="blue",TRUE,FALSE)</formula>
    </cfRule>
  </conditionalFormatting>
  <conditionalFormatting sqref="D8:G108">
    <cfRule type="expression" dxfId="15" priority="14">
      <formula>IF($D8="cadet blue",TRUE,FALSE)</formula>
    </cfRule>
  </conditionalFormatting>
  <conditionalFormatting sqref="D8:G108">
    <cfRule type="expression" dxfId="16" priority="15">
      <formula>IF($D8="periwinkle",TRUE,FALSE)</formula>
    </cfRule>
  </conditionalFormatting>
  <conditionalFormatting sqref="D8:G108">
    <cfRule type="expression" dxfId="17" priority="16">
      <formula>IF($D8="cornflower",TRUE,FALSE)</formula>
    </cfRule>
  </conditionalFormatting>
  <conditionalFormatting sqref="D8:G108">
    <cfRule type="expression" dxfId="18" priority="17">
      <formula>IF($D8="blue green",TRUE,FALSE)</formula>
    </cfRule>
  </conditionalFormatting>
  <conditionalFormatting sqref="D8:G108">
    <cfRule type="expression" dxfId="19" priority="18">
      <formula>IF($D8="pacific blue",TRUE,FALSE)</formula>
    </cfRule>
  </conditionalFormatting>
  <conditionalFormatting sqref="D8:G108">
    <cfRule type="expression" dxfId="20" priority="19">
      <formula>IF($D8="cerulean",TRUE,FALSE)</formula>
    </cfRule>
  </conditionalFormatting>
  <conditionalFormatting sqref="D8:G108">
    <cfRule type="expression" dxfId="21" priority="20">
      <formula>IF($D8="robin egg blue",TRUE,FALSE)</formula>
    </cfRule>
  </conditionalFormatting>
  <conditionalFormatting sqref="D8:G108">
    <cfRule type="expression" dxfId="22" priority="21">
      <formula>IF($D8="turquoise blue",TRUE,FALSE)</formula>
    </cfRule>
  </conditionalFormatting>
  <conditionalFormatting sqref="D8:G108">
    <cfRule type="expression" dxfId="23" priority="22">
      <formula>IF($D8="sea green",TRUE,FALSE)</formula>
    </cfRule>
  </conditionalFormatting>
  <conditionalFormatting sqref="D8:G108">
    <cfRule type="expression" dxfId="24" priority="23">
      <formula>IF($D8="granny smith apple",TRUE,FALSE)</formula>
    </cfRule>
  </conditionalFormatting>
  <conditionalFormatting sqref="D8:G108">
    <cfRule type="expression" dxfId="25" priority="24">
      <formula>IF($D8="green",TRUE,FALSE)</formula>
    </cfRule>
  </conditionalFormatting>
  <conditionalFormatting sqref="D8:G108">
    <cfRule type="expression" dxfId="25" priority="25">
      <formula>IF($D8="green",TRUE,FALSE)</formula>
    </cfRule>
  </conditionalFormatting>
  <conditionalFormatting sqref="D8:G108">
    <cfRule type="expression" dxfId="26" priority="26">
      <formula>IF($D8="forest green",TRUE,FALSE)</formula>
    </cfRule>
  </conditionalFormatting>
  <conditionalFormatting sqref="D8:G108">
    <cfRule type="expression" dxfId="27" priority="27">
      <formula>IF($D8="asparagus",TRUE,FALSE)</formula>
    </cfRule>
  </conditionalFormatting>
  <conditionalFormatting sqref="D8:G108">
    <cfRule type="expression" dxfId="28" priority="28">
      <formula>IF($D8="olive green",TRUE,FALSE)</formula>
    </cfRule>
  </conditionalFormatting>
  <conditionalFormatting sqref="D8:G108">
    <cfRule type="expression" dxfId="29" priority="29">
      <formula>IF($D8="yellow green",TRUE,FALSE)</formula>
    </cfRule>
  </conditionalFormatting>
  <conditionalFormatting sqref="D8:G108">
    <cfRule type="expression" dxfId="30" priority="30">
      <formula>IF($D8="green yellow",TRUE,FALSE)</formula>
    </cfRule>
  </conditionalFormatting>
  <conditionalFormatting sqref="D8:G108">
    <cfRule type="expression" dxfId="31" priority="31">
      <formula>IF($D8="spring green",TRUE,FALSE)</formula>
    </cfRule>
  </conditionalFormatting>
  <conditionalFormatting sqref="D8:G108">
    <cfRule type="expression" dxfId="32" priority="32">
      <formula>IF($D8="gold",TRUE,FALSE)</formula>
    </cfRule>
  </conditionalFormatting>
  <conditionalFormatting sqref="D8:G108">
    <cfRule type="expression" dxfId="33" priority="33">
      <formula>IF($D8="yellow",TRUE,FALSE)</formula>
    </cfRule>
  </conditionalFormatting>
  <conditionalFormatting sqref="D8:G108">
    <cfRule type="expression" dxfId="34" priority="34">
      <formula>IF($D8="goldenrod",TRUE,FALSE)</formula>
    </cfRule>
  </conditionalFormatting>
  <conditionalFormatting sqref="D8:G108">
    <cfRule type="expression" dxfId="35" priority="35">
      <formula>IF($D8="dandelion",TRUE,FALSE)</formula>
    </cfRule>
  </conditionalFormatting>
  <conditionalFormatting sqref="D8:G108">
    <cfRule type="expression" dxfId="36" priority="36">
      <formula>IF($D8="burnt orange",TRUE,FALSE)</formula>
    </cfRule>
  </conditionalFormatting>
  <conditionalFormatting sqref="D8:G108">
    <cfRule type="expression" dxfId="37" priority="37">
      <formula>IF($D8="orange",TRUE,FALSE)</formula>
    </cfRule>
  </conditionalFormatting>
  <conditionalFormatting sqref="D8:G108">
    <cfRule type="expression" dxfId="38" priority="38">
      <formula>IF($D8="melon",TRUE,FALSE)</formula>
    </cfRule>
  </conditionalFormatting>
  <conditionalFormatting sqref="D8:G108">
    <cfRule type="expression" dxfId="39" priority="39">
      <formula>IF($D8="pink",TRUE,FALSE)</formula>
    </cfRule>
  </conditionalFormatting>
  <conditionalFormatting sqref="D8:G108">
    <cfRule type="expression" dxfId="40" priority="40">
      <formula>IF($D8="carnation pink",TRUE,FALSE)</formula>
    </cfRule>
  </conditionalFormatting>
  <conditionalFormatting sqref="D8:G108">
    <cfRule type="expression" dxfId="41" priority="41">
      <formula>IF($D8="mauvelous",TRUE,FALSE)</formula>
    </cfRule>
  </conditionalFormatting>
  <conditionalFormatting sqref="D8:G108">
    <cfRule type="expression" dxfId="42" priority="42">
      <formula>IF($D8="salmon",TRUE,FALSE)</formula>
    </cfRule>
  </conditionalFormatting>
  <conditionalFormatting sqref="D8:G108">
    <cfRule type="expression" dxfId="43" priority="43">
      <formula>IF($D8="tickle me pink",TRUE,FALSE)</formula>
    </cfRule>
  </conditionalFormatting>
  <conditionalFormatting sqref="D8:G108">
    <cfRule type="expression" dxfId="43" priority="44">
      <formula>IF($D8="tickle me pink",TRUE,FALSE)</formula>
    </cfRule>
  </conditionalFormatting>
  <conditionalFormatting sqref="D8:G108">
    <cfRule type="expression" dxfId="44" priority="45">
      <formula>IF($D8="magenta",TRUE,FALSE)</formula>
    </cfRule>
  </conditionalFormatting>
  <conditionalFormatting sqref="D8:G108">
    <cfRule type="expression" dxfId="45" priority="46">
      <formula>IF($D8="wild strawberry",TRUE,FALSE)</formula>
    </cfRule>
  </conditionalFormatting>
  <conditionalFormatting sqref="D8:G108">
    <cfRule type="expression" dxfId="46" priority="47">
      <formula>IF($D8="violet red",TRUE,FALSE)</formula>
    </cfRule>
  </conditionalFormatting>
  <conditionalFormatting sqref="D8:G108">
    <cfRule type="expression" dxfId="47" priority="48">
      <formula>IF($D8="red violet",TRUE,FALSE)</formula>
    </cfRule>
  </conditionalFormatting>
  <conditionalFormatting sqref="D8:G108">
    <cfRule type="expression" dxfId="48" priority="49">
      <formula>IF($D8="apricot",TRUE,FALSE)</formula>
    </cfRule>
  </conditionalFormatting>
  <conditionalFormatting sqref="D8:G108">
    <cfRule type="expression" dxfId="49" priority="50">
      <formula>IF($D8="peach",TRUE,FALSE)</formula>
    </cfRule>
  </conditionalFormatting>
  <conditionalFormatting sqref="D8:G108">
    <cfRule type="expression" dxfId="50" priority="51">
      <formula>IF($D8="macaroni and cheese",TRUE,FALSE)</formula>
    </cfRule>
  </conditionalFormatting>
  <conditionalFormatting sqref="D8:G108">
    <cfRule type="expression" dxfId="51" priority="52">
      <formula>IF($D8="tan",TRUE,FALSE)</formula>
    </cfRule>
  </conditionalFormatting>
  <conditionalFormatting sqref="D8:G108">
    <cfRule type="expression" dxfId="52" priority="53">
      <formula>IF($D8="burnt sienna",TRUE,FALSE)</formula>
    </cfRule>
  </conditionalFormatting>
  <conditionalFormatting sqref="D8:G108">
    <cfRule type="expression" dxfId="53" priority="54">
      <formula>IF($D8="bittersweet",TRUE,FALSE)</formula>
    </cfRule>
  </conditionalFormatting>
  <conditionalFormatting sqref="D8:G108">
    <cfRule type="expression" dxfId="54" priority="55">
      <formula>IF($D8="red orange",TRUE,FALSE)</formula>
    </cfRule>
  </conditionalFormatting>
  <conditionalFormatting sqref="D8:G108">
    <cfRule type="expression" dxfId="55" priority="56">
      <formula>IF($D8="scarlet",TRUE,FALSE)</formula>
    </cfRule>
  </conditionalFormatting>
  <conditionalFormatting sqref="D8:G108">
    <cfRule type="expression" dxfId="56" priority="57">
      <formula>IF($D8="red",TRUE,FALSE)</formula>
    </cfRule>
  </conditionalFormatting>
  <conditionalFormatting sqref="D8:G108">
    <cfRule type="expression" dxfId="57" priority="58">
      <formula>IF($D8="brick red",TRUE,FALSE)</formula>
    </cfRule>
  </conditionalFormatting>
  <conditionalFormatting sqref="D8:G108">
    <cfRule type="expression" dxfId="58" priority="59">
      <formula>IF($D8="mahogany",TRUE,FALSE)</formula>
    </cfRule>
  </conditionalFormatting>
  <conditionalFormatting sqref="D8:G108">
    <cfRule type="expression" dxfId="59" priority="60">
      <formula>IF($D8="chestnut",TRUE,FALSE)</formula>
    </cfRule>
  </conditionalFormatting>
  <conditionalFormatting sqref="D8:G108">
    <cfRule type="expression" dxfId="60" priority="61">
      <formula>IF($D8="tumbleweed",TRUE,FALSE)</formula>
    </cfRule>
  </conditionalFormatting>
  <conditionalFormatting sqref="D8:G108">
    <cfRule type="expression" dxfId="61" priority="62">
      <formula>IF($D8="raw sienna",TRUE,FALSE)</formula>
    </cfRule>
  </conditionalFormatting>
  <conditionalFormatting sqref="D8:G108">
    <cfRule type="expression" dxfId="62" priority="63">
      <formula>IF($D8="brown",TRUE,FALSE)</formula>
    </cfRule>
  </conditionalFormatting>
  <conditionalFormatting sqref="D8:G108">
    <cfRule type="expression" dxfId="63" priority="64">
      <formula>IF($D8="carrot",TRUE,FALSE)</formula>
    </cfRule>
  </conditionalFormatting>
  <conditionalFormatting sqref="D8:G108">
    <cfRule type="expression" dxfId="64" priority="65">
      <formula>IF($D8="peas",TRUE,FALSE)</formula>
    </cfRule>
  </conditionalFormatting>
  <conditionalFormatting sqref="D8:G108">
    <cfRule type="expression" dxfId="65" priority="66">
      <formula>IF($D8="championshiphorse",TRUE,FALSE)</formula>
    </cfRule>
  </conditionalFormatting>
  <conditionalFormatting sqref="D8:G108">
    <cfRule type="expression" dxfId="66" priority="67">
      <formula>IF($D8="eggs",TRUE,FALSE)</formula>
    </cfRule>
  </conditionalFormatting>
  <conditionalFormatting sqref="D8:G108">
    <cfRule type="expression" dxfId="67" priority="68">
      <formula>IF($D8="family",TRUE,FALSE)</formula>
    </cfRule>
  </conditionalFormatting>
  <conditionalFormatting sqref="D8:G108">
    <cfRule type="expression" dxfId="68" priority="69">
      <formula>IF($D8="field",TRUE,FALSE)</formula>
    </cfRule>
  </conditionalFormatting>
  <conditionalFormatting sqref="H8:H108">
    <cfRule type="cellIs" dxfId="80" priority="70" operator="greaterThanOrEqual">
      <formula>0.8</formula>
    </cfRule>
  </conditionalFormatting>
  <conditionalFormatting sqref="H8:H108">
    <cfRule type="cellIs" dxfId="73" priority="71" operator="greaterThanOrEqual">
      <formula>0.6</formula>
    </cfRule>
  </conditionalFormatting>
  <conditionalFormatting sqref="H8:H108">
    <cfRule type="cellIs" dxfId="81" priority="72" operator="greaterThanOrEqual">
      <formula>0.4</formula>
    </cfRule>
  </conditionalFormatting>
  <conditionalFormatting sqref="H8:H108">
    <cfRule type="cellIs" dxfId="82" priority="73" operator="greaterThanOrEqual">
      <formula>0.2</formula>
    </cfRule>
  </conditionalFormatting>
  <conditionalFormatting sqref="H8:H108">
    <cfRule type="cellIs" dxfId="83" priority="74" operator="lessThan">
      <formula>0.2</formula>
    </cfRule>
  </conditionalFormatting>
  <dataValidations>
    <dataValidation type="custom" allowBlank="1" showDropDown="1" showErrorMessage="1" sqref="D2:D3">
      <formula1>IFERROR(ISURL(D2), true)</formula1>
    </dataValidation>
    <dataValidation type="decimal" operator="greaterThanOrEqual" allowBlank="1" showDropDown="1" showInputMessage="1" showErrorMessage="1" prompt="Enter a number greater than or equal to 5" sqref="D1">
      <formula1>5.0</formula1>
    </dataValidation>
  </dataValidations>
  <hyperlinks>
    <hyperlink r:id="rId1" ref="D2"/>
    <hyperlink r:id="rId2" ref="D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  <col customWidth="1" hidden="1" min="2" max="2" width="4.25"/>
    <col customWidth="1" hidden="1" min="3" max="3" width="6.75"/>
    <col customWidth="1" hidden="1" min="4" max="5" width="19.38"/>
    <col customWidth="1" min="6" max="6" width="17.13"/>
    <col hidden="1" min="7" max="9" width="12.63"/>
    <col customWidth="1" min="10" max="10" width="18.88"/>
    <col customWidth="1" min="11" max="11" width="50.13"/>
    <col customWidth="1" min="12" max="12" width="6.88"/>
  </cols>
  <sheetData>
    <row r="1">
      <c r="A1" s="61" t="s">
        <v>559</v>
      </c>
      <c r="B1" s="61" t="s">
        <v>1</v>
      </c>
      <c r="C1" s="61" t="s">
        <v>2</v>
      </c>
      <c r="D1" s="62" t="s">
        <v>3</v>
      </c>
      <c r="E1" s="62" t="s">
        <v>4</v>
      </c>
      <c r="F1" s="61" t="s">
        <v>5</v>
      </c>
      <c r="G1" s="61" t="s">
        <v>560</v>
      </c>
      <c r="H1" s="61" t="s">
        <v>7</v>
      </c>
      <c r="I1" s="61" t="s">
        <v>8</v>
      </c>
      <c r="J1" s="63" t="s">
        <v>9</v>
      </c>
      <c r="K1" s="61" t="s">
        <v>11</v>
      </c>
      <c r="L1" s="61" t="s">
        <v>561</v>
      </c>
    </row>
    <row r="2">
      <c r="A2" s="64" t="str">
        <f>IFERROR(__xludf.DUMMYFUNCTION("IFERROR(QUERY(Hendon!$A2:M538,""SELECT A,B,C,D,E,F,G,H,I WHERE H != '' AND K != ""&amp;TRUE&amp;"" ORDER BY I DESC, A"",FALSE),""No deploys to verify at this time"")"),"Hendon #172")</f>
        <v>Hendon #172</v>
      </c>
      <c r="B2" s="64">
        <f>IFERROR(__xludf.DUMMYFUNCTION("""COMPUTED_VALUE"""),13.0)</f>
        <v>13</v>
      </c>
      <c r="C2" s="64">
        <f>IFERROR(__xludf.DUMMYFUNCTION("""COMPUTED_VALUE"""),5.0)</f>
        <v>5</v>
      </c>
      <c r="D2" s="64">
        <f>IFERROR(__xludf.DUMMYFUNCTION("""COMPUTED_VALUE"""),51.5840895610107)</f>
        <v>51.58408956</v>
      </c>
      <c r="E2" s="64">
        <f>IFERROR(__xludf.DUMMYFUNCTION("""COMPUTED_VALUE"""),-0.220167358095)</f>
        <v>-0.2201673581</v>
      </c>
      <c r="F2" s="64" t="str">
        <f>IFERROR(__xludf.DUMMYFUNCTION("""COMPUTED_VALUE"""),"Electric Mystery")</f>
        <v>Electric Mystery</v>
      </c>
      <c r="G2" s="64" t="str">
        <f>IFERROR(__xludf.DUMMYFUNCTION("""COMPUTED_VALUE"""),"electric mystery")</f>
        <v>electric mystery</v>
      </c>
      <c r="H2" s="64" t="str">
        <f>IFERROR(__xludf.DUMMYFUNCTION("""COMPUTED_VALUE"""),"georeyna")</f>
        <v>georeyna</v>
      </c>
      <c r="I2" s="64">
        <f>IFERROR(__xludf.DUMMYFUNCTION("""COMPUTED_VALUE"""),9552.0)</f>
        <v>9552</v>
      </c>
      <c r="J2" s="65" t="str">
        <f t="shared" ref="J2:J26" si="1">IF(OR($A2="",$A2="No deploys to verify at this time"),"",HYPERLINK("https://www.munzee.com/m/"&amp;$H2&amp;"/"&amp;IF($I2="","undeploys/",$I2&amp;"/map/?lat="&amp;$D2&amp;"&amp;lon="&amp;$E2&amp;"&amp;type="&amp;$F2&amp;"&amp;name="&amp;SUBSTITUTE($A2,"#","%23")),$H2&amp;IF($I2="","","/"&amp;$I2)))</f>
        <v>georeyna/9552</v>
      </c>
      <c r="K2" s="64" t="str">
        <f>IF(OR($A2="",$A2="No deploys to verify at this time"),"",VLOOKUP($A2,Hendon!$A$2:$L538,12))</f>
        <v>Actual: 51.5835146374104, -0.2183169406009</v>
      </c>
      <c r="L2" s="64">
        <f>IF(OR($A2="",$A2="No deploys to verify at this time"),"",VLOOKUP($A2,Hendon!$A$2:$M538,13))</f>
        <v>4</v>
      </c>
    </row>
    <row r="3">
      <c r="A3" s="64" t="str">
        <f>IFERROR(__xludf.DUMMYFUNCTION("""COMPUTED_VALUE"""),"Hendon #112")</f>
        <v>Hendon #112</v>
      </c>
      <c r="B3" s="64">
        <f>IFERROR(__xludf.DUMMYFUNCTION("""COMPUTED_VALUE"""),10.0)</f>
        <v>10</v>
      </c>
      <c r="C3" s="64">
        <f>IFERROR(__xludf.DUMMYFUNCTION("""COMPUTED_VALUE"""),7.0)</f>
        <v>7</v>
      </c>
      <c r="D3" s="64">
        <f>IFERROR(__xludf.DUMMYFUNCTION("""COMPUTED_VALUE"""),51.5845207518924)</f>
        <v>51.58452075</v>
      </c>
      <c r="E3" s="64">
        <f>IFERROR(__xludf.DUMMYFUNCTION("""COMPUTED_VALUE"""),-0.2197046732329)</f>
        <v>-0.2197046732</v>
      </c>
      <c r="F3" s="64" t="str">
        <f>IFERROR(__xludf.DUMMYFUNCTION("""COMPUTED_VALUE"""),"Submarine Evolution")</f>
        <v>Submarine Evolution</v>
      </c>
      <c r="G3" s="64" t="str">
        <f>IFERROR(__xludf.DUMMYFUNCTION("""COMPUTED_VALUE"""),"canoe")</f>
        <v>canoe</v>
      </c>
      <c r="H3" s="64" t="str">
        <f>IFERROR(__xludf.DUMMYFUNCTION("""COMPUTED_VALUE"""),"Peter1980")</f>
        <v>Peter1980</v>
      </c>
      <c r="I3" s="64">
        <f>IFERROR(__xludf.DUMMYFUNCTION("""COMPUTED_VALUE"""),8677.0)</f>
        <v>8677</v>
      </c>
      <c r="J3" s="65" t="str">
        <f t="shared" si="1"/>
        <v>Peter1980/8677</v>
      </c>
      <c r="K3" s="64" t="str">
        <f>IF(OR($A3="",$A3="No deploys to verify at this time"),"",VLOOKUP($A3,Hendon!$A$2:$L538,12))</f>
        <v/>
      </c>
      <c r="L3" s="64">
        <f>IF(OR($A3="",$A3="No deploys to verify at this time"),"",VLOOKUP($A3,Hendon!$A$2:$M538,13))</f>
        <v>0</v>
      </c>
    </row>
    <row r="4">
      <c r="A4" s="64" t="str">
        <f>IFERROR(__xludf.DUMMYFUNCTION("""COMPUTED_VALUE"""),"Hendon #008")</f>
        <v>Hendon #008</v>
      </c>
      <c r="B4" s="64">
        <f>IFERROR(__xludf.DUMMYFUNCTION("""COMPUTED_VALUE"""),2.0)</f>
        <v>2</v>
      </c>
      <c r="C4" s="64">
        <f>IFERROR(__xludf.DUMMYFUNCTION("""COMPUTED_VALUE"""),13.0)</f>
        <v>13</v>
      </c>
      <c r="D4" s="64">
        <f>IFERROR(__xludf.DUMMYFUNCTION("""COMPUTED_VALUE"""),51.5856705940919)</f>
        <v>51.58567059</v>
      </c>
      <c r="E4" s="64">
        <f>IFERROR(__xludf.DUMMYFUNCTION("""COMPUTED_VALUE"""),-0.2183165893758)</f>
        <v>-0.2183165894</v>
      </c>
      <c r="F4" s="64" t="str">
        <f>IFERROR(__xludf.DUMMYFUNCTION("""COMPUTED_VALUE"""),"Sir Prize Wheel")</f>
        <v>Sir Prize Wheel</v>
      </c>
      <c r="G4" s="64" t="str">
        <f>IFERROR(__xludf.DUMMYFUNCTION("""COMPUTED_VALUE"""),"sir prize wheel")</f>
        <v>sir prize wheel</v>
      </c>
      <c r="H4" s="64" t="str">
        <f>IFERROR(__xludf.DUMMYFUNCTION("""COMPUTED_VALUE"""),"rgforsythe")</f>
        <v>rgforsythe</v>
      </c>
      <c r="I4" s="64">
        <f>IFERROR(__xludf.DUMMYFUNCTION("""COMPUTED_VALUE"""),8402.0)</f>
        <v>8402</v>
      </c>
      <c r="J4" s="65" t="str">
        <f t="shared" si="1"/>
        <v>rgforsythe/8402</v>
      </c>
      <c r="K4" s="64" t="str">
        <f>IF(OR($A4="",$A4="No deploys to verify at this time"),"",VLOOKUP($A4,Hendon!$A$2:$L538,12))</f>
        <v>Actual: 45.626475626102, -122.65491363794109</v>
      </c>
      <c r="L4" s="64">
        <f>IF(OR($A4="",$A4="No deploys to verify at this time"),"",VLOOKUP($A4,Hendon!$A$2:$M538,13))</f>
        <v>1</v>
      </c>
    </row>
    <row r="5">
      <c r="A5" s="64" t="str">
        <f>IFERROR(__xludf.DUMMYFUNCTION("""COMPUTED_VALUE"""),"Hendon #154")</f>
        <v>Hendon #154</v>
      </c>
      <c r="B5" s="64">
        <f>IFERROR(__xludf.DUMMYFUNCTION("""COMPUTED_VALUE"""),12.0)</f>
        <v>12</v>
      </c>
      <c r="C5" s="64">
        <f>IFERROR(__xludf.DUMMYFUNCTION("""COMPUTED_VALUE"""),7.0)</f>
        <v>7</v>
      </c>
      <c r="D5" s="64">
        <f>IFERROR(__xludf.DUMMYFUNCTION("""COMPUTED_VALUE"""),51.5842332910014)</f>
        <v>51.58423329</v>
      </c>
      <c r="E5" s="64">
        <f>IFERROR(__xludf.DUMMYFUNCTION("""COMPUTED_VALUE"""),-0.2197047112835)</f>
        <v>-0.2197047113</v>
      </c>
      <c r="F5" s="64" t="str">
        <f>IFERROR(__xludf.DUMMYFUNCTION("""COMPUTED_VALUE"""),"Submarine Evolution")</f>
        <v>Submarine Evolution</v>
      </c>
      <c r="G5" s="64" t="str">
        <f>IFERROR(__xludf.DUMMYFUNCTION("""COMPUTED_VALUE"""),"canoe")</f>
        <v>canoe</v>
      </c>
      <c r="H5" s="64" t="str">
        <f>IFERROR(__xludf.DUMMYFUNCTION("""COMPUTED_VALUE"""),"janzattic")</f>
        <v>janzattic</v>
      </c>
      <c r="I5" s="64">
        <f>IFERROR(__xludf.DUMMYFUNCTION("""COMPUTED_VALUE"""),6300.0)</f>
        <v>6300</v>
      </c>
      <c r="J5" s="65" t="str">
        <f t="shared" si="1"/>
        <v>janzattic/6300</v>
      </c>
      <c r="K5" s="64" t="str">
        <f>IF(OR($A5="",$A5="No deploys to verify at this time"),"",VLOOKUP($A5,Hendon!$A$2:$L538,12))</f>
        <v>Actual: 51.5839458287466, -0.2183168703588</v>
      </c>
      <c r="L5" s="64">
        <f>IF(OR($A5="",$A5="No deploys to verify at this time"),"",VLOOKUP($A5,Hendon!$A$2:$M538,13))</f>
        <v>2</v>
      </c>
    </row>
    <row r="6">
      <c r="A6" s="64" t="str">
        <f>IFERROR(__xludf.DUMMYFUNCTION("""COMPUTED_VALUE"""),"Hendon #065")</f>
        <v>Hendon #065</v>
      </c>
      <c r="B6" s="64">
        <f>IFERROR(__xludf.DUMMYFUNCTION("""COMPUTED_VALUE"""),7.0)</f>
        <v>7</v>
      </c>
      <c r="C6" s="64">
        <f>IFERROR(__xludf.DUMMYFUNCTION("""COMPUTED_VALUE"""),14.0)</f>
        <v>14</v>
      </c>
      <c r="D6" s="64">
        <f>IFERROR(__xludf.DUMMYFUNCTION("""COMPUTED_VALUE"""),51.5849519416373)</f>
        <v>51.58495194</v>
      </c>
      <c r="E6" s="64">
        <f>IFERROR(__xludf.DUMMYFUNCTION("""COMPUTED_VALUE"""),-0.2180853881728)</f>
        <v>-0.2180853882</v>
      </c>
      <c r="F6" s="64" t="str">
        <f>IFERROR(__xludf.DUMMYFUNCTION("""COMPUTED_VALUE"""),"Virtual Purple Mountains Majesty")</f>
        <v>Virtual Purple Mountains Majesty</v>
      </c>
      <c r="G6" s="64" t="str">
        <f>IFERROR(__xludf.DUMMYFUNCTION("""COMPUTED_VALUE"""),"purple mountains majesty")</f>
        <v>purple mountains majesty</v>
      </c>
      <c r="H6" s="64" t="str">
        <f>IFERROR(__xludf.DUMMYFUNCTION("""COMPUTED_VALUE"""),"Bisquick2")</f>
        <v>Bisquick2</v>
      </c>
      <c r="I6" s="64">
        <f>IFERROR(__xludf.DUMMYFUNCTION("""COMPUTED_VALUE"""),5782.0)</f>
        <v>5782</v>
      </c>
      <c r="J6" s="65" t="str">
        <f t="shared" si="1"/>
        <v>Bisquick2/5782</v>
      </c>
      <c r="K6" s="64" t="str">
        <f>IF(OR($A6="",$A6="No deploys to verify at this time"),"",VLOOKUP($A6,Hendon!$A$2:$L538,12))</f>
        <v>Actual: 51.5850956714007, -0.2173914069759</v>
      </c>
      <c r="L6" s="64">
        <f>IF(OR($A6="",$A6="No deploys to verify at this time"),"",VLOOKUP($A6,Hendon!$A$2:$M538,13))</f>
        <v>1</v>
      </c>
    </row>
    <row r="7">
      <c r="A7" s="64" t="str">
        <f>IFERROR(__xludf.DUMMYFUNCTION("""COMPUTED_VALUE"""),"Hendon #088")</f>
        <v>Hendon #088</v>
      </c>
      <c r="B7" s="64">
        <f>IFERROR(__xludf.DUMMYFUNCTION("""COMPUTED_VALUE"""),9.0)</f>
        <v>9</v>
      </c>
      <c r="C7" s="64">
        <f>IFERROR(__xludf.DUMMYFUNCTION("""COMPUTED_VALUE"""),3.0)</f>
        <v>3</v>
      </c>
      <c r="D7" s="64">
        <f>IFERROR(__xludf.DUMMYFUNCTION("""COMPUTED_VALUE"""),51.5846644832471)</f>
        <v>51.58466448</v>
      </c>
      <c r="E7" s="64">
        <f>IFERROR(__xludf.DUMMYFUNCTION("""COMPUTED_VALUE"""),-0.2206299214914)</f>
        <v>-0.2206299215</v>
      </c>
      <c r="F7" s="64" t="str">
        <f>IFERROR(__xludf.DUMMYFUNCTION("""COMPUTED_VALUE"""),"Surprise")</f>
        <v>Surprise</v>
      </c>
      <c r="G7" s="64" t="str">
        <f>IFERROR(__xludf.DUMMYFUNCTION("""COMPUTED_VALUE"""),"surprise")</f>
        <v>surprise</v>
      </c>
      <c r="H7" s="64" t="str">
        <f>IFERROR(__xludf.DUMMYFUNCTION("""COMPUTED_VALUE"""),"ashthegeogenius")</f>
        <v>ashthegeogenius</v>
      </c>
      <c r="I7" s="64">
        <f>IFERROR(__xludf.DUMMYFUNCTION("""COMPUTED_VALUE"""),3854.0)</f>
        <v>3854</v>
      </c>
      <c r="J7" s="65" t="str">
        <f t="shared" si="1"/>
        <v>ashthegeogenius/3854</v>
      </c>
      <c r="K7" s="64" t="str">
        <f>IF(OR($A7="",$A7="No deploys to verify at this time"),"",VLOOKUP($A7,Hendon!$A$2:$L538,12))</f>
        <v/>
      </c>
      <c r="L7" s="64">
        <f>IF(OR($A7="",$A7="No deploys to verify at this time"),"",VLOOKUP($A7,Hendon!$A$2:$M538,13))</f>
        <v>1</v>
      </c>
    </row>
    <row r="8">
      <c r="A8" s="64" t="str">
        <f>IFERROR(__xludf.DUMMYFUNCTION("""COMPUTED_VALUE"""),"Hendon #241")</f>
        <v>Hendon #241</v>
      </c>
      <c r="B8" s="64">
        <f>IFERROR(__xludf.DUMMYFUNCTION("""COMPUTED_VALUE"""),17.0)</f>
        <v>17</v>
      </c>
      <c r="C8" s="64">
        <f>IFERROR(__xludf.DUMMYFUNCTION("""COMPUTED_VALUE"""),11.0)</f>
        <v>11</v>
      </c>
      <c r="D8" s="64">
        <f>IFERROR(__xludf.DUMMYFUNCTION("""COMPUTED_VALUE"""),51.583514637865)</f>
        <v>51.58351464</v>
      </c>
      <c r="E8" s="64">
        <f>IFERROR(__xludf.DUMMYFUNCTION("""COMPUTED_VALUE"""),-0.2187795625349)</f>
        <v>-0.2187795625</v>
      </c>
      <c r="F8" s="64" t="str">
        <f>IFERROR(__xludf.DUMMYFUNCTION("""COMPUTED_VALUE"""),"Electric Mystery")</f>
        <v>Electric Mystery</v>
      </c>
      <c r="G8" s="64" t="str">
        <f>IFERROR(__xludf.DUMMYFUNCTION("""COMPUTED_VALUE"""),"electric mystery")</f>
        <v>electric mystery</v>
      </c>
      <c r="H8" s="64" t="str">
        <f>IFERROR(__xludf.DUMMYFUNCTION("""COMPUTED_VALUE"""),"WantingSnow")</f>
        <v>WantingSnow</v>
      </c>
      <c r="I8" s="64">
        <f>IFERROR(__xludf.DUMMYFUNCTION("""COMPUTED_VALUE"""),1601.0)</f>
        <v>1601</v>
      </c>
      <c r="J8" s="65" t="str">
        <f t="shared" si="1"/>
        <v>WantingSnow/1601</v>
      </c>
      <c r="K8" s="64" t="str">
        <f>IF(OR($A8="",$A8="No deploys to verify at this time"),"",VLOOKUP($A8,Hendon!$A$2:$L538,12))</f>
        <v/>
      </c>
      <c r="L8" s="64">
        <f>IF(OR($A8="",$A8="No deploys to verify at this time"),"",VLOOKUP($A8,Hendon!$A$2:$M538,13))</f>
        <v>1</v>
      </c>
    </row>
    <row r="9">
      <c r="A9" s="64" t="str">
        <f>IFERROR(__xludf.DUMMYFUNCTION("""COMPUTED_VALUE"""),"Hendon #127")</f>
        <v>Hendon #127</v>
      </c>
      <c r="B9" s="64">
        <f>IFERROR(__xludf.DUMMYFUNCTION("""COMPUTED_VALUE"""),11.0)</f>
        <v>11</v>
      </c>
      <c r="C9" s="64">
        <f>IFERROR(__xludf.DUMMYFUNCTION("""COMPUTED_VALUE"""),1.0)</f>
        <v>1</v>
      </c>
      <c r="D9" s="64">
        <f>IFERROR(__xludf.DUMMYFUNCTION("""COMPUTED_VALUE"""),51.5843770228109)</f>
        <v>51.58437702</v>
      </c>
      <c r="E9" s="64">
        <f>IFERROR(__xludf.DUMMYFUNCTION("""COMPUTED_VALUE"""),-0.2210925844016)</f>
        <v>-0.2210925844</v>
      </c>
      <c r="F9" s="64" t="str">
        <f>IFERROR(__xludf.DUMMYFUNCTION("""COMPUTED_VALUE"""),"Virtual Black")</f>
        <v>Virtual Black</v>
      </c>
      <c r="G9" s="64" t="str">
        <f>IFERROR(__xludf.DUMMYFUNCTION("""COMPUTED_VALUE"""),"black")</f>
        <v>black</v>
      </c>
      <c r="H9" s="64" t="str">
        <f>IFERROR(__xludf.DUMMYFUNCTION("""COMPUTED_VALUE"""),"ruckus2012")</f>
        <v>ruckus2012</v>
      </c>
      <c r="I9" s="64">
        <f>IFERROR(__xludf.DUMMYFUNCTION("""COMPUTED_VALUE"""),1435.0)</f>
        <v>1435</v>
      </c>
      <c r="J9" s="65" t="str">
        <f t="shared" si="1"/>
        <v>ruckus2012/1435</v>
      </c>
      <c r="K9" s="64" t="str">
        <f>IF(OR($A9="",$A9="No deploys to verify at this time"),"",VLOOKUP($A9,Hendon!$A$2:$L538,12))</f>
        <v>This pin just needs to be deployed!</v>
      </c>
      <c r="L9" s="64">
        <f>IF(OR($A9="",$A9="No deploys to verify at this time"),"",VLOOKUP($A9,Hendon!$A$2:$M538,13))</f>
        <v>0</v>
      </c>
    </row>
    <row r="10">
      <c r="A10" s="64" t="str">
        <f>IFERROR(__xludf.DUMMYFUNCTION("""COMPUTED_VALUE"""),"Hendon #215")</f>
        <v>Hendon #215</v>
      </c>
      <c r="B10" s="64">
        <f>IFERROR(__xludf.DUMMYFUNCTION("""COMPUTED_VALUE"""),15.0)</f>
        <v>15</v>
      </c>
      <c r="C10" s="64">
        <f>IFERROR(__xludf.DUMMYFUNCTION("""COMPUTED_VALUE"""),14.0)</f>
        <v>14</v>
      </c>
      <c r="D10" s="64">
        <f>IFERROR(__xludf.DUMMYFUNCTION("""COMPUTED_VALUE"""),51.5838020980739)</f>
        <v>51.5838021</v>
      </c>
      <c r="E10" s="64">
        <f>IFERROR(__xludf.DUMMYFUNCTION("""COMPUTED_VALUE"""),-0.2180855813424)</f>
        <v>-0.2180855813</v>
      </c>
      <c r="F10" s="64" t="str">
        <f>IFERROR(__xludf.DUMMYFUNCTION("""COMPUTED_VALUE"""),"Virtual Violet")</f>
        <v>Virtual Violet</v>
      </c>
      <c r="G10" s="64" t="str">
        <f>IFERROR(__xludf.DUMMYFUNCTION("""COMPUTED_VALUE"""),"violet")</f>
        <v>violet</v>
      </c>
      <c r="H10" s="64" t="str">
        <f>IFERROR(__xludf.DUMMYFUNCTION("""COMPUTED_VALUE"""),"ruckus2012")</f>
        <v>ruckus2012</v>
      </c>
      <c r="I10" s="64">
        <f>IFERROR(__xludf.DUMMYFUNCTION("""COMPUTED_VALUE"""),1434.0)</f>
        <v>1434</v>
      </c>
      <c r="J10" s="65" t="str">
        <f t="shared" si="1"/>
        <v>ruckus2012/1434</v>
      </c>
      <c r="K10" s="64" t="str">
        <f>IF(OR($A10="",$A10="No deploys to verify at this time"),"",VLOOKUP($A10,Hendon!$A$2:$L538,12))</f>
        <v>This pin just needs to be deployed!</v>
      </c>
      <c r="L10" s="64">
        <f>IF(OR($A10="",$A10="No deploys to verify at this time"),"",VLOOKUP($A10,Hendon!$A$2:$M538,13))</f>
        <v>0</v>
      </c>
    </row>
    <row r="11">
      <c r="A11" s="64" t="str">
        <f>IFERROR(__xludf.DUMMYFUNCTION("""COMPUTED_VALUE"""),"Hendon #001")</f>
        <v>Hendon #001</v>
      </c>
      <c r="B11" s="64">
        <f>IFERROR(__xludf.DUMMYFUNCTION("""COMPUTED_VALUE"""),1.0)</f>
        <v>1</v>
      </c>
      <c r="C11" s="64">
        <f>IFERROR(__xludf.DUMMYFUNCTION("""COMPUTED_VALUE"""),10.0)</f>
        <v>10</v>
      </c>
      <c r="D11" s="64">
        <f>IFERROR(__xludf.DUMMYFUNCTION("""COMPUTED_VALUE"""),51.5858143252193)</f>
        <v>51.58581433</v>
      </c>
      <c r="E11" s="64">
        <f>IFERROR(__xludf.DUMMYFUNCTION("""COMPUTED_VALUE"""),-0.219010533982)</f>
        <v>-0.219010534</v>
      </c>
      <c r="F11" s="64" t="str">
        <f>IFERROR(__xludf.DUMMYFUNCTION("""COMPUTED_VALUE"""),"Virtual Rainbow")</f>
        <v>Virtual Rainbow</v>
      </c>
      <c r="G11" s="64" t="str">
        <f>IFERROR(__xludf.DUMMYFUNCTION("""COMPUTED_VALUE"""),"rainbow")</f>
        <v>rainbow</v>
      </c>
      <c r="H11" s="64" t="str">
        <f>IFERROR(__xludf.DUMMYFUNCTION("""COMPUTED_VALUE"""),"alexcarter")</f>
        <v>alexcarter</v>
      </c>
      <c r="I11" s="64">
        <f>IFERROR(__xludf.DUMMYFUNCTION("""COMPUTED_VALUE"""),904.0)</f>
        <v>904</v>
      </c>
      <c r="J11" s="65" t="str">
        <f t="shared" si="1"/>
        <v>alexcarter/904</v>
      </c>
      <c r="K11" s="65" t="str">
        <f>IF(OR($A11="",$A11="No deploys to verify at this time"),"",VLOOKUP($A11,Hendon!$A$2:$L538,12))</f>
        <v>https://www.munzee.com/m/alexcarter/904/</v>
      </c>
      <c r="L11" s="64">
        <f>IF(OR($A11="",$A11="No deploys to verify at this time"),"",VLOOKUP($A11,Hendon!$A$2:$M538,13))</f>
        <v>0</v>
      </c>
    </row>
    <row r="12">
      <c r="A12" s="64" t="str">
        <f>IFERROR(__xludf.DUMMYFUNCTION("""COMPUTED_VALUE"""),"Hendon #009")</f>
        <v>Hendon #009</v>
      </c>
      <c r="B12" s="64">
        <f>IFERROR(__xludf.DUMMYFUNCTION("""COMPUTED_VALUE"""),3.0)</f>
        <v>3</v>
      </c>
      <c r="C12" s="64">
        <f>IFERROR(__xludf.DUMMYFUNCTION("""COMPUTED_VALUE"""),8.0)</f>
        <v>8</v>
      </c>
      <c r="D12" s="64">
        <f>IFERROR(__xludf.DUMMYFUNCTION("""COMPUTED_VALUE"""),51.5855268647831)</f>
        <v>51.58552686</v>
      </c>
      <c r="E12" s="64">
        <f>IFERROR(__xludf.DUMMYFUNCTION("""COMPUTED_VALUE"""),-0.2194732188482)</f>
        <v>-0.2194732188</v>
      </c>
      <c r="F12" s="64" t="str">
        <f>IFERROR(__xludf.DUMMYFUNCTION("""COMPUTED_VALUE"""),"Surprise")</f>
        <v>Surprise</v>
      </c>
      <c r="G12" s="64" t="str">
        <f>IFERROR(__xludf.DUMMYFUNCTION("""COMPUTED_VALUE"""),"surprise")</f>
        <v>surprise</v>
      </c>
      <c r="H12" s="64" t="str">
        <f>IFERROR(__xludf.DUMMYFUNCTION("""COMPUTED_VALUE"""),"Smith2190")</f>
        <v>Smith2190</v>
      </c>
      <c r="I12" s="64">
        <f>IFERROR(__xludf.DUMMYFUNCTION("""COMPUTED_VALUE"""),797.0)</f>
        <v>797</v>
      </c>
      <c r="J12" s="65" t="str">
        <f t="shared" si="1"/>
        <v>Smith2190/797</v>
      </c>
      <c r="K12" s="64" t="str">
        <f>IF(OR($A12="",$A12="No deploys to verify at this time"),"",VLOOKUP($A12,Hendon!$A$2:$L538,12))</f>
        <v>sirprizewheel != surprise</v>
      </c>
      <c r="L12" s="64">
        <f>IF(OR($A12="",$A12="No deploys to verify at this time"),"",VLOOKUP($A12,Hendon!$A$2:$M538,13))</f>
        <v>1</v>
      </c>
    </row>
    <row r="13">
      <c r="A13" s="64" t="str">
        <f>IFERROR(__xludf.DUMMYFUNCTION("""COMPUTED_VALUE"""),"Hendon #027")</f>
        <v>Hendon #027</v>
      </c>
      <c r="B13" s="64">
        <f>IFERROR(__xludf.DUMMYFUNCTION("""COMPUTED_VALUE"""),5.0)</f>
        <v>5</v>
      </c>
      <c r="C13" s="64">
        <f>IFERROR(__xludf.DUMMYFUNCTION("""COMPUTED_VALUE"""),5.0)</f>
        <v>5</v>
      </c>
      <c r="D13" s="64">
        <f>IFERROR(__xludf.DUMMYFUNCTION("""COMPUTED_VALUE"""),51.5852394045743)</f>
        <v>51.5852394</v>
      </c>
      <c r="E13" s="64">
        <f>IFERROR(__xludf.DUMMYFUNCTION("""COMPUTED_VALUE"""),-0.2201672176037)</f>
        <v>-0.2201672176</v>
      </c>
      <c r="F13" s="64" t="str">
        <f>IFERROR(__xludf.DUMMYFUNCTION("""COMPUTED_VALUE"""),"Sir Prize Wheel")</f>
        <v>Sir Prize Wheel</v>
      </c>
      <c r="G13" s="64" t="str">
        <f>IFERROR(__xludf.DUMMYFUNCTION("""COMPUTED_VALUE"""),"sir prize wheel")</f>
        <v>sir prize wheel</v>
      </c>
      <c r="H13" s="64" t="str">
        <f>IFERROR(__xludf.DUMMYFUNCTION("""COMPUTED_VALUE"""),"50' Error")</f>
        <v>50' Error</v>
      </c>
      <c r="I13" s="64"/>
      <c r="J13" s="65" t="str">
        <f t="shared" si="1"/>
        <v>50' Error</v>
      </c>
      <c r="K13" s="64" t="str">
        <f>IF(OR($A13="",$A13="No deploys to verify at this time"),"",VLOOKUP($A13,Hendon!$A$2:$L538,12))</f>
        <v>Blocked by Hendon #009 - wrong type</v>
      </c>
      <c r="L13" s="64">
        <f>IF(OR($A13="",$A13="No deploys to verify at this time"),"",VLOOKUP($A13,Hendon!$A$2:$M538,13))</f>
        <v>0</v>
      </c>
    </row>
    <row r="14">
      <c r="A14" s="64" t="str">
        <f>IFERROR(__xludf.DUMMYFUNCTION("""COMPUTED_VALUE"""),"Hendon #116")</f>
        <v>Hendon #116</v>
      </c>
      <c r="B14" s="64">
        <f>IFERROR(__xludf.DUMMYFUNCTION("""COMPUTED_VALUE"""),10.0)</f>
        <v>10</v>
      </c>
      <c r="C14" s="64">
        <f>IFERROR(__xludf.DUMMYFUNCTION("""COMPUTED_VALUE"""),11.0)</f>
        <v>11</v>
      </c>
      <c r="D14" s="64">
        <f>IFERROR(__xludf.DUMMYFUNCTION("""COMPUTED_VALUE"""),51.584520750983)</f>
        <v>51.58452075</v>
      </c>
      <c r="E14" s="64">
        <f>IFERROR(__xludf.DUMMYFUNCTION("""COMPUTED_VALUE"""),-0.2187794088771)</f>
        <v>-0.2187794089</v>
      </c>
      <c r="F14" s="64" t="str">
        <f>IFERROR(__xludf.DUMMYFUNCTION("""COMPUTED_VALUE"""),"Peas Evolution")</f>
        <v>Peas Evolution</v>
      </c>
      <c r="G14" s="64" t="str">
        <f>IFERROR(__xludf.DUMMYFUNCTION("""COMPUTED_VALUE"""),"peas seed")</f>
        <v>peas seed</v>
      </c>
      <c r="H14" s="64" t="str">
        <f>IFERROR(__xludf.DUMMYFUNCTION("""COMPUTED_VALUE"""),"50ft error")</f>
        <v>50ft error</v>
      </c>
      <c r="I14" s="64"/>
      <c r="J14" s="65" t="str">
        <f t="shared" si="1"/>
        <v>50ft error</v>
      </c>
      <c r="K14" s="64" t="str">
        <f>IF(OR($A14="",$A14="No deploys to verify at this time"),"",VLOOKUP($A14,Hendon!$A$2:$L538,12))</f>
        <v>Blocked by https://www.munzee.com/m/ShadowChasers/4863/</v>
      </c>
      <c r="L14" s="64">
        <f>IF(OR($A14="",$A14="No deploys to verify at this time"),"",VLOOKUP($A14,Hendon!$A$2:$M538,13))</f>
        <v>0</v>
      </c>
    </row>
    <row r="15">
      <c r="A15" s="64" t="str">
        <f>IFERROR(__xludf.DUMMYFUNCTION("""COMPUTED_VALUE"""),"Hendon #138")</f>
        <v>Hendon #138</v>
      </c>
      <c r="B15" s="64">
        <f>IFERROR(__xludf.DUMMYFUNCTION("""COMPUTED_VALUE"""),11.0)</f>
        <v>11</v>
      </c>
      <c r="C15" s="64">
        <f>IFERROR(__xludf.DUMMYFUNCTION("""COMPUTED_VALUE"""),12.0)</f>
        <v>12</v>
      </c>
      <c r="D15" s="64">
        <f>IFERROR(__xludf.DUMMYFUNCTION("""COMPUTED_VALUE"""),51.5843770203103)</f>
        <v>51.58437702</v>
      </c>
      <c r="E15" s="64">
        <f>IFERROR(__xludf.DUMMYFUNCTION("""COMPUTED_VALUE"""),-0.2185481154729)</f>
        <v>-0.2185481155</v>
      </c>
      <c r="F15" s="64" t="str">
        <f>IFERROR(__xludf.DUMMYFUNCTION("""COMPUTED_VALUE"""),"Peas Evolution")</f>
        <v>Peas Evolution</v>
      </c>
      <c r="G15" s="64" t="str">
        <f>IFERROR(__xludf.DUMMYFUNCTION("""COMPUTED_VALUE"""),"peas seed")</f>
        <v>peas seed</v>
      </c>
      <c r="H15" s="64" t="str">
        <f>IFERROR(__xludf.DUMMYFUNCTION("""COMPUTED_VALUE"""),"50ft error")</f>
        <v>50ft error</v>
      </c>
      <c r="I15" s="64"/>
      <c r="J15" s="65" t="str">
        <f t="shared" si="1"/>
        <v>50ft error</v>
      </c>
      <c r="K15" s="64" t="str">
        <f>IF(OR($A15="",$A15="No deploys to verify at this time"),"",VLOOKUP($A15,Hendon!$A$2:$L538,12))</f>
        <v>Blocked by https://www.munzee.com/m/ShadowChasers/4863/</v>
      </c>
      <c r="L15" s="64">
        <f>IF(OR($A15="",$A15="No deploys to verify at this time"),"",VLOOKUP($A15,Hendon!$A$2:$M538,13))</f>
        <v>0</v>
      </c>
    </row>
    <row r="16">
      <c r="A16" s="64"/>
      <c r="B16" s="64"/>
      <c r="C16" s="64"/>
      <c r="D16" s="64"/>
      <c r="E16" s="64"/>
      <c r="F16" s="64"/>
      <c r="G16" s="64"/>
      <c r="H16" s="64"/>
      <c r="I16" s="64"/>
      <c r="J16" s="64" t="str">
        <f t="shared" si="1"/>
        <v/>
      </c>
      <c r="K16" s="64" t="str">
        <f>IF(OR($A16="",$A16="No deploys to verify at this time"),"",VLOOKUP($A16,Hendon!$A$2:$L538,12))</f>
        <v/>
      </c>
      <c r="L16" s="64" t="str">
        <f>IF(OR($A16="",$A16="No deploys to verify at this time"),"",VLOOKUP($A16,Hendon!$A$2:$M538,13))</f>
        <v/>
      </c>
    </row>
    <row r="17">
      <c r="A17" s="64"/>
      <c r="B17" s="64"/>
      <c r="C17" s="64"/>
      <c r="D17" s="64"/>
      <c r="E17" s="64"/>
      <c r="F17" s="64"/>
      <c r="G17" s="64"/>
      <c r="H17" s="64"/>
      <c r="I17" s="64"/>
      <c r="J17" s="64" t="str">
        <f t="shared" si="1"/>
        <v/>
      </c>
      <c r="K17" s="64" t="str">
        <f>IF(OR($A17="",$A17="No deploys to verify at this time"),"",VLOOKUP($A17,Hendon!$A$2:$L538,12))</f>
        <v/>
      </c>
      <c r="L17" s="64" t="str">
        <f>IF(OR($A17="",$A17="No deploys to verify at this time"),"",VLOOKUP($A17,Hendon!$A$2:$M538,13))</f>
        <v/>
      </c>
    </row>
    <row r="18">
      <c r="A18" s="64"/>
      <c r="B18" s="64"/>
      <c r="C18" s="64"/>
      <c r="D18" s="64"/>
      <c r="E18" s="64"/>
      <c r="F18" s="64"/>
      <c r="G18" s="64"/>
      <c r="H18" s="64"/>
      <c r="I18" s="64"/>
      <c r="J18" s="64" t="str">
        <f t="shared" si="1"/>
        <v/>
      </c>
      <c r="K18" s="64" t="str">
        <f>IF(OR($A18="",$A18="No deploys to verify at this time"),"",VLOOKUP($A18,Hendon!$A$2:$L538,12))</f>
        <v/>
      </c>
      <c r="L18" s="64" t="str">
        <f>IF(OR($A18="",$A18="No deploys to verify at this time"),"",VLOOKUP($A18,Hendon!$A$2:$M538,13))</f>
        <v/>
      </c>
    </row>
    <row r="19">
      <c r="A19" s="64"/>
      <c r="B19" s="64"/>
      <c r="C19" s="64"/>
      <c r="D19" s="64"/>
      <c r="E19" s="64"/>
      <c r="F19" s="64"/>
      <c r="G19" s="64"/>
      <c r="H19" s="64"/>
      <c r="I19" s="64"/>
      <c r="J19" s="64" t="str">
        <f t="shared" si="1"/>
        <v/>
      </c>
      <c r="K19" s="64" t="str">
        <f>IF(OR($A19="",$A19="No deploys to verify at this time"),"",VLOOKUP($A19,Hendon!$A$2:$L538,12))</f>
        <v/>
      </c>
      <c r="L19" s="64" t="str">
        <f>IF(OR($A19="",$A19="No deploys to verify at this time"),"",VLOOKUP($A19,Hendon!$A$2:$M538,13))</f>
        <v/>
      </c>
    </row>
    <row r="20">
      <c r="A20" s="64"/>
      <c r="B20" s="64"/>
      <c r="C20" s="64"/>
      <c r="D20" s="64"/>
      <c r="E20" s="64"/>
      <c r="F20" s="64"/>
      <c r="G20" s="64"/>
      <c r="H20" s="64"/>
      <c r="I20" s="64"/>
      <c r="J20" s="64" t="str">
        <f t="shared" si="1"/>
        <v/>
      </c>
      <c r="K20" s="64" t="str">
        <f>IF(OR($A20="",$A20="No deploys to verify at this time"),"",VLOOKUP($A20,Hendon!$A$2:$L538,12))</f>
        <v/>
      </c>
      <c r="L20" s="64" t="str">
        <f>IF(OR($A20="",$A20="No deploys to verify at this time"),"",VLOOKUP($A20,Hendon!$A$2:$M538,13))</f>
        <v/>
      </c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 t="str">
        <f t="shared" si="1"/>
        <v/>
      </c>
      <c r="K21" s="64" t="str">
        <f>IF(OR($A21="",$A21="No deploys to verify at this time"),"",VLOOKUP($A21,Hendon!$A$2:$L538,12))</f>
        <v/>
      </c>
      <c r="L21" s="64" t="str">
        <f>IF(OR($A21="",$A21="No deploys to verify at this time"),"",VLOOKUP($A21,Hendon!$A$2:$M538,13))</f>
        <v/>
      </c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 t="str">
        <f t="shared" si="1"/>
        <v/>
      </c>
      <c r="K22" s="64" t="str">
        <f>IF(OR($A22="",$A22="No deploys to verify at this time"),"",VLOOKUP($A22,Hendon!$A$2:$L538,12))</f>
        <v/>
      </c>
      <c r="L22" s="64" t="str">
        <f>IF(OR($A22="",$A22="No deploys to verify at this time"),"",VLOOKUP($A22,Hendon!$A$2:$M538,13))</f>
        <v/>
      </c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 t="str">
        <f t="shared" si="1"/>
        <v/>
      </c>
      <c r="K23" s="64" t="str">
        <f>IF(OR($A23="",$A23="No deploys to verify at this time"),"",VLOOKUP($A23,Hendon!$A$2:$L538,12))</f>
        <v/>
      </c>
      <c r="L23" s="64" t="str">
        <f>IF(OR($A23="",$A23="No deploys to verify at this time"),"",VLOOKUP($A23,Hendon!$A$2:$M538,13))</f>
        <v/>
      </c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 t="str">
        <f t="shared" si="1"/>
        <v/>
      </c>
      <c r="K24" s="64" t="str">
        <f>IF(OR($A24="",$A24="No deploys to verify at this time"),"",VLOOKUP($A24,Hendon!$A$2:$L538,12))</f>
        <v/>
      </c>
      <c r="L24" s="64" t="str">
        <f>IF(OR($A24="",$A24="No deploys to verify at this time"),"",VLOOKUP($A24,Hendon!$A$2:$M538,13))</f>
        <v/>
      </c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 t="str">
        <f t="shared" si="1"/>
        <v/>
      </c>
      <c r="K25" s="64" t="str">
        <f>IF(OR($A25="",$A25="No deploys to verify at this time"),"",VLOOKUP($A25,Hendon!$A$2:$L538,12))</f>
        <v/>
      </c>
      <c r="L25" s="64" t="str">
        <f>IF(OR($A25="",$A25="No deploys to verify at this time"),"",VLOOKUP($A25,Hendon!$A$2:$M538,13))</f>
        <v/>
      </c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 t="str">
        <f t="shared" si="1"/>
        <v/>
      </c>
      <c r="K26" s="64" t="str">
        <f>IF(OR($A26="",$A26="No deploys to verify at this time"),"",VLOOKUP($A26,Hendon!$A$2:$L538,12))</f>
        <v/>
      </c>
      <c r="L26" s="64" t="str">
        <f>IF(OR($A26="",$A26="No deploys to verify at this time"),"",VLOOKUP($A26,Hendon!$A$2:$M538,13))</f>
        <v/>
      </c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</row>
  </sheetData>
  <conditionalFormatting sqref="A2:L538">
    <cfRule type="expression" dxfId="70" priority="1">
      <formula>IF(AND($A2&lt;&gt;"",$A2&lt;&gt;"No deploys to verify at this time",$I2=""),TRUE,FALSE)</formula>
    </cfRule>
  </conditionalFormatting>
  <conditionalFormatting sqref="A2:L538">
    <cfRule type="expression" dxfId="84" priority="2">
      <formula>IF(OR($A2="",$A2="No deploys to verify at this time"),FALSE,TRUE)</formula>
    </cfRule>
  </conditionalFormatting>
  <conditionalFormatting sqref="A2:L538">
    <cfRule type="expression" dxfId="80" priority="3">
      <formula>IF($A$2="No deploys to verify at this time",TRUE,FALSE)</formula>
    </cfRule>
  </conditionalFormatting>
  <drawing r:id="rId1"/>
</worksheet>
</file>