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w" sheetId="1" r:id="rId3"/>
    <sheet state="visible" name="Information" sheetId="2" r:id="rId4"/>
    <sheet state="visible" name="To be checked" sheetId="3" r:id="rId5"/>
  </sheets>
  <definedNames>
    <definedName hidden="1" localSheetId="0" name="Z_167F809F_9DDC_4FD9_99DF_9667C6CBDFB0_.wvu.FilterData">Paw!$A$1:$M$507</definedName>
    <definedName hidden="1" localSheetId="0" name="Z_8B863836_2715_4A6D_AA54_1A113D7A18CF_.wvu.FilterData">Paw!$A$1:$M$507</definedName>
    <definedName hidden="1" localSheetId="0" name="Z_1A933A6E_8B07_48FA_9F33_724AF73F6A82_.wvu.FilterData">Paw!$A$1:$M$507</definedName>
  </definedNames>
  <calcPr/>
  <customWorkbookViews>
    <customWorkbookView activeSheetId="0" maximized="1" windowHeight="0" windowWidth="0" guid="{1A933A6E-8B07-48FA-9F33-724AF73F6A82}" name="Catapult"/>
    <customWorkbookView activeSheetId="0" maximized="1" windowHeight="0" windowWidth="0" guid="{167F809F-9DDC-4FD9-99DF-9667C6CBDFB0}" name="To be checked"/>
    <customWorkbookView activeSheetId="0" maximized="1" windowHeight="0" windowWidth="0" guid="{8B863836-2715-4A6D-AA54-1A113D7A18CF}" name="Crossbows"/>
  </customWorkbookViews>
</workbook>
</file>

<file path=xl/sharedStrings.xml><?xml version="1.0" encoding="utf-8"?>
<sst xmlns="http://schemas.openxmlformats.org/spreadsheetml/2006/main" count="1708" uniqueCount="702">
  <si>
    <t>Pin #</t>
  </si>
  <si>
    <t>Row</t>
  </si>
  <si>
    <t>Column</t>
  </si>
  <si>
    <t>Latitude</t>
  </si>
  <si>
    <t>Longitude</t>
  </si>
  <si>
    <t>Munzee</t>
  </si>
  <si>
    <t>Color</t>
  </si>
  <si>
    <t>Username</t>
  </si>
  <si>
    <t>Deploy #</t>
  </si>
  <si>
    <t>Checker Link</t>
  </si>
  <si>
    <t>Checked</t>
  </si>
  <si>
    <t>Comments</t>
  </si>
  <si>
    <t>Deployed</t>
  </si>
  <si>
    <t>Paw #001</t>
  </si>
  <si>
    <t>Virtual Scarlet</t>
  </si>
  <si>
    <t>scarlet</t>
  </si>
  <si>
    <t>Taxi343</t>
  </si>
  <si>
    <t>Actual: 49.190878118805, -2.0925577470116</t>
  </si>
  <si>
    <t>Paw #002</t>
  </si>
  <si>
    <t>georeyna</t>
  </si>
  <si>
    <t>Paw #003</t>
  </si>
  <si>
    <t xml:space="preserve">Sportytaxi </t>
  </si>
  <si>
    <t>Paw #004</t>
  </si>
  <si>
    <t>JRdaBoss</t>
  </si>
  <si>
    <t>Paw #005</t>
  </si>
  <si>
    <t>Herbie</t>
  </si>
  <si>
    <t>Paw #006</t>
  </si>
  <si>
    <t>crscousins</t>
  </si>
  <si>
    <t>Paw #007</t>
  </si>
  <si>
    <t>JemmaJ1983</t>
  </si>
  <si>
    <t>Paw #008</t>
  </si>
  <si>
    <t>WinterCheetah</t>
  </si>
  <si>
    <t>Paw #009</t>
  </si>
  <si>
    <t>Virtual Red Orange</t>
  </si>
  <si>
    <t>red orange</t>
  </si>
  <si>
    <t>rayannchick</t>
  </si>
  <si>
    <t>Paw #010</t>
  </si>
  <si>
    <t>IggiePiggie</t>
  </si>
  <si>
    <t>Paw #011</t>
  </si>
  <si>
    <t>Crossbow</t>
  </si>
  <si>
    <t>crossbow</t>
  </si>
  <si>
    <t>olliekins</t>
  </si>
  <si>
    <t>Paw #012</t>
  </si>
  <si>
    <t>Cidinho</t>
  </si>
  <si>
    <t>Paw #013</t>
  </si>
  <si>
    <t>technical13</t>
  </si>
  <si>
    <t>Paw #014</t>
  </si>
  <si>
    <t>MsGiggler</t>
  </si>
  <si>
    <t>Paw #015</t>
  </si>
  <si>
    <t>Virtual Red</t>
  </si>
  <si>
    <t>red</t>
  </si>
  <si>
    <t xml:space="preserve">Olliekins </t>
  </si>
  <si>
    <t>Paw #016</t>
  </si>
  <si>
    <t>MaryJaneKitty</t>
  </si>
  <si>
    <t>Paw #017</t>
  </si>
  <si>
    <t>Miaiow</t>
  </si>
  <si>
    <t>scarlet != red</t>
  </si>
  <si>
    <t>Paw #018</t>
  </si>
  <si>
    <t>Paw #019</t>
  </si>
  <si>
    <t>Paw #020</t>
  </si>
  <si>
    <t xml:space="preserve">pippy44 </t>
  </si>
  <si>
    <t>Paw #021</t>
  </si>
  <si>
    <t>Paw #022</t>
  </si>
  <si>
    <t>Virtual Bittersweet</t>
  </si>
  <si>
    <t>bittersweet</t>
  </si>
  <si>
    <t>NikitaStolk</t>
  </si>
  <si>
    <t>Paw #023</t>
  </si>
  <si>
    <t>Neta</t>
  </si>
  <si>
    <t>Paw #024</t>
  </si>
  <si>
    <t>Virtual Citrine</t>
  </si>
  <si>
    <t>citrine</t>
  </si>
  <si>
    <t>c-bn</t>
  </si>
  <si>
    <t>Paw #025</t>
  </si>
  <si>
    <t>Paw #026</t>
  </si>
  <si>
    <t>Paw #027</t>
  </si>
  <si>
    <t>Paw #028</t>
  </si>
  <si>
    <t>Cinnamons</t>
  </si>
  <si>
    <t>Paw #029</t>
  </si>
  <si>
    <t>Paw #030</t>
  </si>
  <si>
    <t>Paw #031</t>
  </si>
  <si>
    <t>Peter1980</t>
  </si>
  <si>
    <t>Paw #032</t>
  </si>
  <si>
    <t>TheEvilPoles</t>
  </si>
  <si>
    <t>Paw #033</t>
  </si>
  <si>
    <t>Paw #034</t>
  </si>
  <si>
    <t>Paw #035</t>
  </si>
  <si>
    <t>Paw #036</t>
  </si>
  <si>
    <t>Arrrow</t>
  </si>
  <si>
    <t>Paw #037</t>
  </si>
  <si>
    <t xml:space="preserve">Taxi343 </t>
  </si>
  <si>
    <t>Actual: 49.190573220173, -2.0930243219107</t>
  </si>
  <si>
    <t>Paw #038</t>
  </si>
  <si>
    <t>hz</t>
  </si>
  <si>
    <t>Paw #039</t>
  </si>
  <si>
    <t>Vitalijus</t>
  </si>
  <si>
    <t>Paw #040</t>
  </si>
  <si>
    <t>Paw #041</t>
  </si>
  <si>
    <t>Paw #042</t>
  </si>
  <si>
    <t>Paw #043</t>
  </si>
  <si>
    <t>rgforsythe</t>
  </si>
  <si>
    <t>Paw #044</t>
  </si>
  <si>
    <t>Paw #045</t>
  </si>
  <si>
    <t>Paw #046</t>
  </si>
  <si>
    <t>Squ1rr3l</t>
  </si>
  <si>
    <t>Paw #047</t>
  </si>
  <si>
    <t>kiitokurre</t>
  </si>
  <si>
    <t>Paw #048</t>
  </si>
  <si>
    <t>xptwo</t>
  </si>
  <si>
    <t>Paw #049</t>
  </si>
  <si>
    <t>SJClyde</t>
  </si>
  <si>
    <t>Paw #050</t>
  </si>
  <si>
    <t>Paw #051</t>
  </si>
  <si>
    <t>Paw #052</t>
  </si>
  <si>
    <t>Paw #053</t>
  </si>
  <si>
    <t>Paw #054</t>
  </si>
  <si>
    <t>Paw #055</t>
  </si>
  <si>
    <t>Paw #056</t>
  </si>
  <si>
    <t>Paw #057</t>
  </si>
  <si>
    <t>Paw #058</t>
  </si>
  <si>
    <t>Air Mystery</t>
  </si>
  <si>
    <t>air mystery</t>
  </si>
  <si>
    <t>Paw #059</t>
  </si>
  <si>
    <t>Electric Mystery</t>
  </si>
  <si>
    <t>electric mystery</t>
  </si>
  <si>
    <t>theirishduo</t>
  </si>
  <si>
    <t>Paw #060</t>
  </si>
  <si>
    <t>Paw #061</t>
  </si>
  <si>
    <t>Virtual Burnt Orange</t>
  </si>
  <si>
    <t>burnt orange</t>
  </si>
  <si>
    <t>Virtual Burnt Sienna != Virtual Burnt Orange</t>
  </si>
  <si>
    <t>Paw #062</t>
  </si>
  <si>
    <t>Paw #063</t>
  </si>
  <si>
    <t>Paw #064</t>
  </si>
  <si>
    <t>Paw #065</t>
  </si>
  <si>
    <t>Paw #066</t>
  </si>
  <si>
    <t>Paw #067</t>
  </si>
  <si>
    <t>Paw #068</t>
  </si>
  <si>
    <t>Paw #069</t>
  </si>
  <si>
    <t>Paw #070</t>
  </si>
  <si>
    <t>Paw #071</t>
  </si>
  <si>
    <t>cpmunz</t>
  </si>
  <si>
    <t>Paw #072</t>
  </si>
  <si>
    <t>Paw #073</t>
  </si>
  <si>
    <t>Paw #074</t>
  </si>
  <si>
    <t>Paw #075</t>
  </si>
  <si>
    <t>Paw #076</t>
  </si>
  <si>
    <t>Paw #077</t>
  </si>
  <si>
    <t>Paw #078</t>
  </si>
  <si>
    <t>Paw #079</t>
  </si>
  <si>
    <t>Paw #080</t>
  </si>
  <si>
    <t>Paw #081</t>
  </si>
  <si>
    <t>Virtual Dandelion</t>
  </si>
  <si>
    <t>dandelion</t>
  </si>
  <si>
    <t>scoutref</t>
  </si>
  <si>
    <t>Paw #082</t>
  </si>
  <si>
    <t>Virtual Orange</t>
  </si>
  <si>
    <t>orange</t>
  </si>
  <si>
    <t>Paw #083</t>
  </si>
  <si>
    <t>Paw #084</t>
  </si>
  <si>
    <t>Paw #085</t>
  </si>
  <si>
    <t>123xilef</t>
  </si>
  <si>
    <t>Paw #086</t>
  </si>
  <si>
    <t>Paw #087</t>
  </si>
  <si>
    <t>Paw #088</t>
  </si>
  <si>
    <t>Paw #089</t>
  </si>
  <si>
    <t>Paw #090</t>
  </si>
  <si>
    <t>Paw #091</t>
  </si>
  <si>
    <t>Anetzet</t>
  </si>
  <si>
    <t>Paw #092</t>
  </si>
  <si>
    <t>Paw #093</t>
  </si>
  <si>
    <t>destolkjes4ever</t>
  </si>
  <si>
    <t>Paw #094</t>
  </si>
  <si>
    <t>Paw #095</t>
  </si>
  <si>
    <t>jacksparrow</t>
  </si>
  <si>
    <t>Paw #096</t>
  </si>
  <si>
    <t>MeanderingMonkeys</t>
  </si>
  <si>
    <t>Paw #097</t>
  </si>
  <si>
    <t>Paw #098</t>
  </si>
  <si>
    <t>Paw #099</t>
  </si>
  <si>
    <t>Paw #100</t>
  </si>
  <si>
    <t>Paw #101</t>
  </si>
  <si>
    <t>Paw #102</t>
  </si>
  <si>
    <t>Paw #103</t>
  </si>
  <si>
    <t>Paw #104</t>
  </si>
  <si>
    <t>Paw #105</t>
  </si>
  <si>
    <t>Paw #106</t>
  </si>
  <si>
    <t>Paw #107</t>
  </si>
  <si>
    <t>Paw #108</t>
  </si>
  <si>
    <t>Paw #109</t>
  </si>
  <si>
    <t>ArchieRuby</t>
  </si>
  <si>
    <t>Paw #110</t>
  </si>
  <si>
    <t>walktohere</t>
  </si>
  <si>
    <t>Paw #111</t>
  </si>
  <si>
    <t>Paw #112</t>
  </si>
  <si>
    <t>Paw #113</t>
  </si>
  <si>
    <t>Paw #114</t>
  </si>
  <si>
    <t xml:space="preserve">Moppett85 </t>
  </si>
  <si>
    <t>Paw #115</t>
  </si>
  <si>
    <t xml:space="preserve">Pippy44 </t>
  </si>
  <si>
    <t>Paw #116</t>
  </si>
  <si>
    <t>Virtual Spring Green</t>
  </si>
  <si>
    <t>spring green</t>
  </si>
  <si>
    <t>Paw #117</t>
  </si>
  <si>
    <t>Paw #118</t>
  </si>
  <si>
    <t>Virtual</t>
  </si>
  <si>
    <t>white</t>
  </si>
  <si>
    <t>Paw #119</t>
  </si>
  <si>
    <t>Virtual Yellow Green</t>
  </si>
  <si>
    <t>yellow green</t>
  </si>
  <si>
    <t>wrose</t>
  </si>
  <si>
    <t>Paw #120</t>
  </si>
  <si>
    <t>Paw #121</t>
  </si>
  <si>
    <t>mobility</t>
  </si>
  <si>
    <t>Paw #122</t>
  </si>
  <si>
    <t>Paw #123</t>
  </si>
  <si>
    <t>Paw #124</t>
  </si>
  <si>
    <t>johnsjen</t>
  </si>
  <si>
    <t>Paw #125</t>
  </si>
  <si>
    <t>Paw #126</t>
  </si>
  <si>
    <t>Paw #127</t>
  </si>
  <si>
    <t>Paw #128</t>
  </si>
  <si>
    <t>Paw #129</t>
  </si>
  <si>
    <t>Paw #130</t>
  </si>
  <si>
    <t>Paw #131</t>
  </si>
  <si>
    <t>Paw #132</t>
  </si>
  <si>
    <t>Paw #133</t>
  </si>
  <si>
    <t>Virtual Asparagus</t>
  </si>
  <si>
    <t>asparagus</t>
  </si>
  <si>
    <t>Paw #134</t>
  </si>
  <si>
    <t>Littlemonsters77</t>
  </si>
  <si>
    <t>Paw #135</t>
  </si>
  <si>
    <t>Frostbyte13</t>
  </si>
  <si>
    <t>Paw #136</t>
  </si>
  <si>
    <t>squirreledaway</t>
  </si>
  <si>
    <t>Paw #137</t>
  </si>
  <si>
    <t>Paw #138</t>
  </si>
  <si>
    <t>Paw #139</t>
  </si>
  <si>
    <t>Paw #140</t>
  </si>
  <si>
    <t>Paw #141</t>
  </si>
  <si>
    <t>katinka3</t>
  </si>
  <si>
    <t>Paw #142</t>
  </si>
  <si>
    <t>Paw #143</t>
  </si>
  <si>
    <t>Paw #144</t>
  </si>
  <si>
    <t>Paw #145</t>
  </si>
  <si>
    <t>babyw</t>
  </si>
  <si>
    <t>Paw #146</t>
  </si>
  <si>
    <t>Paw #147</t>
  </si>
  <si>
    <t>Paw #148</t>
  </si>
  <si>
    <t>Paw #149</t>
  </si>
  <si>
    <t>Paw #150</t>
  </si>
  <si>
    <t>Virtual Green</t>
  </si>
  <si>
    <t>green</t>
  </si>
  <si>
    <t>FindersGirl</t>
  </si>
  <si>
    <t>Paw #151</t>
  </si>
  <si>
    <t>Paw #152</t>
  </si>
  <si>
    <t>Paw #153</t>
  </si>
  <si>
    <t>Paw #154</t>
  </si>
  <si>
    <t>Alzarius</t>
  </si>
  <si>
    <t>Paw #155</t>
  </si>
  <si>
    <t>Paw #156</t>
  </si>
  <si>
    <t>Paw #157</t>
  </si>
  <si>
    <t>Paw #158</t>
  </si>
  <si>
    <t>Paw #159</t>
  </si>
  <si>
    <t>Paw #160</t>
  </si>
  <si>
    <t>Paw #161</t>
  </si>
  <si>
    <t>Paw #162</t>
  </si>
  <si>
    <t>Paw #163</t>
  </si>
  <si>
    <t>miaiow</t>
  </si>
  <si>
    <t>Paw #164</t>
  </si>
  <si>
    <t>Virtual Olive Green</t>
  </si>
  <si>
    <t>olive green</t>
  </si>
  <si>
    <t>Paw #165</t>
  </si>
  <si>
    <t>Paw #166</t>
  </si>
  <si>
    <t>Paw #167</t>
  </si>
  <si>
    <t>Paw #168</t>
  </si>
  <si>
    <t>Paw #169</t>
  </si>
  <si>
    <t>Paw #170</t>
  </si>
  <si>
    <t>Paw #171</t>
  </si>
  <si>
    <t>Paw #172</t>
  </si>
  <si>
    <t>Paw #173</t>
  </si>
  <si>
    <t>Paw #174</t>
  </si>
  <si>
    <t>wally62</t>
  </si>
  <si>
    <t>Paw #175</t>
  </si>
  <si>
    <t>ivwarrior</t>
  </si>
  <si>
    <t>Paw #176</t>
  </si>
  <si>
    <t>Attis</t>
  </si>
  <si>
    <t>Paw #177</t>
  </si>
  <si>
    <t>Paw #178</t>
  </si>
  <si>
    <t>Paw #179</t>
  </si>
  <si>
    <t>Paw #180</t>
  </si>
  <si>
    <t>Paw #181</t>
  </si>
  <si>
    <t>Paw #182</t>
  </si>
  <si>
    <t>Paw #183</t>
  </si>
  <si>
    <t>Paw #184</t>
  </si>
  <si>
    <t>Paw #185</t>
  </si>
  <si>
    <t>Paw #186</t>
  </si>
  <si>
    <t>Virtual Sapphire</t>
  </si>
  <si>
    <t>sapphire</t>
  </si>
  <si>
    <t xml:space="preserve">Derlame </t>
  </si>
  <si>
    <t>Paw #187</t>
  </si>
  <si>
    <t>crazycolorado</t>
  </si>
  <si>
    <t>Paw #188</t>
  </si>
  <si>
    <t>Paw #189</t>
  </si>
  <si>
    <t>Catapult</t>
  </si>
  <si>
    <t>catapult</t>
  </si>
  <si>
    <t>Paw #190</t>
  </si>
  <si>
    <t>Bisquick2</t>
  </si>
  <si>
    <t>Paw #191</t>
  </si>
  <si>
    <t>Actual: 49.188947094141, -2.093024459924</t>
  </si>
  <si>
    <t>Paw #192</t>
  </si>
  <si>
    <t>Paw #193</t>
  </si>
  <si>
    <t>Sivontim</t>
  </si>
  <si>
    <t>Paw #194</t>
  </si>
  <si>
    <t>Paw #195</t>
  </si>
  <si>
    <t>Paw #196</t>
  </si>
  <si>
    <t>Paw #197</t>
  </si>
  <si>
    <t>Paw #198</t>
  </si>
  <si>
    <t>Cachelady</t>
  </si>
  <si>
    <t>Paw #199</t>
  </si>
  <si>
    <t>Paw #200</t>
  </si>
  <si>
    <t>Paw #201</t>
  </si>
  <si>
    <t>Paw #202</t>
  </si>
  <si>
    <t>Actual: 49.1901666886653, -2.0955125961304</t>
  </si>
  <si>
    <t>Paw #203</t>
  </si>
  <si>
    <t>Paw #204</t>
  </si>
  <si>
    <t>Paw #205</t>
  </si>
  <si>
    <t>Paw #206</t>
  </si>
  <si>
    <t>TheJenks7</t>
  </si>
  <si>
    <t>Paw #207</t>
  </si>
  <si>
    <t>Virtual Robin Egg Blue</t>
  </si>
  <si>
    <t>robin egg blue</t>
  </si>
  <si>
    <t>Paw #208</t>
  </si>
  <si>
    <t>lanyasummer</t>
  </si>
  <si>
    <t>Paw #209</t>
  </si>
  <si>
    <t>BonnieB1</t>
  </si>
  <si>
    <t>Paw #210</t>
  </si>
  <si>
    <t>90mile</t>
  </si>
  <si>
    <t>Paw #211</t>
  </si>
  <si>
    <t>Paw #212</t>
  </si>
  <si>
    <t>Virtual Amethyst</t>
  </si>
  <si>
    <t>amethyst</t>
  </si>
  <si>
    <t>Paw #213</t>
  </si>
  <si>
    <t>Paw #214</t>
  </si>
  <si>
    <t>Paw #215</t>
  </si>
  <si>
    <t>teamsturms</t>
  </si>
  <si>
    <t>Paw #216</t>
  </si>
  <si>
    <t>Franske</t>
  </si>
  <si>
    <t>Paw #217</t>
  </si>
  <si>
    <t>Paw #218</t>
  </si>
  <si>
    <t>Virtual Granny Smith Apple</t>
  </si>
  <si>
    <t>granny smith apple</t>
  </si>
  <si>
    <t>Paw #219</t>
  </si>
  <si>
    <t>Paw #220</t>
  </si>
  <si>
    <t>Paw #221</t>
  </si>
  <si>
    <t>Paw #222</t>
  </si>
  <si>
    <t>wemissmo</t>
  </si>
  <si>
    <t>Paw #223</t>
  </si>
  <si>
    <t>Paw #224</t>
  </si>
  <si>
    <t>Paw #225</t>
  </si>
  <si>
    <t>Paw #226</t>
  </si>
  <si>
    <t>Paw #227</t>
  </si>
  <si>
    <t>Paw #228</t>
  </si>
  <si>
    <t>Paw #229</t>
  </si>
  <si>
    <t>Paw #230</t>
  </si>
  <si>
    <t>louisehen</t>
  </si>
  <si>
    <t>Paw #231</t>
  </si>
  <si>
    <t>Virtual Onyx</t>
  </si>
  <si>
    <t>onyx</t>
  </si>
  <si>
    <t>iScreamBIue</t>
  </si>
  <si>
    <t>Paw #232</t>
  </si>
  <si>
    <t>vadotech</t>
  </si>
  <si>
    <t>Paw #233</t>
  </si>
  <si>
    <t>Paw #234</t>
  </si>
  <si>
    <t>Paw #235</t>
  </si>
  <si>
    <t>Paw #236</t>
  </si>
  <si>
    <t>Virtual Turquoise Blue</t>
  </si>
  <si>
    <t>turquoise blue</t>
  </si>
  <si>
    <t>Paw #237</t>
  </si>
  <si>
    <t>Paw #238</t>
  </si>
  <si>
    <t>Paw #239</t>
  </si>
  <si>
    <t>Paw #240</t>
  </si>
  <si>
    <t>Paw #241</t>
  </si>
  <si>
    <t>Paw #242</t>
  </si>
  <si>
    <t>Paw #243</t>
  </si>
  <si>
    <t>Paw #244</t>
  </si>
  <si>
    <t>Surprise</t>
  </si>
  <si>
    <t>surprise</t>
  </si>
  <si>
    <t>redshark78</t>
  </si>
  <si>
    <t>Paw #245</t>
  </si>
  <si>
    <t>Paw #246</t>
  </si>
  <si>
    <t>Paw #247</t>
  </si>
  <si>
    <t>Paw #248</t>
  </si>
  <si>
    <t>Paw #249</t>
  </si>
  <si>
    <t>Paw #250</t>
  </si>
  <si>
    <t>Paw #251</t>
  </si>
  <si>
    <t>Paw #252</t>
  </si>
  <si>
    <t>Paw #253</t>
  </si>
  <si>
    <t>Paw #254</t>
  </si>
  <si>
    <t>WVKiwi</t>
  </si>
  <si>
    <t>Paw #255</t>
  </si>
  <si>
    <t>Paw #256</t>
  </si>
  <si>
    <t>Paw #257</t>
  </si>
  <si>
    <t>Paw #258</t>
  </si>
  <si>
    <t>Paw #259</t>
  </si>
  <si>
    <t>Paw #260</t>
  </si>
  <si>
    <t>Paw #261</t>
  </si>
  <si>
    <t>Paw #262</t>
  </si>
  <si>
    <t>Paw #263</t>
  </si>
  <si>
    <t>geckofreund</t>
  </si>
  <si>
    <t>Paw #264</t>
  </si>
  <si>
    <t>NoahCache</t>
  </si>
  <si>
    <t>Paw #265</t>
  </si>
  <si>
    <t>Paw #266</t>
  </si>
  <si>
    <t>Paw #267</t>
  </si>
  <si>
    <t>Paw #268</t>
  </si>
  <si>
    <t>Paw #269</t>
  </si>
  <si>
    <t>Paw #270</t>
  </si>
  <si>
    <t>Syrtene</t>
  </si>
  <si>
    <t>Paw #271</t>
  </si>
  <si>
    <t>Paw #272</t>
  </si>
  <si>
    <t>Paw #273</t>
  </si>
  <si>
    <t>Paw #274</t>
  </si>
  <si>
    <t>Paw #275</t>
  </si>
  <si>
    <t>Paw #276</t>
  </si>
  <si>
    <t>Paw #277</t>
  </si>
  <si>
    <t>Paw #278</t>
  </si>
  <si>
    <t>Paw #279</t>
  </si>
  <si>
    <t>Paw #280</t>
  </si>
  <si>
    <t>Paw #281</t>
  </si>
  <si>
    <t>Paw #282</t>
  </si>
  <si>
    <t>Paw #283</t>
  </si>
  <si>
    <t>Paw #284</t>
  </si>
  <si>
    <t>Paw #285</t>
  </si>
  <si>
    <t>Paw #286</t>
  </si>
  <si>
    <t>Paw #287</t>
  </si>
  <si>
    <t>Paw #288</t>
  </si>
  <si>
    <t>Paw #289</t>
  </si>
  <si>
    <t>Paw #290</t>
  </si>
  <si>
    <t>Paw #291</t>
  </si>
  <si>
    <t>Paw #292</t>
  </si>
  <si>
    <t>Paw #293</t>
  </si>
  <si>
    <t>Paw #294</t>
  </si>
  <si>
    <t>Paw #295</t>
  </si>
  <si>
    <t>Paw #296</t>
  </si>
  <si>
    <t>Paw #297</t>
  </si>
  <si>
    <t>Paw #298</t>
  </si>
  <si>
    <t>Paw #299</t>
  </si>
  <si>
    <t>Paw #300</t>
  </si>
  <si>
    <t>Paw #301</t>
  </si>
  <si>
    <t>Paw #302</t>
  </si>
  <si>
    <t>Virtual Blue Violet</t>
  </si>
  <si>
    <t>blue violet</t>
  </si>
  <si>
    <t>Paw #303</t>
  </si>
  <si>
    <t>Virtual Black</t>
  </si>
  <si>
    <t>black</t>
  </si>
  <si>
    <t>Paw #304</t>
  </si>
  <si>
    <t>Paw #305</t>
  </si>
  <si>
    <t>Paw #306</t>
  </si>
  <si>
    <t>Paw #307</t>
  </si>
  <si>
    <t>Paw #308</t>
  </si>
  <si>
    <t>Paw #309</t>
  </si>
  <si>
    <t>Paw #310</t>
  </si>
  <si>
    <t>Paw #311</t>
  </si>
  <si>
    <t>Paw #312</t>
  </si>
  <si>
    <t>Virtual Forest Green</t>
  </si>
  <si>
    <t>forest green</t>
  </si>
  <si>
    <t>Paw #313</t>
  </si>
  <si>
    <t>Paw #314</t>
  </si>
  <si>
    <t>Paw #315</t>
  </si>
  <si>
    <t>Paw #316</t>
  </si>
  <si>
    <t>Paw #317</t>
  </si>
  <si>
    <t>Paw #318</t>
  </si>
  <si>
    <t>Paw #319</t>
  </si>
  <si>
    <t>Paw #320</t>
  </si>
  <si>
    <t>Paw #321</t>
  </si>
  <si>
    <t>Paw #322</t>
  </si>
  <si>
    <t>Virtual Blue</t>
  </si>
  <si>
    <t>blue</t>
  </si>
  <si>
    <t>Paw #323</t>
  </si>
  <si>
    <t>Paw #324</t>
  </si>
  <si>
    <t>Paw #325</t>
  </si>
  <si>
    <t>Paw #326</t>
  </si>
  <si>
    <t>Paw #327</t>
  </si>
  <si>
    <t>Paw #328</t>
  </si>
  <si>
    <t>Virtual Plum</t>
  </si>
  <si>
    <t>plum</t>
  </si>
  <si>
    <t>Paw #329</t>
  </si>
  <si>
    <t>Paw #330</t>
  </si>
  <si>
    <t>Paw #331</t>
  </si>
  <si>
    <t>Paw #332</t>
  </si>
  <si>
    <t>Paw #333</t>
  </si>
  <si>
    <t>Paw #334</t>
  </si>
  <si>
    <t>Paw #335</t>
  </si>
  <si>
    <t>Paw #336</t>
  </si>
  <si>
    <t>Paw #337</t>
  </si>
  <si>
    <t>Paw #338</t>
  </si>
  <si>
    <t>5Star</t>
  </si>
  <si>
    <t>Paw #339</t>
  </si>
  <si>
    <t>Paw #340</t>
  </si>
  <si>
    <t>Paw #341</t>
  </si>
  <si>
    <t>Paw #342</t>
  </si>
  <si>
    <t>Paw #343</t>
  </si>
  <si>
    <t>Paw #344</t>
  </si>
  <si>
    <t>Bearmomscouter</t>
  </si>
  <si>
    <t>Paw #345</t>
  </si>
  <si>
    <t>Paw #346</t>
  </si>
  <si>
    <t>Paw #347</t>
  </si>
  <si>
    <t>Paw #348</t>
  </si>
  <si>
    <t>Paw #349</t>
  </si>
  <si>
    <t>Paw #350</t>
  </si>
  <si>
    <t>Paw #351</t>
  </si>
  <si>
    <t>Paw #352</t>
  </si>
  <si>
    <t>kellyat9</t>
  </si>
  <si>
    <t>Paw #353</t>
  </si>
  <si>
    <t>Paw #354</t>
  </si>
  <si>
    <t>Paw #355</t>
  </si>
  <si>
    <t>Paw #356</t>
  </si>
  <si>
    <t>Paw #357</t>
  </si>
  <si>
    <t>Virtual Indigo</t>
  </si>
  <si>
    <t>indigo</t>
  </si>
  <si>
    <t>Paw #358</t>
  </si>
  <si>
    <t>Virtual Blue Green</t>
  </si>
  <si>
    <t>blue green</t>
  </si>
  <si>
    <t>Paw #359</t>
  </si>
  <si>
    <t>Paw #360</t>
  </si>
  <si>
    <t>Paw #361</t>
  </si>
  <si>
    <t>Paw #362</t>
  </si>
  <si>
    <t>Paw #363</t>
  </si>
  <si>
    <t>Paw #364</t>
  </si>
  <si>
    <t>Paw #365</t>
  </si>
  <si>
    <t>Paw #366</t>
  </si>
  <si>
    <t>Paw #367</t>
  </si>
  <si>
    <t>Paw #368</t>
  </si>
  <si>
    <t>Paw #369</t>
  </si>
  <si>
    <t>Paw #370</t>
  </si>
  <si>
    <t>Paw #371</t>
  </si>
  <si>
    <t>Paw #372</t>
  </si>
  <si>
    <t>Paw #373</t>
  </si>
  <si>
    <t>Paw #374</t>
  </si>
  <si>
    <t>Paw #375</t>
  </si>
  <si>
    <t>Paw #376</t>
  </si>
  <si>
    <t>Paw #377</t>
  </si>
  <si>
    <t>Paw #378</t>
  </si>
  <si>
    <t>Paw #379</t>
  </si>
  <si>
    <t>Paw #380</t>
  </si>
  <si>
    <t>Paw #381</t>
  </si>
  <si>
    <t>Paw #382</t>
  </si>
  <si>
    <t>Paw #383</t>
  </si>
  <si>
    <t>Paw #384</t>
  </si>
  <si>
    <t>Paw #385</t>
  </si>
  <si>
    <t>Paw #386</t>
  </si>
  <si>
    <t>Paw #387</t>
  </si>
  <si>
    <t>Paw #388</t>
  </si>
  <si>
    <t>Paw #389</t>
  </si>
  <si>
    <t xml:space="preserve">Centern </t>
  </si>
  <si>
    <t>Paw #390</t>
  </si>
  <si>
    <t>Paw #391</t>
  </si>
  <si>
    <t>Paw #392</t>
  </si>
  <si>
    <t>Paw #393</t>
  </si>
  <si>
    <t>Paw #394</t>
  </si>
  <si>
    <t>Paw #395</t>
  </si>
  <si>
    <t>Paw #396</t>
  </si>
  <si>
    <t>Paw #397</t>
  </si>
  <si>
    <t>Paw #398</t>
  </si>
  <si>
    <t>Paw #399</t>
  </si>
  <si>
    <t>Paw #400</t>
  </si>
  <si>
    <t>Paw #401</t>
  </si>
  <si>
    <t>Paw #402</t>
  </si>
  <si>
    <t>Paw #403</t>
  </si>
  <si>
    <t>Paw #404</t>
  </si>
  <si>
    <t>Paw #405</t>
  </si>
  <si>
    <t>Paw #406</t>
  </si>
  <si>
    <t>Majsan</t>
  </si>
  <si>
    <t>Paw #407</t>
  </si>
  <si>
    <t>Paw #408</t>
  </si>
  <si>
    <t>Paw #409</t>
  </si>
  <si>
    <t>Paw #410</t>
  </si>
  <si>
    <t>Paw #411</t>
  </si>
  <si>
    <t>Paw #412</t>
  </si>
  <si>
    <t>Paw #413</t>
  </si>
  <si>
    <t>Paw #414</t>
  </si>
  <si>
    <t>Paw #415</t>
  </si>
  <si>
    <t>Paw #416</t>
  </si>
  <si>
    <t>Paw #417</t>
  </si>
  <si>
    <t>Paw #418</t>
  </si>
  <si>
    <t>Paw #419</t>
  </si>
  <si>
    <t>Paw #420</t>
  </si>
  <si>
    <t>Paw #421</t>
  </si>
  <si>
    <t>Paw #422</t>
  </si>
  <si>
    <t>Paw #423</t>
  </si>
  <si>
    <t>Paw #424</t>
  </si>
  <si>
    <t>Paw #425</t>
  </si>
  <si>
    <t>Paw #426</t>
  </si>
  <si>
    <t>Paw #427</t>
  </si>
  <si>
    <t>Paw #428</t>
  </si>
  <si>
    <t>Paw #429</t>
  </si>
  <si>
    <t>Paw #430</t>
  </si>
  <si>
    <t>Paw #431</t>
  </si>
  <si>
    <t>barefootguru</t>
  </si>
  <si>
    <t>Paw #432</t>
  </si>
  <si>
    <t>Paw #433</t>
  </si>
  <si>
    <t>Paw #434</t>
  </si>
  <si>
    <t>Paw #435</t>
  </si>
  <si>
    <t>Paw #436</t>
  </si>
  <si>
    <t>Paw #437</t>
  </si>
  <si>
    <t>Paw #438</t>
  </si>
  <si>
    <t>Paw #439</t>
  </si>
  <si>
    <t>Paw #440</t>
  </si>
  <si>
    <t>Paw #441</t>
  </si>
  <si>
    <t>Paw #442</t>
  </si>
  <si>
    <t>Paw #443</t>
  </si>
  <si>
    <t>silleb</t>
  </si>
  <si>
    <t>Paw #444</t>
  </si>
  <si>
    <t>Paw #445</t>
  </si>
  <si>
    <t>Paw #446</t>
  </si>
  <si>
    <t>Paw #447</t>
  </si>
  <si>
    <t>Paw #448</t>
  </si>
  <si>
    <t>Paw #449</t>
  </si>
  <si>
    <t>Paw #450</t>
  </si>
  <si>
    <t>Paw #451</t>
  </si>
  <si>
    <t>Paw #452</t>
  </si>
  <si>
    <t>Paw #453</t>
  </si>
  <si>
    <t>Paw #454</t>
  </si>
  <si>
    <t>Paw #455</t>
  </si>
  <si>
    <t>Paw #456</t>
  </si>
  <si>
    <t>Paw #457</t>
  </si>
  <si>
    <t>Paw #458</t>
  </si>
  <si>
    <t>Paw #459</t>
  </si>
  <si>
    <t>Paw #460</t>
  </si>
  <si>
    <t>Paw #461</t>
  </si>
  <si>
    <t>Paw #462</t>
  </si>
  <si>
    <t>Paw #463</t>
  </si>
  <si>
    <t>Paw #464</t>
  </si>
  <si>
    <t>Paw #465</t>
  </si>
  <si>
    <t>Paw #466</t>
  </si>
  <si>
    <t>Paw #467</t>
  </si>
  <si>
    <t>Paw #468</t>
  </si>
  <si>
    <t>Paw #469</t>
  </si>
  <si>
    <t>Paw #470</t>
  </si>
  <si>
    <t>Paw #471</t>
  </si>
  <si>
    <t>Paw #472</t>
  </si>
  <si>
    <t>Paw #473</t>
  </si>
  <si>
    <t>Paw #474</t>
  </si>
  <si>
    <t>Paw #475</t>
  </si>
  <si>
    <t>Paw #476</t>
  </si>
  <si>
    <t>Paw #477</t>
  </si>
  <si>
    <t>Paw #478</t>
  </si>
  <si>
    <t>Paw #479</t>
  </si>
  <si>
    <t>Paw #480</t>
  </si>
  <si>
    <t>Paw #481</t>
  </si>
  <si>
    <t>Paw #482</t>
  </si>
  <si>
    <t>Paw #483</t>
  </si>
  <si>
    <t>Paw #484</t>
  </si>
  <si>
    <t>Paw #485</t>
  </si>
  <si>
    <t>Paw #486</t>
  </si>
  <si>
    <t>Paw #487</t>
  </si>
  <si>
    <t>Paw #488</t>
  </si>
  <si>
    <t>Lehmis</t>
  </si>
  <si>
    <t>Paw #489</t>
  </si>
  <si>
    <t>Paw #490</t>
  </si>
  <si>
    <t>Paw #491</t>
  </si>
  <si>
    <t xml:space="preserve">Munzeeprof </t>
  </si>
  <si>
    <t>Paw #492</t>
  </si>
  <si>
    <t>Paw #493</t>
  </si>
  <si>
    <t>Paw #494</t>
  </si>
  <si>
    <t>Paw #495</t>
  </si>
  <si>
    <t>Virtual Cerulean</t>
  </si>
  <si>
    <t>cerulean</t>
  </si>
  <si>
    <t>Paw #496</t>
  </si>
  <si>
    <t>Virtual Timberwolf</t>
  </si>
  <si>
    <t>timberwolf</t>
  </si>
  <si>
    <t>Paw #497</t>
  </si>
  <si>
    <t>Paw #498</t>
  </si>
  <si>
    <t>Paw #499</t>
  </si>
  <si>
    <t>Paw #500</t>
  </si>
  <si>
    <t>Virtual Pacific Blue</t>
  </si>
  <si>
    <t>pacific blue</t>
  </si>
  <si>
    <t>Paw #501</t>
  </si>
  <si>
    <t>Paw #502</t>
  </si>
  <si>
    <t>Paw #503</t>
  </si>
  <si>
    <t>Paw #504</t>
  </si>
  <si>
    <t>Paw #505</t>
  </si>
  <si>
    <t>Paw #506</t>
  </si>
  <si>
    <t>POI Garden</t>
  </si>
  <si>
    <t>POI</t>
  </si>
  <si>
    <t>&lt;-- HIDE ROW ONCE SET --&gt;</t>
  </si>
  <si>
    <t>Number of top contributors to show:</t>
  </si>
  <si>
    <t>Coordination chat URL:</t>
  </si>
  <si>
    <t>https://discord.me/Munzee</t>
  </si>
  <si>
    <t>Map link URL:</t>
  </si>
  <si>
    <t>https://www.munzee.com/map/gbwxb6e3y/16</t>
  </si>
  <si>
    <t>Color Paw</t>
  </si>
  <si>
    <t>TOTAL</t>
  </si>
  <si>
    <t>Colorful paw print garden in Jersey, Channel Islands</t>
  </si>
  <si>
    <t>Virual color</t>
  </si>
  <si>
    <t>Amount</t>
  </si>
  <si>
    <t>Available</t>
  </si>
  <si>
    <t>% done</t>
  </si>
  <si>
    <t>Insert screenshot from VGP
with no crosshairs as a drawing here.</t>
  </si>
  <si>
    <t>Pin Name</t>
  </si>
  <si>
    <t>Type</t>
  </si>
  <si>
    <t>Deploys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</si>
</sst>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"/>
  </numFmts>
  <fonts count="23">
    <font>
      <sz val="10.0"/>
      <color rgb="FF000000"/>
      <name val="Arial"/>
    </font>
    <font>
      <b/>
      <sz val="12.0"/>
      <name val="Arial"/>
    </font>
    <font/>
    <font>
      <u/>
      <color rgb="FF0000FF"/>
    </font>
    <font>
      <color rgb="FF000000"/>
    </font>
    <font>
      <sz val="11.0"/>
      <color rgb="FF000000"/>
      <name val="Calibri"/>
    </font>
    <font>
      <name val="Roboto"/>
    </font>
    <font>
      <b/>
      <i/>
    </font>
    <font>
      <i/>
      <color rgb="FF000000"/>
    </font>
    <font>
      <u/>
      <color rgb="FF0000FF"/>
    </font>
    <font>
      <b/>
      <sz val="18.0"/>
    </font>
    <font>
      <b/>
      <u/>
      <sz val="14.0"/>
      <color rgb="FF0000FF"/>
    </font>
    <font>
      <b/>
      <sz val="14.0"/>
      <name val="Arial"/>
    </font>
    <font>
      <b/>
      <i/>
      <sz val="14.0"/>
      <color rgb="FFFFFFFF"/>
      <name val="Arial"/>
    </font>
    <font>
      <b/>
      <sz val="18.0"/>
      <name val="Arial"/>
    </font>
    <font>
      <b/>
      <sz val="18.0"/>
      <name val="Oxygen"/>
    </font>
    <font>
      <b/>
      <sz val="11.0"/>
      <name val="Oxygen"/>
    </font>
    <font>
      <b/>
      <name val="Oxygen"/>
    </font>
    <font>
      <b/>
      <color rgb="FFFFFFFF"/>
      <name val="Oxygen"/>
    </font>
    <font>
      <name val="Arial"/>
    </font>
    <font>
      <b/>
      <sz val="11.0"/>
      <name val="Calibri"/>
    </font>
    <font>
      <b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164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0" fontId="6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vertical="center"/>
    </xf>
    <xf borderId="2" fillId="2" fontId="12" numFmtId="0" xfId="0" applyAlignment="1" applyBorder="1" applyFill="1" applyFont="1">
      <alignment horizontal="center" vertical="bottom"/>
    </xf>
    <xf borderId="3" fillId="0" fontId="12" numFmtId="3" xfId="0" applyAlignment="1" applyBorder="1" applyFont="1" applyNumberFormat="1">
      <alignment horizontal="center" vertical="bottom"/>
    </xf>
    <xf borderId="3" fillId="3" fontId="13" numFmtId="10" xfId="0" applyAlignment="1" applyBorder="1" applyFill="1" applyFont="1" applyNumberFormat="1">
      <alignment horizontal="center" vertical="bottom"/>
    </xf>
    <xf borderId="4" fillId="2" fontId="14" numFmtId="0" xfId="0" applyAlignment="1" applyBorder="1" applyFont="1">
      <alignment horizontal="center" vertical="center"/>
    </xf>
    <xf borderId="5" fillId="2" fontId="14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1" fillId="0" fontId="2" numFmtId="0" xfId="0" applyBorder="1" applyFont="1"/>
    <xf borderId="6" fillId="0" fontId="15" numFmtId="0" xfId="0" applyAlignment="1" applyBorder="1" applyFont="1">
      <alignment horizontal="center" vertical="center"/>
    </xf>
    <xf borderId="7" fillId="0" fontId="2" numFmtId="0" xfId="0" applyBorder="1" applyFont="1"/>
    <xf borderId="8" fillId="0" fontId="16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10" fillId="0" fontId="17" numFmtId="0" xfId="0" applyAlignment="1" applyBorder="1" applyFont="1">
      <alignment horizontal="center" vertical="center"/>
    </xf>
    <xf borderId="11" fillId="4" fontId="18" numFmtId="0" xfId="0" applyAlignment="1" applyBorder="1" applyFill="1" applyFont="1">
      <alignment horizontal="center" vertical="center"/>
    </xf>
    <xf borderId="0" fillId="4" fontId="18" numFmtId="0" xfId="0" applyAlignment="1" applyFont="1">
      <alignment horizontal="center" vertical="center"/>
    </xf>
    <xf borderId="12" fillId="4" fontId="18" numFmtId="0" xfId="0" applyAlignment="1" applyBorder="1" applyFont="1">
      <alignment horizontal="center" vertical="center"/>
    </xf>
    <xf borderId="11" fillId="3" fontId="18" numFmtId="0" xfId="0" applyAlignment="1" applyBorder="1" applyFont="1">
      <alignment horizontal="center" vertical="center"/>
    </xf>
    <xf borderId="0" fillId="3" fontId="18" numFmtId="0" xfId="0" applyAlignment="1" applyFont="1">
      <alignment horizontal="center" vertical="center"/>
    </xf>
    <xf borderId="12" fillId="3" fontId="18" numFmtId="0" xfId="0" applyAlignment="1" applyBorder="1" applyFont="1">
      <alignment horizontal="center" vertical="center"/>
    </xf>
    <xf borderId="11" fillId="5" fontId="17" numFmtId="0" xfId="0" applyAlignment="1" applyBorder="1" applyFill="1" applyFont="1">
      <alignment horizontal="center" vertical="center"/>
    </xf>
    <xf borderId="0" fillId="5" fontId="17" numFmtId="0" xfId="0" applyAlignment="1" applyFont="1">
      <alignment horizontal="center" vertical="center"/>
    </xf>
    <xf borderId="12" fillId="5" fontId="17" numFmtId="0" xfId="0" applyAlignment="1" applyBorder="1" applyFont="1">
      <alignment horizontal="center" vertical="center"/>
    </xf>
    <xf borderId="11" fillId="6" fontId="19" numFmtId="0" xfId="0" applyAlignment="1" applyBorder="1" applyFill="1" applyFont="1">
      <alignment horizontal="center" vertical="center"/>
    </xf>
    <xf borderId="0" fillId="6" fontId="19" numFmtId="0" xfId="0" applyAlignment="1" applyFont="1">
      <alignment horizontal="center" vertical="center"/>
    </xf>
    <xf borderId="12" fillId="6" fontId="19" numFmtId="0" xfId="0" applyAlignment="1" applyBorder="1" applyFont="1">
      <alignment horizontal="center" vertical="center"/>
    </xf>
    <xf borderId="11" fillId="7" fontId="19" numFmtId="0" xfId="0" applyAlignment="1" applyBorder="1" applyFill="1" applyFont="1">
      <alignment horizontal="center" vertical="center"/>
    </xf>
    <xf borderId="0" fillId="7" fontId="19" numFmtId="0" xfId="0" applyAlignment="1" applyFont="1">
      <alignment horizontal="center" vertical="center"/>
    </xf>
    <xf borderId="12" fillId="7" fontId="19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center" vertical="center"/>
    </xf>
    <xf borderId="0" fillId="0" fontId="19" numFmtId="0" xfId="0" applyAlignment="1" applyFont="1">
      <alignment horizontal="center" vertical="center"/>
    </xf>
    <xf borderId="12" fillId="0" fontId="19" numFmtId="0" xfId="0" applyAlignment="1" applyBorder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0" numFmtId="164" xfId="0" applyAlignment="1" applyFont="1" applyNumberFormat="1">
      <alignment horizontal="center" vertical="center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</cellXfs>
  <cellStyles count="1">
    <cellStyle xfId="0" name="Normal" builtinId="0"/>
  </cellStyles>
  <dxfs count="77">
    <dxf>
      <font>
        <b/>
        <color rgb="FFFFFF00"/>
      </font>
      <fill>
        <patternFill patternType="solid">
          <fgColor rgb="FFFF0000"/>
          <bgColor rgb="FFFF0000"/>
        </patternFill>
      </fill>
      <border/>
    </dxf>
    <dxf>
      <font>
        <b/>
        <strike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>
        <color rgb="FF000000"/>
      </font>
      <fill>
        <patternFill patternType="solid">
          <fgColor rgb="FFE6A8D7"/>
          <bgColor rgb="FFE6A8D7"/>
        </patternFill>
      </fill>
      <border/>
    </dxf>
    <dxf>
      <font>
        <color rgb="FF000000"/>
      </font>
      <fill>
        <patternFill patternType="solid">
          <fgColor rgb="FFCDA4DE"/>
          <bgColor rgb="FFCDA4DE"/>
        </patternFill>
      </fill>
      <border/>
    </dxf>
    <dxf>
      <font>
        <color rgb="FFFFFFFF"/>
      </font>
      <fill>
        <patternFill patternType="solid">
          <fgColor rgb="FF9D81BA"/>
          <bgColor rgb="FF9D81BA"/>
        </patternFill>
      </fill>
      <border/>
    </dxf>
    <dxf>
      <font>
        <color rgb="FFFFFFFF"/>
      </font>
      <fill>
        <patternFill patternType="solid">
          <fgColor rgb="FF926EAE"/>
          <bgColor rgb="FF926EAE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>
        <color rgb="FFFFFFFF"/>
      </font>
      <fill>
        <patternFill patternType="solid">
          <fgColor rgb="FF7366BD"/>
          <bgColor rgb="FF7366BD"/>
        </patternFill>
      </fill>
      <border/>
    </dxf>
    <dxf>
      <font>
        <color rgb="FFFFFFFF"/>
      </font>
      <fill>
        <patternFill patternType="solid">
          <fgColor rgb="FF5D76CB"/>
          <bgColor rgb="FF5D76CB"/>
        </patternFill>
      </fill>
      <border/>
    </dxf>
    <dxf>
      <font>
        <color rgb="FFFFFFFF"/>
      </font>
      <fill>
        <patternFill patternType="solid">
          <fgColor rgb="FF1F75FE"/>
          <bgColor rgb="FF1F75FE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/>
      <fill>
        <patternFill patternType="solid">
          <fgColor rgb="FF199EBD"/>
          <bgColor rgb="FF199EBD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1DACD6"/>
          <bgColor rgb="FF1DACD6"/>
        </patternFill>
      </fill>
      <border/>
    </dxf>
    <dxf>
      <font/>
      <fill>
        <patternFill patternType="solid">
          <fgColor rgb="FF1FCECB"/>
          <bgColor rgb="FF1FCECB"/>
        </patternFill>
      </fill>
      <border/>
    </dxf>
    <dxf>
      <font/>
      <fill>
        <patternFill patternType="solid">
          <fgColor rgb="FF77DDE7"/>
          <bgColor rgb="FF77DDE7"/>
        </patternFill>
      </fill>
      <border/>
    </dxf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FDBCB4"/>
          <bgColor rgb="FFFDBCB4"/>
        </patternFill>
      </fill>
      <border/>
    </dxf>
    <dxf>
      <font/>
      <fill>
        <patternFill patternType="solid">
          <fgColor rgb="FFFCB3D5"/>
          <bgColor rgb="FFFCB3D5"/>
        </patternFill>
      </fill>
      <border/>
    </dxf>
    <dxf>
      <font/>
      <fill>
        <patternFill patternType="solid">
          <fgColor rgb="FFFFAACC"/>
          <bgColor rgb="FFFFAACC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9BAA"/>
          <bgColor rgb="FFFF9BAA"/>
        </patternFill>
      </fill>
      <border/>
    </dxf>
    <dxf>
      <font/>
      <fill>
        <patternFill patternType="solid">
          <fgColor rgb="FFFC89AC"/>
          <bgColor rgb="FFFC89AC"/>
        </patternFill>
      </fill>
      <border/>
    </dxf>
    <dxf>
      <font/>
      <fill>
        <patternFill patternType="solid">
          <fgColor rgb="FFF664AF"/>
          <bgColor rgb="FFF664AF"/>
        </patternFill>
      </fill>
      <border/>
    </dxf>
    <dxf>
      <font/>
      <fill>
        <patternFill patternType="solid">
          <fgColor rgb="FFFF43A4"/>
          <bgColor rgb="FFFF43A4"/>
        </patternFill>
      </fill>
      <border/>
    </dxf>
    <dxf>
      <font/>
      <fill>
        <patternFill patternType="solid">
          <fgColor rgb="FFF75394"/>
          <bgColor rgb="FFF75394"/>
        </patternFill>
      </fill>
      <border/>
    </dxf>
    <dxf>
      <font/>
      <fill>
        <patternFill patternType="solid">
          <fgColor rgb="FFC0448F"/>
          <bgColor rgb="FFC0448F"/>
        </patternFill>
      </fill>
      <border/>
    </dxf>
    <dxf>
      <font/>
      <fill>
        <patternFill patternType="solid">
          <fgColor rgb="FFFDD9B5"/>
          <bgColor rgb="FFFDD9B5"/>
        </patternFill>
      </fill>
      <border/>
    </dxf>
    <dxf>
      <font/>
      <fill>
        <patternFill patternType="solid">
          <fgColor rgb="FFFFCFAB"/>
          <bgColor rgb="FFFFCFAB"/>
        </patternFill>
      </fill>
      <border/>
    </dxf>
    <dxf>
      <font/>
      <fill>
        <patternFill patternType="solid">
          <fgColor rgb="FFFFBD88"/>
          <bgColor rgb="FFFFBD88"/>
        </patternFill>
      </fill>
      <border/>
    </dxf>
    <dxf>
      <font/>
      <fill>
        <patternFill patternType="solid">
          <fgColor rgb="FFFAA76C"/>
          <bgColor rgb="FFFAA76C"/>
        </patternFill>
      </fill>
      <border/>
    </dxf>
    <dxf>
      <font/>
      <fill>
        <patternFill patternType="solid">
          <fgColor rgb="FFEA7E5D"/>
          <bgColor rgb="FFEA7E5D"/>
        </patternFill>
      </fill>
      <border/>
    </dxf>
    <dxf>
      <font/>
      <fill>
        <patternFill patternType="solid">
          <fgColor rgb="FFFD7C6E"/>
          <bgColor rgb="FFFD7C6E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F22847"/>
          <bgColor rgb="FFF22847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DEAA88"/>
          <bgColor rgb="FFDEAA88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>
        <b/>
        <i/>
      </font>
      <fill>
        <patternFill patternType="solid">
          <fgColor rgb="FFFF7538"/>
          <bgColor rgb="FFFF7538"/>
        </patternFill>
      </fill>
      <border/>
    </dxf>
    <dxf>
      <font>
        <b/>
        <i/>
        <color rgb="FFFFFFFF"/>
      </font>
      <fill>
        <patternFill patternType="solid">
          <fgColor rgb="FF1CAC78"/>
          <bgColor rgb="FF1CAC78"/>
        </patternFill>
      </fill>
      <border/>
    </dxf>
    <dxf>
      <font>
        <b/>
        <i/>
        <color rgb="FFFFFFFF"/>
      </font>
      <fill>
        <patternFill patternType="solid">
          <fgColor rgb="FFB4674D"/>
          <bgColor rgb="FFB4674D"/>
        </patternFill>
      </fill>
      <border/>
    </dxf>
    <dxf>
      <font>
        <b/>
        <i/>
        <color rgb="FF000000"/>
      </font>
      <fill>
        <patternFill patternType="solid">
          <fgColor rgb="FFFCE883"/>
          <bgColor rgb="FFFCE883"/>
        </patternFill>
      </fill>
      <border/>
    </dxf>
    <dxf>
      <font>
        <b/>
        <i/>
        <color rgb="FF000000"/>
      </font>
      <fill>
        <patternFill patternType="solid">
          <fgColor rgb="FFFF5349"/>
          <bgColor rgb="FFFF5349"/>
        </patternFill>
      </fill>
      <border/>
    </dxf>
    <dxf>
      <font>
        <b/>
        <i/>
        <color rgb="FFFFFFFF"/>
      </font>
      <fill>
        <patternFill patternType="solid">
          <fgColor rgb="FFBC5D58"/>
          <bgColor rgb="FFBC5D58"/>
        </patternFill>
      </fill>
      <border/>
    </dxf>
    <dxf>
      <font>
        <b/>
        <color rgb="FFFFFFFF"/>
      </font>
      <fill>
        <patternFill patternType="solid">
          <fgColor rgb="FF5B0F00"/>
          <bgColor rgb="FF5B0F00"/>
        </patternFill>
      </fill>
      <border/>
    </dxf>
    <dxf>
      <font>
        <b/>
        <i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  <dxf>
      <font>
        <b/>
        <u/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8</xdr:row>
      <xdr:rowOff>200025</xdr:rowOff>
    </xdr:from>
    <xdr:ext cx="3838575" cy="3571875"/>
    <xdr:grpSp>
      <xdr:nvGrpSpPr>
        <xdr:cNvPr id="2" name="Shape 2" title="Drawing"/>
        <xdr:cNvGrpSpPr/>
      </xdr:nvGrpSpPr>
      <xdr:grpSpPr>
        <a:xfrm>
          <a:off x="152400" y="152400"/>
          <a:ext cx="7536385" cy="7010400"/>
          <a:chOff x="152400" y="152400"/>
          <a:chExt cx="7536385" cy="7010400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536385" cy="70104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me/Munzee" TargetMode="External"/><Relationship Id="rId2" Type="http://schemas.openxmlformats.org/officeDocument/2006/relationships/hyperlink" Target="https://www.munzee.com/map/gbwxb6e3y/16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13"/>
    <col customWidth="1" min="2" max="2" width="7.63"/>
    <col customWidth="1" min="3" max="3" width="10.75"/>
    <col customWidth="1" min="4" max="4" width="14.63"/>
    <col customWidth="1" min="5" max="5" width="14.25"/>
    <col customWidth="1" min="6" max="6" width="20.75"/>
    <col customWidth="1" hidden="1" min="7" max="7" width="11.75"/>
    <col customWidth="1" min="8" max="8" width="17.63"/>
    <col customWidth="1" min="9" max="9" width="11.63"/>
    <col customWidth="1" min="10" max="10" width="26.75"/>
    <col customWidth="1" min="11" max="11" width="11.63"/>
    <col customWidth="1" min="12" max="12" width="63.75"/>
    <col customWidth="1" min="13" max="13" width="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3" t="s">
        <v>13</v>
      </c>
      <c r="B2" s="3">
        <v>1.0</v>
      </c>
      <c r="C2" s="3">
        <v>10.0</v>
      </c>
      <c r="D2" s="4">
        <v>49.1908781188046</v>
      </c>
      <c r="E2" s="4">
        <v>-2.0925577470116</v>
      </c>
      <c r="F2" s="3" t="s">
        <v>14</v>
      </c>
      <c r="G2" s="3" t="s">
        <v>15</v>
      </c>
      <c r="H2" s="5" t="s">
        <v>16</v>
      </c>
      <c r="I2" s="5">
        <v>17402.0</v>
      </c>
      <c r="J2" s="6" t="str">
        <f>IFERROR(__xludf.DUMMYFUNCTION("IF(AND(REGEXMATCH($H2,""50( ?['fF]([oO]{2})?[tT]?)?( ?[eE][rR]{2}[oO][rR])"")=FALSE,$H2&lt;&gt;"""",$I2&lt;&gt;""""),HYPERLINK(""https://www.munzee.com/m/""&amp;$H2&amp;""/""&amp;$I2&amp;""/map/?lat=""&amp;$D2&amp;""&amp;lon=""&amp;$E2&amp;""&amp;type=""&amp;$G2&amp;""&amp;name=""&amp;SUBSTITUTE($A2,""#"",""%23""),$H2&amp;""/"&amp;"""&amp;$I2),IF($H2&lt;&gt;"""",IF(REGEXMATCH($H2,""50( ?['fF]([oO]{2})?[tT]?)?( ?[eE][rR]{2}[oO][rR])""),HYPERLINK(""https://www.munzee.com/map/?sandbox=1&amp;lat=""&amp;$D2&amp;""&amp;lon=""&amp;$E2&amp;""&amp;name=""&amp;SUBSTITUTE($A2,""#"",""%23""),""SANDBOX""),HYPERLINK(""https://www.munzee."&amp;"com/m/""&amp;$H2&amp;""/deploys/0/type/""&amp;IFNA(VLOOKUP($G2,IMPORTRANGE(""https://docs.google.com/spreadsheets/d/1DliIGyDywdzxhd4svtjaewR0p9Y5UBTMNMQ2PcXsqss"",""type data!E2:F""),2,FALSE),$G2)&amp;""/"",$H2)),""""))"),"Taxi343/17402")</f>
        <v>Taxi343/17402</v>
      </c>
      <c r="K2" s="5" t="b">
        <v>0</v>
      </c>
      <c r="L2" s="3" t="s">
        <v>17</v>
      </c>
      <c r="M2" s="7">
        <f t="shared" ref="M2:M100" si="1">IF($H2="","",COUNTIFS($H$2:$H507,"="&amp;$H2,$K$2:$K507,TRUE))</f>
        <v>0</v>
      </c>
    </row>
    <row r="3">
      <c r="A3" s="3" t="s">
        <v>18</v>
      </c>
      <c r="B3" s="3">
        <v>1.0</v>
      </c>
      <c r="C3" s="3">
        <v>11.0</v>
      </c>
      <c r="D3" s="4">
        <v>49.1907764859275</v>
      </c>
      <c r="E3" s="4">
        <v>-2.0924022364222</v>
      </c>
      <c r="F3" s="3" t="s">
        <v>14</v>
      </c>
      <c r="G3" s="3" t="s">
        <v>15</v>
      </c>
      <c r="H3" s="5" t="s">
        <v>19</v>
      </c>
      <c r="I3" s="5">
        <v>9192.0</v>
      </c>
      <c r="J3" s="6" t="str">
        <f>IFERROR(__xludf.DUMMYFUNCTION("IF(AND(REGEXMATCH($H3,""50( ?['fF]([oO]{2})?[tT]?)?( ?[eE][rR]{2}[oO][rR])"")=FALSE,$H3&lt;&gt;"""",$I3&lt;&gt;""""),HYPERLINK(""https://www.munzee.com/m/""&amp;$H3&amp;""/""&amp;$I3&amp;""/map/?lat=""&amp;$D3&amp;""&amp;lon=""&amp;$E3&amp;""&amp;type=""&amp;$G3&amp;""&amp;name=""&amp;SUBSTITUTE($A3,""#"",""%23""),$H3&amp;""/"&amp;"""&amp;$I3),IF($H3&lt;&gt;"""",IF(REGEXMATCH($H3,""50( ?['fF]([oO]{2})?[tT]?)?( ?[eE][rR]{2}[oO][rR])""),HYPERLINK(""https://www.munzee.com/map/?sandbox=1&amp;lat=""&amp;$D3&amp;""&amp;lon=""&amp;$E3&amp;""&amp;name=""&amp;SUBSTITUTE($A3,""#"",""%23""),""SANDBOX""),HYPERLINK(""https://www.munzee."&amp;"com/m/""&amp;$H3&amp;""/deploys/0/type/""&amp;IFNA(VLOOKUP($G3,IMPORTRANGE(""https://docs.google.com/spreadsheets/d/1DliIGyDywdzxhd4svtjaewR0p9Y5UBTMNMQ2PcXsqss"",""type data!E2:F""),2,FALSE),$G3)&amp;""/"",$H3)),""""))"),"georeyna/9192")</f>
        <v>georeyna/9192</v>
      </c>
      <c r="K3" s="5" t="b">
        <v>1</v>
      </c>
      <c r="L3" s="8"/>
      <c r="M3" s="7">
        <f t="shared" si="1"/>
        <v>2</v>
      </c>
    </row>
    <row r="4">
      <c r="A4" s="3" t="s">
        <v>20</v>
      </c>
      <c r="B4" s="3">
        <v>1.0</v>
      </c>
      <c r="C4" s="3">
        <v>12.0</v>
      </c>
      <c r="D4" s="4">
        <v>49.1906748530505</v>
      </c>
      <c r="E4" s="4">
        <v>-2.0922467261523</v>
      </c>
      <c r="F4" s="3" t="s">
        <v>14</v>
      </c>
      <c r="G4" s="3" t="s">
        <v>15</v>
      </c>
      <c r="H4" s="5" t="s">
        <v>21</v>
      </c>
      <c r="I4" s="5">
        <v>10342.0</v>
      </c>
      <c r="J4" s="6" t="str">
        <f>IFERROR(__xludf.DUMMYFUNCTION("IF(AND(REGEXMATCH($H4,""50( ?['fF]([oO]{2})?[tT]?)?( ?[eE][rR]{2}[oO][rR])"")=FALSE,$H4&lt;&gt;"""",$I4&lt;&gt;""""),HYPERLINK(""https://www.munzee.com/m/""&amp;$H4&amp;""/""&amp;$I4&amp;""/map/?lat=""&amp;$D4&amp;""&amp;lon=""&amp;$E4&amp;""&amp;type=""&amp;$G4&amp;""&amp;name=""&amp;SUBSTITUTE($A4,""#"",""%23""),$H4&amp;""/"&amp;"""&amp;$I4),IF($H4&lt;&gt;"""",IF(REGEXMATCH($H4,""50( ?['fF]([oO]{2})?[tT]?)?( ?[eE][rR]{2}[oO][rR])""),HYPERLINK(""https://www.munzee.com/map/?sandbox=1&amp;lat=""&amp;$D4&amp;""&amp;lon=""&amp;$E4&amp;""&amp;name=""&amp;SUBSTITUTE($A4,""#"",""%23""),""SANDBOX""),HYPERLINK(""https://www.munzee."&amp;"com/m/""&amp;$H4&amp;""/deploys/0/type/""&amp;IFNA(VLOOKUP($G4,IMPORTRANGE(""https://docs.google.com/spreadsheets/d/1DliIGyDywdzxhd4svtjaewR0p9Y5UBTMNMQ2PcXsqss"",""type data!E2:F""),2,FALSE),$G4)&amp;""/"",$H4)),""""))"),"Sportytaxi /10342")</f>
        <v>Sportytaxi /10342</v>
      </c>
      <c r="K4" s="5" t="b">
        <v>1</v>
      </c>
      <c r="L4" s="7"/>
      <c r="M4" s="7">
        <f t="shared" si="1"/>
        <v>3</v>
      </c>
    </row>
    <row r="5">
      <c r="A5" s="3" t="s">
        <v>22</v>
      </c>
      <c r="B5" s="3">
        <v>1.0</v>
      </c>
      <c r="C5" s="3">
        <v>13.0</v>
      </c>
      <c r="D5" s="4">
        <v>49.1905732201735</v>
      </c>
      <c r="E5" s="4">
        <v>-2.0920912162019</v>
      </c>
      <c r="F5" s="3" t="s">
        <v>14</v>
      </c>
      <c r="G5" s="3" t="s">
        <v>15</v>
      </c>
      <c r="H5" s="5" t="s">
        <v>23</v>
      </c>
      <c r="I5" s="5">
        <v>6140.0</v>
      </c>
      <c r="J5" s="6" t="str">
        <f>IFERROR(__xludf.DUMMYFUNCTION("IF(AND(REGEXMATCH($H5,""50( ?['fF]([oO]{2})?[tT]?)?( ?[eE][rR]{2}[oO][rR])"")=FALSE,$H5&lt;&gt;"""",$I5&lt;&gt;""""),HYPERLINK(""https://www.munzee.com/m/""&amp;$H5&amp;""/""&amp;$I5&amp;""/map/?lat=""&amp;$D5&amp;""&amp;lon=""&amp;$E5&amp;""&amp;type=""&amp;$G5&amp;""&amp;name=""&amp;SUBSTITUTE($A5,""#"",""%23""),$H5&amp;""/"&amp;"""&amp;$I5),IF($H5&lt;&gt;"""",IF(REGEXMATCH($H5,""50( ?['fF]([oO]{2})?[tT]?)?( ?[eE][rR]{2}[oO][rR])""),HYPERLINK(""https://www.munzee.com/map/?sandbox=1&amp;lat=""&amp;$D5&amp;""&amp;lon=""&amp;$E5&amp;""&amp;name=""&amp;SUBSTITUTE($A5,""#"",""%23""),""SANDBOX""),HYPERLINK(""https://www.munzee."&amp;"com/m/""&amp;$H5&amp;""/deploys/0/type/""&amp;IFNA(VLOOKUP($G5,IMPORTRANGE(""https://docs.google.com/spreadsheets/d/1DliIGyDywdzxhd4svtjaewR0p9Y5UBTMNMQ2PcXsqss"",""type data!E2:F""),2,FALSE),$G5)&amp;""/"",$H5)),""""))"),"JRdaBoss/6140")</f>
        <v>JRdaBoss/6140</v>
      </c>
      <c r="K5" s="5" t="b">
        <v>1</v>
      </c>
      <c r="L5" s="8"/>
      <c r="M5" s="7">
        <f t="shared" si="1"/>
        <v>1</v>
      </c>
    </row>
    <row r="6">
      <c r="A6" s="3" t="s">
        <v>24</v>
      </c>
      <c r="B6" s="3">
        <v>1.0</v>
      </c>
      <c r="C6" s="3">
        <v>14.0</v>
      </c>
      <c r="D6" s="4">
        <v>49.1904715872964</v>
      </c>
      <c r="E6" s="4">
        <v>-2.091935706571</v>
      </c>
      <c r="F6" s="3" t="s">
        <v>14</v>
      </c>
      <c r="G6" s="3" t="s">
        <v>15</v>
      </c>
      <c r="H6" s="5" t="s">
        <v>25</v>
      </c>
      <c r="I6" s="9">
        <v>10034.0</v>
      </c>
      <c r="J6" s="6" t="str">
        <f>IFERROR(__xludf.DUMMYFUNCTION("IF(AND(REGEXMATCH($H6,""50( ?['fF]([oO]{2})?[tT]?)?( ?[eE][rR]{2}[oO][rR])"")=FALSE,$H6&lt;&gt;"""",$I6&lt;&gt;""""),HYPERLINK(""https://www.munzee.com/m/""&amp;$H6&amp;""/""&amp;$I6&amp;""/map/?lat=""&amp;$D6&amp;""&amp;lon=""&amp;$E6&amp;""&amp;type=""&amp;$G6&amp;""&amp;name=""&amp;SUBSTITUTE($A6,""#"",""%23""),$H6&amp;""/"&amp;"""&amp;$I6),IF($H6&lt;&gt;"""",IF(REGEXMATCH($H6,""50( ?['fF]([oO]{2})?[tT]?)?( ?[eE][rR]{2}[oO][rR])""),HYPERLINK(""https://www.munzee.com/map/?sandbox=1&amp;lat=""&amp;$D6&amp;""&amp;lon=""&amp;$E6&amp;""&amp;name=""&amp;SUBSTITUTE($A6,""#"",""%23""),""SANDBOX""),HYPERLINK(""https://www.munzee."&amp;"com/m/""&amp;$H6&amp;""/deploys/0/type/""&amp;IFNA(VLOOKUP($G6,IMPORTRANGE(""https://docs.google.com/spreadsheets/d/1DliIGyDywdzxhd4svtjaewR0p9Y5UBTMNMQ2PcXsqss"",""type data!E2:F""),2,FALSE),$G6)&amp;""/"",$H6)),""""))"),"Herbie/10034")</f>
        <v>Herbie/10034</v>
      </c>
      <c r="K6" s="5" t="b">
        <v>1</v>
      </c>
      <c r="L6" s="5"/>
      <c r="M6" s="7">
        <f t="shared" si="1"/>
        <v>1</v>
      </c>
    </row>
    <row r="7">
      <c r="A7" s="3" t="s">
        <v>26</v>
      </c>
      <c r="B7" s="3">
        <v>1.0</v>
      </c>
      <c r="C7" s="3">
        <v>15.0</v>
      </c>
      <c r="D7" s="4">
        <v>49.1903699544194</v>
      </c>
      <c r="E7" s="4">
        <v>-2.0917801972596</v>
      </c>
      <c r="F7" s="3" t="s">
        <v>14</v>
      </c>
      <c r="G7" s="3" t="s">
        <v>15</v>
      </c>
      <c r="H7" s="5" t="s">
        <v>27</v>
      </c>
      <c r="I7" s="5">
        <v>1527.0</v>
      </c>
      <c r="J7" s="6" t="str">
        <f>IFERROR(__xludf.DUMMYFUNCTION("IF(AND(REGEXMATCH($H7,""50( ?['fF]([oO]{2})?[tT]?)?( ?[eE][rR]{2}[oO][rR])"")=FALSE,$H7&lt;&gt;"""",$I7&lt;&gt;""""),HYPERLINK(""https://www.munzee.com/m/""&amp;$H7&amp;""/""&amp;$I7&amp;""/map/?lat=""&amp;$D7&amp;""&amp;lon=""&amp;$E7&amp;""&amp;type=""&amp;$G7&amp;""&amp;name=""&amp;SUBSTITUTE($A7,""#"",""%23""),$H7&amp;""/"&amp;"""&amp;$I7),IF($H7&lt;&gt;"""",IF(REGEXMATCH($H7,""50( ?['fF]([oO]{2})?[tT]?)?( ?[eE][rR]{2}[oO][rR])""),HYPERLINK(""https://www.munzee.com/map/?sandbox=1&amp;lat=""&amp;$D7&amp;""&amp;lon=""&amp;$E7&amp;""&amp;name=""&amp;SUBSTITUTE($A7,""#"",""%23""),""SANDBOX""),HYPERLINK(""https://www.munzee."&amp;"com/m/""&amp;$H7&amp;""/deploys/0/type/""&amp;IFNA(VLOOKUP($G7,IMPORTRANGE(""https://docs.google.com/spreadsheets/d/1DliIGyDywdzxhd4svtjaewR0p9Y5UBTMNMQ2PcXsqss"",""type data!E2:F""),2,FALSE),$G7)&amp;""/"",$H7)),""""))"),"crscousins/1527")</f>
        <v>crscousins/1527</v>
      </c>
      <c r="K7" s="5" t="b">
        <v>1</v>
      </c>
      <c r="L7" s="5"/>
      <c r="M7" s="7">
        <f t="shared" si="1"/>
        <v>1</v>
      </c>
    </row>
    <row r="8">
      <c r="A8" s="3" t="s">
        <v>28</v>
      </c>
      <c r="B8" s="3">
        <v>1.0</v>
      </c>
      <c r="C8" s="3">
        <v>20.0</v>
      </c>
      <c r="D8" s="4">
        <v>49.1898617900342</v>
      </c>
      <c r="E8" s="4">
        <v>-2.0910026554943</v>
      </c>
      <c r="F8" s="3" t="s">
        <v>14</v>
      </c>
      <c r="G8" s="3" t="s">
        <v>15</v>
      </c>
      <c r="H8" s="5" t="s">
        <v>29</v>
      </c>
      <c r="I8" s="5">
        <v>344.0</v>
      </c>
      <c r="J8" s="6" t="str">
        <f>IFERROR(__xludf.DUMMYFUNCTION("IF(AND(REGEXMATCH($H8,""50( ?['fF]([oO]{2})?[tT]?)?( ?[eE][rR]{2}[oO][rR])"")=FALSE,$H8&lt;&gt;"""",$I8&lt;&gt;""""),HYPERLINK(""https://www.munzee.com/m/""&amp;$H8&amp;""/""&amp;$I8&amp;""/map/?lat=""&amp;$D8&amp;""&amp;lon=""&amp;$E8&amp;""&amp;type=""&amp;$G8&amp;""&amp;name=""&amp;SUBSTITUTE($A8,""#"",""%23""),$H8&amp;""/"&amp;"""&amp;$I8),IF($H8&lt;&gt;"""",IF(REGEXMATCH($H8,""50( ?['fF]([oO]{2})?[tT]?)?( ?[eE][rR]{2}[oO][rR])""),HYPERLINK(""https://www.munzee.com/map/?sandbox=1&amp;lat=""&amp;$D8&amp;""&amp;lon=""&amp;$E8&amp;""&amp;name=""&amp;SUBSTITUTE($A8,""#"",""%23""),""SANDBOX""),HYPERLINK(""https://www.munzee."&amp;"com/m/""&amp;$H8&amp;""/deploys/0/type/""&amp;IFNA(VLOOKUP($G8,IMPORTRANGE(""https://docs.google.com/spreadsheets/d/1DliIGyDywdzxhd4svtjaewR0p9Y5UBTMNMQ2PcXsqss"",""type data!E2:F""),2,FALSE),$G8)&amp;""/"",$H8)),""""))"),"JemmaJ1983/344")</f>
        <v>JemmaJ1983/344</v>
      </c>
      <c r="K8" s="5" t="b">
        <v>1</v>
      </c>
      <c r="L8" s="5"/>
      <c r="M8" s="7">
        <f t="shared" si="1"/>
        <v>2</v>
      </c>
    </row>
    <row r="9">
      <c r="A9" s="3" t="s">
        <v>30</v>
      </c>
      <c r="B9" s="3">
        <v>1.0</v>
      </c>
      <c r="C9" s="3">
        <v>21.0</v>
      </c>
      <c r="D9" s="4">
        <v>49.1897601571571</v>
      </c>
      <c r="E9" s="4">
        <v>-2.0908471480996</v>
      </c>
      <c r="F9" s="3" t="s">
        <v>14</v>
      </c>
      <c r="G9" s="3" t="s">
        <v>15</v>
      </c>
      <c r="H9" s="5" t="s">
        <v>31</v>
      </c>
      <c r="I9" s="5">
        <v>962.0</v>
      </c>
      <c r="J9" s="6" t="str">
        <f>IFERROR(__xludf.DUMMYFUNCTION("IF(AND(REGEXMATCH($H9,""50( ?['fF]([oO]{2})?[tT]?)?( ?[eE][rR]{2}[oO][rR])"")=FALSE,$H9&lt;&gt;"""",$I9&lt;&gt;""""),HYPERLINK(""https://www.munzee.com/m/""&amp;$H9&amp;""/""&amp;$I9&amp;""/map/?lat=""&amp;$D9&amp;""&amp;lon=""&amp;$E9&amp;""&amp;type=""&amp;$G9&amp;""&amp;name=""&amp;SUBSTITUTE($A9,""#"",""%23""),$H9&amp;""/"&amp;"""&amp;$I9),IF($H9&lt;&gt;"""",IF(REGEXMATCH($H9,""50( ?['fF]([oO]{2})?[tT]?)?( ?[eE][rR]{2}[oO][rR])""),HYPERLINK(""https://www.munzee.com/map/?sandbox=1&amp;lat=""&amp;$D9&amp;""&amp;lon=""&amp;$E9&amp;""&amp;name=""&amp;SUBSTITUTE($A9,""#"",""%23""),""SANDBOX""),HYPERLINK(""https://www.munzee."&amp;"com/m/""&amp;$H9&amp;""/deploys/0/type/""&amp;IFNA(VLOOKUP($G9,IMPORTRANGE(""https://docs.google.com/spreadsheets/d/1DliIGyDywdzxhd4svtjaewR0p9Y5UBTMNMQ2PcXsqss"",""type data!E2:F""),2,FALSE),$G9)&amp;""/"",$H9)),""""))"),"WinterCheetah/962")</f>
        <v>WinterCheetah/962</v>
      </c>
      <c r="K9" s="5" t="b">
        <v>1</v>
      </c>
      <c r="L9" s="5"/>
      <c r="M9" s="7">
        <f t="shared" si="1"/>
        <v>1</v>
      </c>
    </row>
    <row r="10">
      <c r="A10" s="3" t="s">
        <v>32</v>
      </c>
      <c r="B10" s="3">
        <v>1.0</v>
      </c>
      <c r="C10" s="3">
        <v>22.0</v>
      </c>
      <c r="D10" s="4">
        <v>49.1896585242801</v>
      </c>
      <c r="E10" s="4">
        <v>-2.0906916410243</v>
      </c>
      <c r="F10" s="3" t="s">
        <v>33</v>
      </c>
      <c r="G10" s="3" t="s">
        <v>34</v>
      </c>
      <c r="H10" s="5" t="s">
        <v>35</v>
      </c>
      <c r="I10" s="5">
        <v>235.0</v>
      </c>
      <c r="J10" s="6" t="str">
        <f>IFERROR(__xludf.DUMMYFUNCTION("IF(AND(REGEXMATCH($H10,""50( ?['fF]([oO]{2})?[tT]?)?( ?[eE][rR]{2}[oO][rR])"")=FALSE,$H10&lt;&gt;"""",$I10&lt;&gt;""""),HYPERLINK(""https://www.munzee.com/m/""&amp;$H10&amp;""/""&amp;$I10&amp;""/map/?lat=""&amp;$D10&amp;""&amp;lon=""&amp;$E10&amp;""&amp;type=""&amp;$G10&amp;""&amp;name=""&amp;SUBSTITUTE($A10,""#"",""%23"""&amp;"),$H10&amp;""/""&amp;$I10),IF($H10&lt;&gt;"""",IF(REGEXMATCH($H10,""50( ?['fF]([oO]{2})?[tT]?)?( ?[eE][rR]{2}[oO][rR])""),HYPERLINK(""https://www.munzee.com/map/?sandbox=1&amp;lat=""&amp;$D10&amp;""&amp;lon=""&amp;$E10&amp;""&amp;name=""&amp;SUBSTITUTE($A10,""#"",""%23""),""SANDBOX""),HYPERLINK(""htt"&amp;"ps://www.munzee.com/m/""&amp;$H10&amp;""/deploys/0/type/""&amp;IFNA(VLOOKUP($G10,IMPORTRANGE(""https://docs.google.com/spreadsheets/d/1DliIGyDywdzxhd4svtjaewR0p9Y5UBTMNMQ2PcXsqss"",""type data!E2:F""),2,FALSE),$G10)&amp;""/"",$H10)),""""))"),"rayannchick/235")</f>
        <v>rayannchick/235</v>
      </c>
      <c r="K10" s="5" t="b">
        <v>1</v>
      </c>
      <c r="L10" s="7"/>
      <c r="M10" s="7">
        <f t="shared" si="1"/>
        <v>1</v>
      </c>
    </row>
    <row r="11">
      <c r="A11" s="3" t="s">
        <v>36</v>
      </c>
      <c r="B11" s="3">
        <v>2.0</v>
      </c>
      <c r="C11" s="3">
        <v>10.0</v>
      </c>
      <c r="D11" s="4">
        <v>49.1907764859275</v>
      </c>
      <c r="E11" s="4">
        <v>-2.0927132722977</v>
      </c>
      <c r="F11" s="3" t="s">
        <v>14</v>
      </c>
      <c r="G11" s="3" t="s">
        <v>15</v>
      </c>
      <c r="H11" s="5" t="s">
        <v>37</v>
      </c>
      <c r="I11" s="5">
        <v>1520.0</v>
      </c>
      <c r="J11" s="6" t="str">
        <f>IFERROR(__xludf.DUMMYFUNCTION("IF(AND(REGEXMATCH($H11,""50( ?['fF]([oO]{2})?[tT]?)?( ?[eE][rR]{2}[oO][rR])"")=FALSE,$H11&lt;&gt;"""",$I11&lt;&gt;""""),HYPERLINK(""https://www.munzee.com/m/""&amp;$H11&amp;""/""&amp;$I11&amp;""/map/?lat=""&amp;$D11&amp;""&amp;lon=""&amp;$E11&amp;""&amp;type=""&amp;$G11&amp;""&amp;name=""&amp;SUBSTITUTE($A11,""#"",""%23"""&amp;"),$H11&amp;""/""&amp;$I11),IF($H11&lt;&gt;"""",IF(REGEXMATCH($H11,""50( ?['fF]([oO]{2})?[tT]?)?( ?[eE][rR]{2}[oO][rR])""),HYPERLINK(""https://www.munzee.com/map/?sandbox=1&amp;lat=""&amp;$D11&amp;""&amp;lon=""&amp;$E11&amp;""&amp;name=""&amp;SUBSTITUTE($A11,""#"",""%23""),""SANDBOX""),HYPERLINK(""htt"&amp;"ps://www.munzee.com/m/""&amp;$H11&amp;""/deploys/0/type/""&amp;IFNA(VLOOKUP($G11,IMPORTRANGE(""https://docs.google.com/spreadsheets/d/1DliIGyDywdzxhd4svtjaewR0p9Y5UBTMNMQ2PcXsqss"",""type data!E2:F""),2,FALSE),$G11)&amp;""/"",$H11)),""""))"),"IggiePiggie/1520")</f>
        <v>IggiePiggie/1520</v>
      </c>
      <c r="K11" s="5" t="b">
        <v>1</v>
      </c>
      <c r="L11" s="7"/>
      <c r="M11" s="7">
        <f t="shared" si="1"/>
        <v>2</v>
      </c>
    </row>
    <row r="12">
      <c r="A12" s="3" t="s">
        <v>38</v>
      </c>
      <c r="B12" s="3">
        <v>2.0</v>
      </c>
      <c r="C12" s="3">
        <v>11.0</v>
      </c>
      <c r="D12" s="4">
        <v>49.1906748530505</v>
      </c>
      <c r="E12" s="4">
        <v>-2.0925577620278</v>
      </c>
      <c r="F12" s="3" t="s">
        <v>39</v>
      </c>
      <c r="G12" s="3" t="s">
        <v>40</v>
      </c>
      <c r="H12" s="5" t="s">
        <v>41</v>
      </c>
      <c r="I12" s="5">
        <v>156.0</v>
      </c>
      <c r="J12" s="6" t="str">
        <f>IFERROR(__xludf.DUMMYFUNCTION("IF(AND(REGEXMATCH($H12,""50( ?['fF]([oO]{2})?[tT]?)?( ?[eE][rR]{2}[oO][rR])"")=FALSE,$H12&lt;&gt;"""",$I12&lt;&gt;""""),HYPERLINK(""https://www.munzee.com/m/""&amp;$H12&amp;""/""&amp;$I12&amp;""/map/?lat=""&amp;$D12&amp;""&amp;lon=""&amp;$E12&amp;""&amp;type=""&amp;$G12&amp;""&amp;name=""&amp;SUBSTITUTE($A12,""#"",""%23"""&amp;"),$H12&amp;""/""&amp;$I12),IF($H12&lt;&gt;"""",IF(REGEXMATCH($H12,""50( ?['fF]([oO]{2})?[tT]?)?( ?[eE][rR]{2}[oO][rR])""),HYPERLINK(""https://www.munzee.com/map/?sandbox=1&amp;lat=""&amp;$D12&amp;""&amp;lon=""&amp;$E12&amp;""&amp;name=""&amp;SUBSTITUTE($A12,""#"",""%23""),""SANDBOX""),HYPERLINK(""htt"&amp;"ps://www.munzee.com/m/""&amp;$H12&amp;""/deploys/0/type/""&amp;IFNA(VLOOKUP($G12,IMPORTRANGE(""https://docs.google.com/spreadsheets/d/1DliIGyDywdzxhd4svtjaewR0p9Y5UBTMNMQ2PcXsqss"",""type data!E2:F""),2,FALSE),$G12)&amp;""/"",$H12)),""""))"),"olliekins/156")</f>
        <v>olliekins/156</v>
      </c>
      <c r="K12" s="5" t="b">
        <v>1</v>
      </c>
      <c r="L12" s="7"/>
      <c r="M12" s="7">
        <f t="shared" si="1"/>
        <v>3</v>
      </c>
    </row>
    <row r="13">
      <c r="A13" s="3" t="s">
        <v>42</v>
      </c>
      <c r="B13" s="3">
        <v>2.0</v>
      </c>
      <c r="C13" s="3">
        <v>12.0</v>
      </c>
      <c r="D13" s="4">
        <v>49.1905732201735</v>
      </c>
      <c r="E13" s="4">
        <v>-2.0924022520774</v>
      </c>
      <c r="F13" s="3" t="s">
        <v>39</v>
      </c>
      <c r="G13" s="3" t="s">
        <v>40</v>
      </c>
      <c r="H13" s="5" t="s">
        <v>43</v>
      </c>
      <c r="I13" s="5">
        <v>1982.0</v>
      </c>
      <c r="J13" s="6" t="str">
        <f>IFERROR(__xludf.DUMMYFUNCTION("IF(AND(REGEXMATCH($H13,""50( ?['fF]([oO]{2})?[tT]?)?( ?[eE][rR]{2}[oO][rR])"")=FALSE,$H13&lt;&gt;"""",$I13&lt;&gt;""""),HYPERLINK(""https://www.munzee.com/m/""&amp;$H13&amp;""/""&amp;$I13&amp;""/map/?lat=""&amp;$D13&amp;""&amp;lon=""&amp;$E13&amp;""&amp;type=""&amp;$G13&amp;""&amp;name=""&amp;SUBSTITUTE($A13,""#"",""%23"""&amp;"),$H13&amp;""/""&amp;$I13),IF($H13&lt;&gt;"""",IF(REGEXMATCH($H13,""50( ?['fF]([oO]{2})?[tT]?)?( ?[eE][rR]{2}[oO][rR])""),HYPERLINK(""https://www.munzee.com/map/?sandbox=1&amp;lat=""&amp;$D13&amp;""&amp;lon=""&amp;$E13&amp;""&amp;name=""&amp;SUBSTITUTE($A13,""#"",""%23""),""SANDBOX""),HYPERLINK(""htt"&amp;"ps://www.munzee.com/m/""&amp;$H13&amp;""/deploys/0/type/""&amp;IFNA(VLOOKUP($G13,IMPORTRANGE(""https://docs.google.com/spreadsheets/d/1DliIGyDywdzxhd4svtjaewR0p9Y5UBTMNMQ2PcXsqss"",""type data!E2:F""),2,FALSE),$G13)&amp;""/"",$H13)),""""))"),"Cidinho/1982")</f>
        <v>Cidinho/1982</v>
      </c>
      <c r="K13" s="5" t="b">
        <v>1</v>
      </c>
      <c r="L13" s="7"/>
      <c r="M13" s="7">
        <f t="shared" si="1"/>
        <v>1</v>
      </c>
    </row>
    <row r="14">
      <c r="A14" s="3" t="s">
        <v>44</v>
      </c>
      <c r="B14" s="3">
        <v>2.0</v>
      </c>
      <c r="C14" s="3">
        <v>13.0</v>
      </c>
      <c r="D14" s="4">
        <v>49.1904715872964</v>
      </c>
      <c r="E14" s="4">
        <v>-2.0922467424465</v>
      </c>
      <c r="F14" s="3" t="s">
        <v>39</v>
      </c>
      <c r="G14" s="3" t="s">
        <v>40</v>
      </c>
      <c r="H14" s="5" t="s">
        <v>45</v>
      </c>
      <c r="I14" s="5">
        <v>1921.0</v>
      </c>
      <c r="J14" s="6" t="str">
        <f>IFERROR(__xludf.DUMMYFUNCTION("IF(AND(REGEXMATCH($H14,""50( ?['fF]([oO]{2})?[tT]?)?( ?[eE][rR]{2}[oO][rR])"")=FALSE,$H14&lt;&gt;"""",$I14&lt;&gt;""""),HYPERLINK(""https://www.munzee.com/m/""&amp;$H14&amp;""/""&amp;$I14&amp;""/map/?lat=""&amp;$D14&amp;""&amp;lon=""&amp;$E14&amp;""&amp;type=""&amp;$G14&amp;""&amp;name=""&amp;SUBSTITUTE($A14,""#"",""%23"""&amp;"),$H14&amp;""/""&amp;$I14),IF($H14&lt;&gt;"""",IF(REGEXMATCH($H14,""50( ?['fF]([oO]{2})?[tT]?)?( ?[eE][rR]{2}[oO][rR])""),HYPERLINK(""https://www.munzee.com/map/?sandbox=1&amp;lat=""&amp;$D14&amp;""&amp;lon=""&amp;$E14&amp;""&amp;name=""&amp;SUBSTITUTE($A14,""#"",""%23""),""SANDBOX""),HYPERLINK(""htt"&amp;"ps://www.munzee.com/m/""&amp;$H14&amp;""/deploys/0/type/""&amp;IFNA(VLOOKUP($G14,IMPORTRANGE(""https://docs.google.com/spreadsheets/d/1DliIGyDywdzxhd4svtjaewR0p9Y5UBTMNMQ2PcXsqss"",""type data!E2:F""),2,FALSE),$G14)&amp;""/"",$H14)),""""))"),"technical13/1921")</f>
        <v>technical13/1921</v>
      </c>
      <c r="K14" s="5" t="b">
        <v>1</v>
      </c>
      <c r="L14" s="7"/>
      <c r="M14" s="7">
        <f t="shared" si="1"/>
        <v>2</v>
      </c>
    </row>
    <row r="15">
      <c r="A15" s="3" t="s">
        <v>46</v>
      </c>
      <c r="B15" s="3">
        <v>2.0</v>
      </c>
      <c r="C15" s="3">
        <v>14.0</v>
      </c>
      <c r="D15" s="4">
        <v>49.1903699544194</v>
      </c>
      <c r="E15" s="4">
        <v>-2.0920912331351</v>
      </c>
      <c r="F15" s="3" t="s">
        <v>14</v>
      </c>
      <c r="G15" s="3" t="s">
        <v>15</v>
      </c>
      <c r="H15" s="5" t="s">
        <v>47</v>
      </c>
      <c r="I15" s="9">
        <v>6832.0</v>
      </c>
      <c r="J15" s="6" t="str">
        <f>IFERROR(__xludf.DUMMYFUNCTION("IF(AND(REGEXMATCH($H15,""50( ?['fF]([oO]{2})?[tT]?)?( ?[eE][rR]{2}[oO][rR])"")=FALSE,$H15&lt;&gt;"""",$I15&lt;&gt;""""),HYPERLINK(""https://www.munzee.com/m/""&amp;$H15&amp;""/""&amp;$I15&amp;""/map/?lat=""&amp;$D15&amp;""&amp;lon=""&amp;$E15&amp;""&amp;type=""&amp;$G15&amp;""&amp;name=""&amp;SUBSTITUTE($A15,""#"",""%23"""&amp;"),$H15&amp;""/""&amp;$I15),IF($H15&lt;&gt;"""",IF(REGEXMATCH($H15,""50( ?['fF]([oO]{2})?[tT]?)?( ?[eE][rR]{2}[oO][rR])""),HYPERLINK(""https://www.munzee.com/map/?sandbox=1&amp;lat=""&amp;$D15&amp;""&amp;lon=""&amp;$E15&amp;""&amp;name=""&amp;SUBSTITUTE($A15,""#"",""%23""),""SANDBOX""),HYPERLINK(""htt"&amp;"ps://www.munzee.com/m/""&amp;$H15&amp;""/deploys/0/type/""&amp;IFNA(VLOOKUP($G15,IMPORTRANGE(""https://docs.google.com/spreadsheets/d/1DliIGyDywdzxhd4svtjaewR0p9Y5UBTMNMQ2PcXsqss"",""type data!E2:F""),2,FALSE),$G15)&amp;""/"",$H15)),""""))"),"MsGiggler/6832")</f>
        <v>MsGiggler/6832</v>
      </c>
      <c r="K15" s="5" t="b">
        <v>1</v>
      </c>
      <c r="M15" s="7">
        <f t="shared" si="1"/>
        <v>3</v>
      </c>
    </row>
    <row r="16">
      <c r="A16" s="3" t="s">
        <v>48</v>
      </c>
      <c r="B16" s="3">
        <v>2.0</v>
      </c>
      <c r="C16" s="3">
        <v>15.0</v>
      </c>
      <c r="D16" s="4">
        <v>49.1902683215423</v>
      </c>
      <c r="E16" s="4">
        <v>-2.0919357241431</v>
      </c>
      <c r="F16" s="3" t="s">
        <v>49</v>
      </c>
      <c r="G16" s="3" t="s">
        <v>50</v>
      </c>
      <c r="H16" s="5" t="s">
        <v>51</v>
      </c>
      <c r="I16" s="5">
        <v>157.0</v>
      </c>
      <c r="J16" s="6" t="str">
        <f>IFERROR(__xludf.DUMMYFUNCTION("IF(AND(REGEXMATCH($H16,""50( ?['fF]([oO]{2})?[tT]?)?( ?[eE][rR]{2}[oO][rR])"")=FALSE,$H16&lt;&gt;"""",$I16&lt;&gt;""""),HYPERLINK(""https://www.munzee.com/m/""&amp;$H16&amp;""/""&amp;$I16&amp;""/map/?lat=""&amp;$D16&amp;""&amp;lon=""&amp;$E16&amp;""&amp;type=""&amp;$G16&amp;""&amp;name=""&amp;SUBSTITUTE($A16,""#"",""%23"""&amp;"),$H16&amp;""/""&amp;$I16),IF($H16&lt;&gt;"""",IF(REGEXMATCH($H16,""50( ?['fF]([oO]{2})?[tT]?)?( ?[eE][rR]{2}[oO][rR])""),HYPERLINK(""https://www.munzee.com/map/?sandbox=1&amp;lat=""&amp;$D16&amp;""&amp;lon=""&amp;$E16&amp;""&amp;name=""&amp;SUBSTITUTE($A16,""#"",""%23""),""SANDBOX""),HYPERLINK(""htt"&amp;"ps://www.munzee.com/m/""&amp;$H16&amp;""/deploys/0/type/""&amp;IFNA(VLOOKUP($G16,IMPORTRANGE(""https://docs.google.com/spreadsheets/d/1DliIGyDywdzxhd4svtjaewR0p9Y5UBTMNMQ2PcXsqss"",""type data!E2:F""),2,FALSE),$G16)&amp;""/"",$H16)),""""))"),"Olliekins /157")</f>
        <v>Olliekins /157</v>
      </c>
      <c r="K16" s="5" t="b">
        <v>1</v>
      </c>
      <c r="L16" s="7"/>
      <c r="M16" s="7">
        <f t="shared" si="1"/>
        <v>1</v>
      </c>
    </row>
    <row r="17">
      <c r="A17" s="3" t="s">
        <v>52</v>
      </c>
      <c r="B17" s="3">
        <v>2.0</v>
      </c>
      <c r="C17" s="3">
        <v>19.0</v>
      </c>
      <c r="D17" s="4">
        <v>49.1898617900342</v>
      </c>
      <c r="E17" s="4">
        <v>-2.0913136913698</v>
      </c>
      <c r="F17" s="3" t="s">
        <v>49</v>
      </c>
      <c r="G17" s="3" t="s">
        <v>50</v>
      </c>
      <c r="H17" s="5" t="s">
        <v>53</v>
      </c>
      <c r="I17" s="5">
        <v>654.0</v>
      </c>
      <c r="J17" s="6" t="str">
        <f>IFERROR(__xludf.DUMMYFUNCTION("IF(AND(REGEXMATCH($H17,""50( ?['fF]([oO]{2})?[tT]?)?( ?[eE][rR]{2}[oO][rR])"")=FALSE,$H17&lt;&gt;"""",$I17&lt;&gt;""""),HYPERLINK(""https://www.munzee.com/m/""&amp;$H17&amp;""/""&amp;$I17&amp;""/map/?lat=""&amp;$D17&amp;""&amp;lon=""&amp;$E17&amp;""&amp;type=""&amp;$G17&amp;""&amp;name=""&amp;SUBSTITUTE($A17,""#"",""%23"""&amp;"),$H17&amp;""/""&amp;$I17),IF($H17&lt;&gt;"""",IF(REGEXMATCH($H17,""50( ?['fF]([oO]{2})?[tT]?)?( ?[eE][rR]{2}[oO][rR])""),HYPERLINK(""https://www.munzee.com/map/?sandbox=1&amp;lat=""&amp;$D17&amp;""&amp;lon=""&amp;$E17&amp;""&amp;name=""&amp;SUBSTITUTE($A17,""#"",""%23""),""SANDBOX""),HYPERLINK(""htt"&amp;"ps://www.munzee.com/m/""&amp;$H17&amp;""/deploys/0/type/""&amp;IFNA(VLOOKUP($G17,IMPORTRANGE(""https://docs.google.com/spreadsheets/d/1DliIGyDywdzxhd4svtjaewR0p9Y5UBTMNMQ2PcXsqss"",""type data!E2:F""),2,FALSE),$G17)&amp;""/"",$H17)),""""))"),"MaryJaneKitty/654")</f>
        <v>MaryJaneKitty/654</v>
      </c>
      <c r="K17" s="5" t="b">
        <v>1</v>
      </c>
      <c r="L17" s="7"/>
      <c r="M17" s="7">
        <f t="shared" si="1"/>
        <v>5</v>
      </c>
    </row>
    <row r="18">
      <c r="A18" s="3" t="s">
        <v>54</v>
      </c>
      <c r="B18" s="3">
        <v>2.0</v>
      </c>
      <c r="C18" s="3">
        <v>20.0</v>
      </c>
      <c r="D18" s="4">
        <v>49.1897601571571</v>
      </c>
      <c r="E18" s="4">
        <v>-2.091158183975</v>
      </c>
      <c r="F18" s="3" t="s">
        <v>49</v>
      </c>
      <c r="G18" s="3" t="s">
        <v>50</v>
      </c>
      <c r="H18" s="5" t="s">
        <v>55</v>
      </c>
      <c r="I18" s="5">
        <v>618.0</v>
      </c>
      <c r="J18" s="6" t="str">
        <f>IFERROR(__xludf.DUMMYFUNCTION("IF(AND(REGEXMATCH($H18,""50( ?['fF]([oO]{2})?[tT]?)?( ?[eE][rR]{2}[oO][rR])"")=FALSE,$H18&lt;&gt;"""",$I18&lt;&gt;""""),HYPERLINK(""https://www.munzee.com/m/""&amp;$H18&amp;""/""&amp;$I18&amp;""/map/?lat=""&amp;$D18&amp;""&amp;lon=""&amp;$E18&amp;""&amp;type=""&amp;$G18&amp;""&amp;name=""&amp;SUBSTITUTE($A18,""#"",""%23"""&amp;"),$H18&amp;""/""&amp;$I18),IF($H18&lt;&gt;"""",IF(REGEXMATCH($H18,""50( ?['fF]([oO]{2})?[tT]?)?( ?[eE][rR]{2}[oO][rR])""),HYPERLINK(""https://www.munzee.com/map/?sandbox=1&amp;lat=""&amp;$D18&amp;""&amp;lon=""&amp;$E18&amp;""&amp;name=""&amp;SUBSTITUTE($A18,""#"",""%23""),""SANDBOX""),HYPERLINK(""htt"&amp;"ps://www.munzee.com/m/""&amp;$H18&amp;""/deploys/0/type/""&amp;IFNA(VLOOKUP($G18,IMPORTRANGE(""https://docs.google.com/spreadsheets/d/1DliIGyDywdzxhd4svtjaewR0p9Y5UBTMNMQ2PcXsqss"",""type data!E2:F""),2,FALSE),$G18)&amp;""/"",$H18)),""""))"),"Miaiow/618")</f>
        <v>Miaiow/618</v>
      </c>
      <c r="K18" s="5" t="b">
        <v>0</v>
      </c>
      <c r="L18" s="5" t="s">
        <v>56</v>
      </c>
      <c r="M18" s="7">
        <f t="shared" si="1"/>
        <v>7</v>
      </c>
    </row>
    <row r="19">
      <c r="A19" s="3" t="s">
        <v>57</v>
      </c>
      <c r="B19" s="3">
        <v>2.0</v>
      </c>
      <c r="C19" s="3">
        <v>21.0</v>
      </c>
      <c r="D19" s="4">
        <v>49.1896585242801</v>
      </c>
      <c r="E19" s="4">
        <v>-2.0910026768997</v>
      </c>
      <c r="F19" s="3" t="s">
        <v>14</v>
      </c>
      <c r="G19" s="3" t="s">
        <v>15</v>
      </c>
      <c r="H19" s="5" t="s">
        <v>47</v>
      </c>
      <c r="I19" s="3">
        <v>6481.0</v>
      </c>
      <c r="J19" s="6" t="str">
        <f>IFERROR(__xludf.DUMMYFUNCTION("IF(AND(REGEXMATCH($H19,""50( ?['fF]([oO]{2})?[tT]?)?( ?[eE][rR]{2}[oO][rR])"")=FALSE,$H19&lt;&gt;"""",$I19&lt;&gt;""""),HYPERLINK(""https://www.munzee.com/m/""&amp;$H19&amp;""/""&amp;$I19&amp;""/map/?lat=""&amp;$D19&amp;""&amp;lon=""&amp;$E19&amp;""&amp;type=""&amp;$G19&amp;""&amp;name=""&amp;SUBSTITUTE($A19,""#"",""%23"""&amp;"),$H19&amp;""/""&amp;$I19),IF($H19&lt;&gt;"""",IF(REGEXMATCH($H19,""50( ?['fF]([oO]{2})?[tT]?)?( ?[eE][rR]{2}[oO][rR])""),HYPERLINK(""https://www.munzee.com/map/?sandbox=1&amp;lat=""&amp;$D19&amp;""&amp;lon=""&amp;$E19&amp;""&amp;name=""&amp;SUBSTITUTE($A19,""#"",""%23""),""SANDBOX""),HYPERLINK(""htt"&amp;"ps://www.munzee.com/m/""&amp;$H19&amp;""/deploys/0/type/""&amp;IFNA(VLOOKUP($G19,IMPORTRANGE(""https://docs.google.com/spreadsheets/d/1DliIGyDywdzxhd4svtjaewR0p9Y5UBTMNMQ2PcXsqss"",""type data!E2:F""),2,FALSE),$G19)&amp;""/"",$H19)),""""))"),"MsGiggler/6481")</f>
        <v>MsGiggler/6481</v>
      </c>
      <c r="K19" s="5" t="b">
        <v>1</v>
      </c>
      <c r="M19" s="7">
        <f t="shared" si="1"/>
        <v>3</v>
      </c>
    </row>
    <row r="20">
      <c r="A20" s="3" t="s">
        <v>58</v>
      </c>
      <c r="B20" s="3">
        <v>2.0</v>
      </c>
      <c r="C20" s="3">
        <v>22.0</v>
      </c>
      <c r="D20" s="4">
        <v>49.189556891403</v>
      </c>
      <c r="E20" s="4">
        <v>-2.0908471701439</v>
      </c>
      <c r="F20" s="3" t="s">
        <v>14</v>
      </c>
      <c r="G20" s="3" t="s">
        <v>15</v>
      </c>
      <c r="H20" s="5"/>
      <c r="I20" s="5"/>
      <c r="J20" s="7" t="str">
        <f>IFERROR(__xludf.DUMMYFUNCTION("IF(AND(REGEXMATCH($H20,""50( ?['fF]([oO]{2})?[tT]?)?( ?[eE][rR]{2}[oO][rR])"")=FALSE,$H20&lt;&gt;"""",$I20&lt;&gt;""""),HYPERLINK(""https://www.munzee.com/m/""&amp;$H20&amp;""/""&amp;$I20&amp;""/map/?lat=""&amp;$D20&amp;""&amp;lon=""&amp;$E20&amp;""&amp;type=""&amp;$G20&amp;""&amp;name=""&amp;SUBSTITUTE($A20,""#"",""%23"""&amp;"),$H20&amp;""/""&amp;$I20),IF($H20&lt;&gt;"""",IF(REGEXMATCH($H20,""50( ?['fF]([oO]{2})?[tT]?)?( ?[eE][rR]{2}[oO][rR])""),HYPERLINK(""https://www.munzee.com/map/?sandbox=1&amp;lat=""&amp;$D20&amp;""&amp;lon=""&amp;$E20&amp;""&amp;name=""&amp;SUBSTITUTE($A20,""#"",""%23""),""SANDBOX""),HYPERLINK(""htt"&amp;"ps://www.munzee.com/m/""&amp;$H20&amp;""/deploys/0/type/""&amp;IFNA(VLOOKUP($G20,IMPORTRANGE(""https://docs.google.com/spreadsheets/d/1DliIGyDywdzxhd4svtjaewR0p9Y5UBTMNMQ2PcXsqss"",""type data!E2:F""),2,FALSE),$G20)&amp;""/"",$H20)),""""))"),"")</f>
        <v/>
      </c>
      <c r="K20" s="5" t="b">
        <v>0</v>
      </c>
      <c r="L20" s="7"/>
      <c r="M20" s="7" t="str">
        <f t="shared" si="1"/>
        <v/>
      </c>
    </row>
    <row r="21">
      <c r="A21" s="3" t="s">
        <v>59</v>
      </c>
      <c r="B21" s="3">
        <v>2.0</v>
      </c>
      <c r="C21" s="3">
        <v>23.0</v>
      </c>
      <c r="D21" s="4">
        <v>49.189455258526</v>
      </c>
      <c r="E21" s="4">
        <v>-2.0906916637075</v>
      </c>
      <c r="F21" s="3" t="s">
        <v>14</v>
      </c>
      <c r="G21" s="3" t="s">
        <v>15</v>
      </c>
      <c r="H21" s="5" t="s">
        <v>60</v>
      </c>
      <c r="I21" s="5">
        <v>1498.0</v>
      </c>
      <c r="J21" s="6" t="str">
        <f>IFERROR(__xludf.DUMMYFUNCTION("IF(AND(REGEXMATCH($H21,""50( ?['fF]([oO]{2})?[tT]?)?( ?[eE][rR]{2}[oO][rR])"")=FALSE,$H21&lt;&gt;"""",$I21&lt;&gt;""""),HYPERLINK(""https://www.munzee.com/m/""&amp;$H21&amp;""/""&amp;$I21&amp;""/map/?lat=""&amp;$D21&amp;""&amp;lon=""&amp;$E21&amp;""&amp;type=""&amp;$G21&amp;""&amp;name=""&amp;SUBSTITUTE($A21,""#"",""%23"""&amp;"),$H21&amp;""/""&amp;$I21),IF($H21&lt;&gt;"""",IF(REGEXMATCH($H21,""50( ?['fF]([oO]{2})?[tT]?)?( ?[eE][rR]{2}[oO][rR])""),HYPERLINK(""https://www.munzee.com/map/?sandbox=1&amp;lat=""&amp;$D21&amp;""&amp;lon=""&amp;$E21&amp;""&amp;name=""&amp;SUBSTITUTE($A21,""#"",""%23""),""SANDBOX""),HYPERLINK(""htt"&amp;"ps://www.munzee.com/m/""&amp;$H21&amp;""/deploys/0/type/""&amp;IFNA(VLOOKUP($G21,IMPORTRANGE(""https://docs.google.com/spreadsheets/d/1DliIGyDywdzxhd4svtjaewR0p9Y5UBTMNMQ2PcXsqss"",""type data!E2:F""),2,FALSE),$G21)&amp;""/"",$H21)),""""))"),"pippy44 /1498")</f>
        <v>pippy44 /1498</v>
      </c>
      <c r="K21" s="5" t="b">
        <v>0</v>
      </c>
      <c r="L21" s="5"/>
      <c r="M21" s="7">
        <f t="shared" si="1"/>
        <v>0</v>
      </c>
    </row>
    <row r="22">
      <c r="A22" s="3" t="s">
        <v>61</v>
      </c>
      <c r="B22" s="3">
        <v>3.0</v>
      </c>
      <c r="C22" s="3">
        <v>9.0</v>
      </c>
      <c r="D22" s="4">
        <v>49.1907764859275</v>
      </c>
      <c r="E22" s="4">
        <v>-2.0930243075338</v>
      </c>
      <c r="F22" s="3" t="s">
        <v>49</v>
      </c>
      <c r="G22" s="3" t="s">
        <v>50</v>
      </c>
      <c r="H22" s="5"/>
      <c r="I22" s="5"/>
      <c r="J22" s="7" t="str">
        <f>IFERROR(__xludf.DUMMYFUNCTION("IF(AND(REGEXMATCH($H22,""50( ?['fF]([oO]{2})?[tT]?)?( ?[eE][rR]{2}[oO][rR])"")=FALSE,$H22&lt;&gt;"""",$I22&lt;&gt;""""),HYPERLINK(""https://www.munzee.com/m/""&amp;$H22&amp;""/""&amp;$I22&amp;""/map/?lat=""&amp;$D22&amp;""&amp;lon=""&amp;$E22&amp;""&amp;type=""&amp;$G22&amp;""&amp;name=""&amp;SUBSTITUTE($A22,""#"",""%23"""&amp;"),$H22&amp;""/""&amp;$I22),IF($H22&lt;&gt;"""",IF(REGEXMATCH($H22,""50( ?['fF]([oO]{2})?[tT]?)?( ?[eE][rR]{2}[oO][rR])""),HYPERLINK(""https://www.munzee.com/map/?sandbox=1&amp;lat=""&amp;$D22&amp;""&amp;lon=""&amp;$E22&amp;""&amp;name=""&amp;SUBSTITUTE($A22,""#"",""%23""),""SANDBOX""),HYPERLINK(""htt"&amp;"ps://www.munzee.com/m/""&amp;$H22&amp;""/deploys/0/type/""&amp;IFNA(VLOOKUP($G22,IMPORTRANGE(""https://docs.google.com/spreadsheets/d/1DliIGyDywdzxhd4svtjaewR0p9Y5UBTMNMQ2PcXsqss"",""type data!E2:F""),2,FALSE),$G22)&amp;""/"",$H22)),""""))"),"")</f>
        <v/>
      </c>
      <c r="K22" s="5" t="b">
        <v>0</v>
      </c>
      <c r="L22" s="5"/>
      <c r="M22" s="7" t="str">
        <f t="shared" si="1"/>
        <v/>
      </c>
    </row>
    <row r="23">
      <c r="A23" s="3" t="s">
        <v>62</v>
      </c>
      <c r="B23" s="3">
        <v>3.0</v>
      </c>
      <c r="C23" s="3">
        <v>10.0</v>
      </c>
      <c r="D23" s="4">
        <v>49.1906748530505</v>
      </c>
      <c r="E23" s="4">
        <v>-2.0928687972639</v>
      </c>
      <c r="F23" s="3" t="s">
        <v>63</v>
      </c>
      <c r="G23" s="3" t="s">
        <v>64</v>
      </c>
      <c r="H23" s="5" t="s">
        <v>65</v>
      </c>
      <c r="I23" s="5">
        <v>164.0</v>
      </c>
      <c r="J23" s="6" t="str">
        <f>IFERROR(__xludf.DUMMYFUNCTION("IF(AND(REGEXMATCH($H23,""50( ?['fF]([oO]{2})?[tT]?)?( ?[eE][rR]{2}[oO][rR])"")=FALSE,$H23&lt;&gt;"""",$I23&lt;&gt;""""),HYPERLINK(""https://www.munzee.com/m/""&amp;$H23&amp;""/""&amp;$I23&amp;""/map/?lat=""&amp;$D23&amp;""&amp;lon=""&amp;$E23&amp;""&amp;type=""&amp;$G23&amp;""&amp;name=""&amp;SUBSTITUTE($A23,""#"",""%23"""&amp;"),$H23&amp;""/""&amp;$I23),IF($H23&lt;&gt;"""",IF(REGEXMATCH($H23,""50( ?['fF]([oO]{2})?[tT]?)?( ?[eE][rR]{2}[oO][rR])""),HYPERLINK(""https://www.munzee.com/map/?sandbox=1&amp;lat=""&amp;$D23&amp;""&amp;lon=""&amp;$E23&amp;""&amp;name=""&amp;SUBSTITUTE($A23,""#"",""%23""),""SANDBOX""),HYPERLINK(""htt"&amp;"ps://www.munzee.com/m/""&amp;$H23&amp;""/deploys/0/type/""&amp;IFNA(VLOOKUP($G23,IMPORTRANGE(""https://docs.google.com/spreadsheets/d/1DliIGyDywdzxhd4svtjaewR0p9Y5UBTMNMQ2PcXsqss"",""type data!E2:F""),2,FALSE),$G23)&amp;""/"",$H23)),""""))"),"NikitaStolk/164")</f>
        <v>NikitaStolk/164</v>
      </c>
      <c r="K23" s="5" t="b">
        <v>1</v>
      </c>
      <c r="L23" s="5"/>
      <c r="M23" s="7">
        <f t="shared" si="1"/>
        <v>1</v>
      </c>
    </row>
    <row r="24">
      <c r="A24" s="3" t="s">
        <v>66</v>
      </c>
      <c r="B24" s="3">
        <v>3.0</v>
      </c>
      <c r="C24" s="3">
        <v>11.0</v>
      </c>
      <c r="D24" s="4">
        <v>49.1905732201735</v>
      </c>
      <c r="E24" s="4">
        <v>-2.0927132873135</v>
      </c>
      <c r="F24" s="3" t="s">
        <v>39</v>
      </c>
      <c r="G24" s="3" t="s">
        <v>40</v>
      </c>
      <c r="H24" s="5" t="s">
        <v>67</v>
      </c>
      <c r="I24" s="5">
        <v>4193.0</v>
      </c>
      <c r="J24" s="6" t="str">
        <f>IFERROR(__xludf.DUMMYFUNCTION("IF(AND(REGEXMATCH($H24,""50( ?['fF]([oO]{2})?[tT]?)?( ?[eE][rR]{2}[oO][rR])"")=FALSE,$H24&lt;&gt;"""",$I24&lt;&gt;""""),HYPERLINK(""https://www.munzee.com/m/""&amp;$H24&amp;""/""&amp;$I24&amp;""/map/?lat=""&amp;$D24&amp;""&amp;lon=""&amp;$E24&amp;""&amp;type=""&amp;$G24&amp;""&amp;name=""&amp;SUBSTITUTE($A24,""#"",""%23"""&amp;"),$H24&amp;""/""&amp;$I24),IF($H24&lt;&gt;"""",IF(REGEXMATCH($H24,""50( ?['fF]([oO]{2})?[tT]?)?( ?[eE][rR]{2}[oO][rR])""),HYPERLINK(""https://www.munzee.com/map/?sandbox=1&amp;lat=""&amp;$D24&amp;""&amp;lon=""&amp;$E24&amp;""&amp;name=""&amp;SUBSTITUTE($A24,""#"",""%23""),""SANDBOX""),HYPERLINK(""htt"&amp;"ps://www.munzee.com/m/""&amp;$H24&amp;""/deploys/0/type/""&amp;IFNA(VLOOKUP($G24,IMPORTRANGE(""https://docs.google.com/spreadsheets/d/1DliIGyDywdzxhd4svtjaewR0p9Y5UBTMNMQ2PcXsqss"",""type data!E2:F""),2,FALSE),$G24)&amp;""/"",$H24)),""""))"),"Neta/4193")</f>
        <v>Neta/4193</v>
      </c>
      <c r="K24" s="5" t="b">
        <v>1</v>
      </c>
      <c r="L24" s="7"/>
      <c r="M24" s="7">
        <f t="shared" si="1"/>
        <v>1</v>
      </c>
    </row>
    <row r="25">
      <c r="A25" s="3" t="s">
        <v>68</v>
      </c>
      <c r="B25" s="3">
        <v>3.0</v>
      </c>
      <c r="C25" s="3">
        <v>12.0</v>
      </c>
      <c r="D25" s="4">
        <v>49.1904715872964</v>
      </c>
      <c r="E25" s="4">
        <v>-2.0925577776826</v>
      </c>
      <c r="F25" s="3" t="s">
        <v>69</v>
      </c>
      <c r="G25" s="3" t="s">
        <v>70</v>
      </c>
      <c r="H25" s="5" t="s">
        <v>71</v>
      </c>
      <c r="I25" s="10">
        <v>17605.0</v>
      </c>
      <c r="J25" s="6" t="str">
        <f>IFERROR(__xludf.DUMMYFUNCTION("IF(AND(REGEXMATCH($H25,""50( ?['fF]([oO]{2})?[tT]?)?( ?[eE][rR]{2}[oO][rR])"")=FALSE,$H25&lt;&gt;"""",$I25&lt;&gt;""""),HYPERLINK(""https://www.munzee.com/m/""&amp;$H25&amp;""/""&amp;$I25&amp;""/map/?lat=""&amp;$D25&amp;""&amp;lon=""&amp;$E25&amp;""&amp;type=""&amp;$G25&amp;""&amp;name=""&amp;SUBSTITUTE($A25,""#"",""%23"""&amp;"),$H25&amp;""/""&amp;$I25),IF($H25&lt;&gt;"""",IF(REGEXMATCH($H25,""50( ?['fF]([oO]{2})?[tT]?)?( ?[eE][rR]{2}[oO][rR])""),HYPERLINK(""https://www.munzee.com/map/?sandbox=1&amp;lat=""&amp;$D25&amp;""&amp;lon=""&amp;$E25&amp;""&amp;name=""&amp;SUBSTITUTE($A25,""#"",""%23""),""SANDBOX""),HYPERLINK(""htt"&amp;"ps://www.munzee.com/m/""&amp;$H25&amp;""/deploys/0/type/""&amp;IFNA(VLOOKUP($G25,IMPORTRANGE(""https://docs.google.com/spreadsheets/d/1DliIGyDywdzxhd4svtjaewR0p9Y5UBTMNMQ2PcXsqss"",""type data!E2:F""),2,FALSE),$G25)&amp;""/"",$H25)),""""))"),"c-bn/17605")</f>
        <v>c-bn/17605</v>
      </c>
      <c r="K25" s="5" t="b">
        <v>1</v>
      </c>
      <c r="L25" s="5"/>
      <c r="M25" s="7">
        <f t="shared" si="1"/>
        <v>1</v>
      </c>
    </row>
    <row r="26">
      <c r="A26" s="3" t="s">
        <v>72</v>
      </c>
      <c r="B26" s="3">
        <v>3.0</v>
      </c>
      <c r="C26" s="3">
        <v>13.0</v>
      </c>
      <c r="D26" s="4">
        <v>49.1903699544194</v>
      </c>
      <c r="E26" s="4">
        <v>-2.0924022683712</v>
      </c>
      <c r="F26" s="3" t="s">
        <v>69</v>
      </c>
      <c r="G26" s="3" t="s">
        <v>70</v>
      </c>
      <c r="H26" s="5"/>
      <c r="I26" s="5"/>
      <c r="J26" s="7" t="str">
        <f>IFERROR(__xludf.DUMMYFUNCTION("IF(AND(REGEXMATCH($H26,""50( ?['fF]([oO]{2})?[tT]?)?( ?[eE][rR]{2}[oO][rR])"")=FALSE,$H26&lt;&gt;"""",$I26&lt;&gt;""""),HYPERLINK(""https://www.munzee.com/m/""&amp;$H26&amp;""/""&amp;$I26&amp;""/map/?lat=""&amp;$D26&amp;""&amp;lon=""&amp;$E26&amp;""&amp;type=""&amp;$G26&amp;""&amp;name=""&amp;SUBSTITUTE($A26,""#"",""%23"""&amp;"),$H26&amp;""/""&amp;$I26),IF($H26&lt;&gt;"""",IF(REGEXMATCH($H26,""50( ?['fF]([oO]{2})?[tT]?)?( ?[eE][rR]{2}[oO][rR])""),HYPERLINK(""https://www.munzee.com/map/?sandbox=1&amp;lat=""&amp;$D26&amp;""&amp;lon=""&amp;$E26&amp;""&amp;name=""&amp;SUBSTITUTE($A26,""#"",""%23""),""SANDBOX""),HYPERLINK(""htt"&amp;"ps://www.munzee.com/m/""&amp;$H26&amp;""/deploys/0/type/""&amp;IFNA(VLOOKUP($G26,IMPORTRANGE(""https://docs.google.com/spreadsheets/d/1DliIGyDywdzxhd4svtjaewR0p9Y5UBTMNMQ2PcXsqss"",""type data!E2:F""),2,FALSE),$G26)&amp;""/"",$H26)),""""))"),"")</f>
        <v/>
      </c>
      <c r="K26" s="7" t="b">
        <v>0</v>
      </c>
      <c r="L26" s="7"/>
      <c r="M26" s="7" t="str">
        <f t="shared" si="1"/>
        <v/>
      </c>
    </row>
    <row r="27">
      <c r="A27" s="3" t="s">
        <v>73</v>
      </c>
      <c r="B27" s="3">
        <v>3.0</v>
      </c>
      <c r="C27" s="3">
        <v>14.0</v>
      </c>
      <c r="D27" s="4">
        <v>49.1902683215423</v>
      </c>
      <c r="E27" s="4">
        <v>-2.0922467593792</v>
      </c>
      <c r="F27" s="3" t="s">
        <v>39</v>
      </c>
      <c r="G27" s="3" t="s">
        <v>40</v>
      </c>
      <c r="H27" s="5" t="s">
        <v>37</v>
      </c>
      <c r="I27" s="5">
        <v>1369.0</v>
      </c>
      <c r="J27" s="6" t="str">
        <f>IFERROR(__xludf.DUMMYFUNCTION("IF(AND(REGEXMATCH($H27,""50( ?['fF]([oO]{2})?[tT]?)?( ?[eE][rR]{2}[oO][rR])"")=FALSE,$H27&lt;&gt;"""",$I27&lt;&gt;""""),HYPERLINK(""https://www.munzee.com/m/""&amp;$H27&amp;""/""&amp;$I27&amp;""/map/?lat=""&amp;$D27&amp;""&amp;lon=""&amp;$E27&amp;""&amp;type=""&amp;$G27&amp;""&amp;name=""&amp;SUBSTITUTE($A27,""#"",""%23"""&amp;"),$H27&amp;""/""&amp;$I27),IF($H27&lt;&gt;"""",IF(REGEXMATCH($H27,""50( ?['fF]([oO]{2})?[tT]?)?( ?[eE][rR]{2}[oO][rR])""),HYPERLINK(""https://www.munzee.com/map/?sandbox=1&amp;lat=""&amp;$D27&amp;""&amp;lon=""&amp;$E27&amp;""&amp;name=""&amp;SUBSTITUTE($A27,""#"",""%23""),""SANDBOX""),HYPERLINK(""htt"&amp;"ps://www.munzee.com/m/""&amp;$H27&amp;""/deploys/0/type/""&amp;IFNA(VLOOKUP($G27,IMPORTRANGE(""https://docs.google.com/spreadsheets/d/1DliIGyDywdzxhd4svtjaewR0p9Y5UBTMNMQ2PcXsqss"",""type data!E2:F""),2,FALSE),$G27)&amp;""/"",$H27)),""""))"),"IggiePiggie/1369")</f>
        <v>IggiePiggie/1369</v>
      </c>
      <c r="K27" s="5" t="b">
        <v>1</v>
      </c>
      <c r="L27" s="5"/>
      <c r="M27" s="7">
        <f t="shared" si="1"/>
        <v>2</v>
      </c>
    </row>
    <row r="28">
      <c r="A28" s="3" t="s">
        <v>74</v>
      </c>
      <c r="B28" s="3">
        <v>3.0</v>
      </c>
      <c r="C28" s="3">
        <v>15.0</v>
      </c>
      <c r="D28" s="4">
        <v>49.1901666886653</v>
      </c>
      <c r="E28" s="4">
        <v>-2.0920912507067</v>
      </c>
      <c r="F28" s="3" t="s">
        <v>49</v>
      </c>
      <c r="G28" s="3" t="s">
        <v>50</v>
      </c>
      <c r="H28" s="5"/>
      <c r="I28" s="9"/>
      <c r="J28" s="7" t="str">
        <f>IFERROR(__xludf.DUMMYFUNCTION("IF(AND(REGEXMATCH($H28,""50( ?['fF]([oO]{2})?[tT]?)?( ?[eE][rR]{2}[oO][rR])"")=FALSE,$H28&lt;&gt;"""",$I28&lt;&gt;""""),HYPERLINK(""https://www.munzee.com/m/""&amp;$H28&amp;""/""&amp;$I28&amp;""/map/?lat=""&amp;$D28&amp;""&amp;lon=""&amp;$E28&amp;""&amp;type=""&amp;$G28&amp;""&amp;name=""&amp;SUBSTITUTE($A28,""#"",""%23"""&amp;"),$H28&amp;""/""&amp;$I28),IF($H28&lt;&gt;"""",IF(REGEXMATCH($H28,""50( ?['fF]([oO]{2})?[tT]?)?( ?[eE][rR]{2}[oO][rR])""),HYPERLINK(""https://www.munzee.com/map/?sandbox=1&amp;lat=""&amp;$D28&amp;""&amp;lon=""&amp;$E28&amp;""&amp;name=""&amp;SUBSTITUTE($A28,""#"",""%23""),""SANDBOX""),HYPERLINK(""htt"&amp;"ps://www.munzee.com/m/""&amp;$H28&amp;""/deploys/0/type/""&amp;IFNA(VLOOKUP($G28,IMPORTRANGE(""https://docs.google.com/spreadsheets/d/1DliIGyDywdzxhd4svtjaewR0p9Y5UBTMNMQ2PcXsqss"",""type data!E2:F""),2,FALSE),$G28)&amp;""/"",$H28)),""""))"),"")</f>
        <v/>
      </c>
      <c r="K28" s="5" t="b">
        <v>0</v>
      </c>
      <c r="L28" s="7"/>
      <c r="M28" s="7" t="str">
        <f t="shared" si="1"/>
        <v/>
      </c>
    </row>
    <row r="29">
      <c r="A29" s="3" t="s">
        <v>75</v>
      </c>
      <c r="B29" s="3">
        <v>3.0</v>
      </c>
      <c r="C29" s="3">
        <v>16.0</v>
      </c>
      <c r="D29" s="4">
        <v>49.1900650557883</v>
      </c>
      <c r="E29" s="4">
        <v>-2.0919357423537</v>
      </c>
      <c r="F29" s="3" t="s">
        <v>49</v>
      </c>
      <c r="G29" s="3" t="s">
        <v>50</v>
      </c>
      <c r="H29" s="5" t="s">
        <v>76</v>
      </c>
      <c r="I29" s="5">
        <v>2080.0</v>
      </c>
      <c r="J29" s="6" t="str">
        <f>IFERROR(__xludf.DUMMYFUNCTION("IF(AND(REGEXMATCH($H29,""50( ?['fF]([oO]{2})?[tT]?)?( ?[eE][rR]{2}[oO][rR])"")=FALSE,$H29&lt;&gt;"""",$I29&lt;&gt;""""),HYPERLINK(""https://www.munzee.com/m/""&amp;$H29&amp;""/""&amp;$I29&amp;""/map/?lat=""&amp;$D29&amp;""&amp;lon=""&amp;$E29&amp;""&amp;type=""&amp;$G29&amp;""&amp;name=""&amp;SUBSTITUTE($A29,""#"",""%23"""&amp;"),$H29&amp;""/""&amp;$I29),IF($H29&lt;&gt;"""",IF(REGEXMATCH($H29,""50( ?['fF]([oO]{2})?[tT]?)?( ?[eE][rR]{2}[oO][rR])""),HYPERLINK(""https://www.munzee.com/map/?sandbox=1&amp;lat=""&amp;$D29&amp;""&amp;lon=""&amp;$E29&amp;""&amp;name=""&amp;SUBSTITUTE($A29,""#"",""%23""),""SANDBOX""),HYPERLINK(""htt"&amp;"ps://www.munzee.com/m/""&amp;$H29&amp;""/deploys/0/type/""&amp;IFNA(VLOOKUP($G29,IMPORTRANGE(""https://docs.google.com/spreadsheets/d/1DliIGyDywdzxhd4svtjaewR0p9Y5UBTMNMQ2PcXsqss"",""type data!E2:F""),2,FALSE),$G29)&amp;""/"",$H29)),""""))"),"Cinnamons/2080")</f>
        <v>Cinnamons/2080</v>
      </c>
      <c r="K29" s="5" t="b">
        <v>1</v>
      </c>
      <c r="L29" s="7"/>
      <c r="M29" s="7">
        <f t="shared" si="1"/>
        <v>1</v>
      </c>
    </row>
    <row r="30">
      <c r="A30" s="3" t="s">
        <v>77</v>
      </c>
      <c r="B30" s="3">
        <v>3.0</v>
      </c>
      <c r="C30" s="3">
        <v>18.0</v>
      </c>
      <c r="D30" s="4">
        <v>49.1898617900342</v>
      </c>
      <c r="E30" s="4">
        <v>-2.0916247266059</v>
      </c>
      <c r="F30" s="3" t="s">
        <v>14</v>
      </c>
      <c r="G30" s="3" t="s">
        <v>15</v>
      </c>
      <c r="H30" s="5"/>
      <c r="I30" s="5"/>
      <c r="J30" s="7" t="str">
        <f>IFERROR(__xludf.DUMMYFUNCTION("IF(AND(REGEXMATCH($H30,""50( ?['fF]([oO]{2})?[tT]?)?( ?[eE][rR]{2}[oO][rR])"")=FALSE,$H30&lt;&gt;"""",$I30&lt;&gt;""""),HYPERLINK(""https://www.munzee.com/m/""&amp;$H30&amp;""/""&amp;$I30&amp;""/map/?lat=""&amp;$D30&amp;""&amp;lon=""&amp;$E30&amp;""&amp;type=""&amp;$G30&amp;""&amp;name=""&amp;SUBSTITUTE($A30,""#"",""%23"""&amp;"),$H30&amp;""/""&amp;$I30),IF($H30&lt;&gt;"""",IF(REGEXMATCH($H30,""50( ?['fF]([oO]{2})?[tT]?)?( ?[eE][rR]{2}[oO][rR])""),HYPERLINK(""https://www.munzee.com/map/?sandbox=1&amp;lat=""&amp;$D30&amp;""&amp;lon=""&amp;$E30&amp;""&amp;name=""&amp;SUBSTITUTE($A30,""#"",""%23""),""SANDBOX""),HYPERLINK(""htt"&amp;"ps://www.munzee.com/m/""&amp;$H30&amp;""/deploys/0/type/""&amp;IFNA(VLOOKUP($G30,IMPORTRANGE(""https://docs.google.com/spreadsheets/d/1DliIGyDywdzxhd4svtjaewR0p9Y5UBTMNMQ2PcXsqss"",""type data!E2:F""),2,FALSE),$G30)&amp;""/"",$H30)),""""))"),"")</f>
        <v/>
      </c>
      <c r="K30" s="5" t="b">
        <v>0</v>
      </c>
      <c r="L30" s="5"/>
      <c r="M30" s="7" t="str">
        <f t="shared" si="1"/>
        <v/>
      </c>
    </row>
    <row r="31">
      <c r="A31" s="3" t="s">
        <v>78</v>
      </c>
      <c r="B31" s="3">
        <v>3.0</v>
      </c>
      <c r="C31" s="3">
        <v>19.0</v>
      </c>
      <c r="D31" s="4">
        <v>49.1897601571571</v>
      </c>
      <c r="E31" s="4">
        <v>-2.0914692192111</v>
      </c>
      <c r="F31" s="3" t="s">
        <v>49</v>
      </c>
      <c r="G31" s="3" t="s">
        <v>50</v>
      </c>
      <c r="H31" s="5"/>
      <c r="I31" s="5"/>
      <c r="J31" s="7" t="str">
        <f>IFERROR(__xludf.DUMMYFUNCTION("IF(AND(REGEXMATCH($H31,""50( ?['fF]([oO]{2})?[tT]?)?( ?[eE][rR]{2}[oO][rR])"")=FALSE,$H31&lt;&gt;"""",$I31&lt;&gt;""""),HYPERLINK(""https://www.munzee.com/m/""&amp;$H31&amp;""/""&amp;$I31&amp;""/map/?lat=""&amp;$D31&amp;""&amp;lon=""&amp;$E31&amp;""&amp;type=""&amp;$G31&amp;""&amp;name=""&amp;SUBSTITUTE($A31,""#"",""%23"""&amp;"),$H31&amp;""/""&amp;$I31),IF($H31&lt;&gt;"""",IF(REGEXMATCH($H31,""50( ?['fF]([oO]{2})?[tT]?)?( ?[eE][rR]{2}[oO][rR])""),HYPERLINK(""https://www.munzee.com/map/?sandbox=1&amp;lat=""&amp;$D31&amp;""&amp;lon=""&amp;$E31&amp;""&amp;name=""&amp;SUBSTITUTE($A31,""#"",""%23""),""SANDBOX""),HYPERLINK(""htt"&amp;"ps://www.munzee.com/m/""&amp;$H31&amp;""/deploys/0/type/""&amp;IFNA(VLOOKUP($G31,IMPORTRANGE(""https://docs.google.com/spreadsheets/d/1DliIGyDywdzxhd4svtjaewR0p9Y5UBTMNMQ2PcXsqss"",""type data!E2:F""),2,FALSE),$G31)&amp;""/"",$H31)),""""))"),"")</f>
        <v/>
      </c>
      <c r="K31" s="5" t="b">
        <v>0</v>
      </c>
      <c r="L31" s="7"/>
      <c r="M31" s="7" t="str">
        <f t="shared" si="1"/>
        <v/>
      </c>
    </row>
    <row r="32">
      <c r="A32" s="3" t="s">
        <v>79</v>
      </c>
      <c r="B32" s="3">
        <v>3.0</v>
      </c>
      <c r="C32" s="3">
        <v>20.0</v>
      </c>
      <c r="D32" s="4">
        <v>49.1896585242801</v>
      </c>
      <c r="E32" s="4">
        <v>-2.0913137121358</v>
      </c>
      <c r="F32" s="3" t="s">
        <v>39</v>
      </c>
      <c r="G32" s="3" t="s">
        <v>40</v>
      </c>
      <c r="H32" s="5" t="s">
        <v>80</v>
      </c>
      <c r="I32" s="5">
        <v>4404.0</v>
      </c>
      <c r="J32" s="6" t="str">
        <f>IFERROR(__xludf.DUMMYFUNCTION("IF(AND(REGEXMATCH($H32,""50( ?['fF]([oO]{2})?[tT]?)?( ?[eE][rR]{2}[oO][rR])"")=FALSE,$H32&lt;&gt;"""",$I32&lt;&gt;""""),HYPERLINK(""https://www.munzee.com/m/""&amp;$H32&amp;""/""&amp;$I32&amp;""/map/?lat=""&amp;$D32&amp;""&amp;lon=""&amp;$E32&amp;""&amp;type=""&amp;$G32&amp;""&amp;name=""&amp;SUBSTITUTE($A32,""#"",""%23"""&amp;"),$H32&amp;""/""&amp;$I32),IF($H32&lt;&gt;"""",IF(REGEXMATCH($H32,""50( ?['fF]([oO]{2})?[tT]?)?( ?[eE][rR]{2}[oO][rR])""),HYPERLINK(""https://www.munzee.com/map/?sandbox=1&amp;lat=""&amp;$D32&amp;""&amp;lon=""&amp;$E32&amp;""&amp;name=""&amp;SUBSTITUTE($A32,""#"",""%23""),""SANDBOX""),HYPERLINK(""htt"&amp;"ps://www.munzee.com/m/""&amp;$H32&amp;""/deploys/0/type/""&amp;IFNA(VLOOKUP($G32,IMPORTRANGE(""https://docs.google.com/spreadsheets/d/1DliIGyDywdzxhd4svtjaewR0p9Y5UBTMNMQ2PcXsqss"",""type data!E2:F""),2,FALSE),$G32)&amp;""/"",$H32)),""""))"),"Peter1980/4404")</f>
        <v>Peter1980/4404</v>
      </c>
      <c r="K32" s="5" t="b">
        <v>1</v>
      </c>
      <c r="L32" s="5"/>
      <c r="M32" s="7">
        <f t="shared" si="1"/>
        <v>1</v>
      </c>
    </row>
    <row r="33">
      <c r="A33" s="3" t="s">
        <v>81</v>
      </c>
      <c r="B33" s="3">
        <v>3.0</v>
      </c>
      <c r="C33" s="3">
        <v>21.0</v>
      </c>
      <c r="D33" s="4">
        <v>49.189556891403</v>
      </c>
      <c r="E33" s="4">
        <v>-2.09115820538</v>
      </c>
      <c r="F33" s="3" t="s">
        <v>39</v>
      </c>
      <c r="G33" s="3" t="s">
        <v>40</v>
      </c>
      <c r="H33" s="5" t="s">
        <v>82</v>
      </c>
      <c r="I33" s="5">
        <v>1988.0</v>
      </c>
      <c r="J33" s="6" t="str">
        <f>IFERROR(__xludf.DUMMYFUNCTION("IF(AND(REGEXMATCH($H33,""50( ?['fF]([oO]{2})?[tT]?)?( ?[eE][rR]{2}[oO][rR])"")=FALSE,$H33&lt;&gt;"""",$I33&lt;&gt;""""),HYPERLINK(""https://www.munzee.com/m/""&amp;$H33&amp;""/""&amp;$I33&amp;""/map/?lat=""&amp;$D33&amp;""&amp;lon=""&amp;$E33&amp;""&amp;type=""&amp;$G33&amp;""&amp;name=""&amp;SUBSTITUTE($A33,""#"",""%23"""&amp;"),$H33&amp;""/""&amp;$I33),IF($H33&lt;&gt;"""",IF(REGEXMATCH($H33,""50( ?['fF]([oO]{2})?[tT]?)?( ?[eE][rR]{2}[oO][rR])""),HYPERLINK(""https://www.munzee.com/map/?sandbox=1&amp;lat=""&amp;$D33&amp;""&amp;lon=""&amp;$E33&amp;""&amp;name=""&amp;SUBSTITUTE($A33,""#"",""%23""),""SANDBOX""),HYPERLINK(""htt"&amp;"ps://www.munzee.com/m/""&amp;$H33&amp;""/deploys/0/type/""&amp;IFNA(VLOOKUP($G33,IMPORTRANGE(""https://docs.google.com/spreadsheets/d/1DliIGyDywdzxhd4svtjaewR0p9Y5UBTMNMQ2PcXsqss"",""type data!E2:F""),2,FALSE),$G33)&amp;""/"",$H33)),""""))"),"TheEvilPoles/1988")</f>
        <v>TheEvilPoles/1988</v>
      </c>
      <c r="K33" s="5" t="b">
        <v>1</v>
      </c>
      <c r="L33" s="7"/>
      <c r="M33" s="7">
        <f t="shared" si="1"/>
        <v>1</v>
      </c>
    </row>
    <row r="34">
      <c r="A34" s="3" t="s">
        <v>83</v>
      </c>
      <c r="B34" s="3">
        <v>3.0</v>
      </c>
      <c r="C34" s="3">
        <v>22.0</v>
      </c>
      <c r="D34" s="4">
        <v>49.189455258526</v>
      </c>
      <c r="E34" s="4">
        <v>-2.0910026989436</v>
      </c>
      <c r="F34" s="3" t="s">
        <v>39</v>
      </c>
      <c r="G34" s="3" t="s">
        <v>40</v>
      </c>
      <c r="H34" s="5" t="s">
        <v>21</v>
      </c>
      <c r="I34" s="5">
        <v>10339.0</v>
      </c>
      <c r="J34" s="6" t="str">
        <f>IFERROR(__xludf.DUMMYFUNCTION("IF(AND(REGEXMATCH($H34,""50( ?['fF]([oO]{2})?[tT]?)?( ?[eE][rR]{2}[oO][rR])"")=FALSE,$H34&lt;&gt;"""",$I34&lt;&gt;""""),HYPERLINK(""https://www.munzee.com/m/""&amp;$H34&amp;""/""&amp;$I34&amp;""/map/?lat=""&amp;$D34&amp;""&amp;lon=""&amp;$E34&amp;""&amp;type=""&amp;$G34&amp;""&amp;name=""&amp;SUBSTITUTE($A34,""#"",""%23"""&amp;"),$H34&amp;""/""&amp;$I34),IF($H34&lt;&gt;"""",IF(REGEXMATCH($H34,""50( ?['fF]([oO]{2})?[tT]?)?( ?[eE][rR]{2}[oO][rR])""),HYPERLINK(""https://www.munzee.com/map/?sandbox=1&amp;lat=""&amp;$D34&amp;""&amp;lon=""&amp;$E34&amp;""&amp;name=""&amp;SUBSTITUTE($A34,""#"",""%23""),""SANDBOX""),HYPERLINK(""htt"&amp;"ps://www.munzee.com/m/""&amp;$H34&amp;""/deploys/0/type/""&amp;IFNA(VLOOKUP($G34,IMPORTRANGE(""https://docs.google.com/spreadsheets/d/1DliIGyDywdzxhd4svtjaewR0p9Y5UBTMNMQ2PcXsqss"",""type data!E2:F""),2,FALSE),$G34)&amp;""/"",$H34)),""""))"),"Sportytaxi /10339")</f>
        <v>Sportytaxi /10339</v>
      </c>
      <c r="K34" s="5" t="b">
        <v>1</v>
      </c>
      <c r="L34" s="7"/>
      <c r="M34" s="7">
        <f t="shared" si="1"/>
        <v>3</v>
      </c>
    </row>
    <row r="35">
      <c r="A35" s="3" t="s">
        <v>84</v>
      </c>
      <c r="B35" s="3">
        <v>3.0</v>
      </c>
      <c r="C35" s="3">
        <v>23.0</v>
      </c>
      <c r="D35" s="4">
        <v>49.189353625649</v>
      </c>
      <c r="E35" s="4">
        <v>-2.0908471928267</v>
      </c>
      <c r="F35" s="3" t="s">
        <v>14</v>
      </c>
      <c r="G35" s="3" t="s">
        <v>15</v>
      </c>
      <c r="H35" s="5"/>
      <c r="I35" s="5"/>
      <c r="J35" s="7" t="str">
        <f>IFERROR(__xludf.DUMMYFUNCTION("IF(AND(REGEXMATCH($H35,""50( ?['fF]([oO]{2})?[tT]?)?( ?[eE][rR]{2}[oO][rR])"")=FALSE,$H35&lt;&gt;"""",$I35&lt;&gt;""""),HYPERLINK(""https://www.munzee.com/m/""&amp;$H35&amp;""/""&amp;$I35&amp;""/map/?lat=""&amp;$D35&amp;""&amp;lon=""&amp;$E35&amp;""&amp;type=""&amp;$G35&amp;""&amp;name=""&amp;SUBSTITUTE($A35,""#"",""%23"""&amp;"),$H35&amp;""/""&amp;$I35),IF($H35&lt;&gt;"""",IF(REGEXMATCH($H35,""50( ?['fF]([oO]{2})?[tT]?)?( ?[eE][rR]{2}[oO][rR])""),HYPERLINK(""https://www.munzee.com/map/?sandbox=1&amp;lat=""&amp;$D35&amp;""&amp;lon=""&amp;$E35&amp;""&amp;name=""&amp;SUBSTITUTE($A35,""#"",""%23""),""SANDBOX""),HYPERLINK(""htt"&amp;"ps://www.munzee.com/m/""&amp;$H35&amp;""/deploys/0/type/""&amp;IFNA(VLOOKUP($G35,IMPORTRANGE(""https://docs.google.com/spreadsheets/d/1DliIGyDywdzxhd4svtjaewR0p9Y5UBTMNMQ2PcXsqss"",""type data!E2:F""),2,FALSE),$G35)&amp;""/"",$H35)),""""))"),"")</f>
        <v/>
      </c>
      <c r="K35" s="5" t="b">
        <v>0</v>
      </c>
      <c r="L35" s="7"/>
      <c r="M35" s="7" t="str">
        <f t="shared" si="1"/>
        <v/>
      </c>
    </row>
    <row r="36">
      <c r="A36" s="3" t="s">
        <v>85</v>
      </c>
      <c r="B36" s="3">
        <v>3.0</v>
      </c>
      <c r="C36" s="3">
        <v>24.0</v>
      </c>
      <c r="D36" s="4">
        <v>49.1892519927719</v>
      </c>
      <c r="E36" s="4">
        <v>-2.0906916870292</v>
      </c>
      <c r="F36" s="3" t="s">
        <v>14</v>
      </c>
      <c r="G36" s="3" t="s">
        <v>15</v>
      </c>
      <c r="H36" s="5"/>
      <c r="I36" s="5"/>
      <c r="J36" s="7" t="str">
        <f>IFERROR(__xludf.DUMMYFUNCTION("IF(AND(REGEXMATCH($H36,""50( ?['fF]([oO]{2})?[tT]?)?( ?[eE][rR]{2}[oO][rR])"")=FALSE,$H36&lt;&gt;"""",$I36&lt;&gt;""""),HYPERLINK(""https://www.munzee.com/m/""&amp;$H36&amp;""/""&amp;$I36&amp;""/map/?lat=""&amp;$D36&amp;""&amp;lon=""&amp;$E36&amp;""&amp;type=""&amp;$G36&amp;""&amp;name=""&amp;SUBSTITUTE($A36,""#"",""%23"""&amp;"),$H36&amp;""/""&amp;$I36),IF($H36&lt;&gt;"""",IF(REGEXMATCH($H36,""50( ?['fF]([oO]{2})?[tT]?)?( ?[eE][rR]{2}[oO][rR])""),HYPERLINK(""https://www.munzee.com/map/?sandbox=1&amp;lat=""&amp;$D36&amp;""&amp;lon=""&amp;$E36&amp;""&amp;name=""&amp;SUBSTITUTE($A36,""#"",""%23""),""SANDBOX""),HYPERLINK(""htt"&amp;"ps://www.munzee.com/m/""&amp;$H36&amp;""/deploys/0/type/""&amp;IFNA(VLOOKUP($G36,IMPORTRANGE(""https://docs.google.com/spreadsheets/d/1DliIGyDywdzxhd4svtjaewR0p9Y5UBTMNMQ2PcXsqss"",""type data!E2:F""),2,FALSE),$G36)&amp;""/"",$H36)),""""))"),"")</f>
        <v/>
      </c>
      <c r="K36" s="7" t="b">
        <v>0</v>
      </c>
      <c r="L36" s="5"/>
      <c r="M36" s="7" t="str">
        <f t="shared" si="1"/>
        <v/>
      </c>
    </row>
    <row r="37">
      <c r="A37" s="3" t="s">
        <v>86</v>
      </c>
      <c r="B37" s="3">
        <v>4.0</v>
      </c>
      <c r="C37" s="3">
        <v>9.0</v>
      </c>
      <c r="D37" s="4">
        <v>49.1906748530505</v>
      </c>
      <c r="E37" s="4">
        <v>-2.0931798318611</v>
      </c>
      <c r="F37" s="3" t="s">
        <v>49</v>
      </c>
      <c r="G37" s="3" t="s">
        <v>50</v>
      </c>
      <c r="H37" s="5" t="s">
        <v>87</v>
      </c>
      <c r="I37" s="11">
        <v>1781.0</v>
      </c>
      <c r="J37" s="6" t="str">
        <f>IFERROR(__xludf.DUMMYFUNCTION("IF(AND(REGEXMATCH($H37,""50( ?['fF]([oO]{2})?[tT]?)?( ?[eE][rR]{2}[oO][rR])"")=FALSE,$H37&lt;&gt;"""",$I37&lt;&gt;""""),HYPERLINK(""https://www.munzee.com/m/""&amp;$H37&amp;""/""&amp;$I37&amp;""/map/?lat=""&amp;$D37&amp;""&amp;lon=""&amp;$E37&amp;""&amp;type=""&amp;$G37&amp;""&amp;name=""&amp;SUBSTITUTE($A37,""#"",""%23"""&amp;"),$H37&amp;""/""&amp;$I37),IF($H37&lt;&gt;"""",IF(REGEXMATCH($H37,""50( ?['fF]([oO]{2})?[tT]?)?( ?[eE][rR]{2}[oO][rR])""),HYPERLINK(""https://www.munzee.com/map/?sandbox=1&amp;lat=""&amp;$D37&amp;""&amp;lon=""&amp;$E37&amp;""&amp;name=""&amp;SUBSTITUTE($A37,""#"",""%23""),""SANDBOX""),HYPERLINK(""htt"&amp;"ps://www.munzee.com/m/""&amp;$H37&amp;""/deploys/0/type/""&amp;IFNA(VLOOKUP($G37,IMPORTRANGE(""https://docs.google.com/spreadsheets/d/1DliIGyDywdzxhd4svtjaewR0p9Y5UBTMNMQ2PcXsqss"",""type data!E2:F""),2,FALSE),$G37)&amp;""/"",$H37)),""""))"),"Arrrow/1781")</f>
        <v>Arrrow/1781</v>
      </c>
      <c r="K37" s="5" t="b">
        <v>1</v>
      </c>
      <c r="L37" s="7"/>
      <c r="M37" s="7">
        <f t="shared" si="1"/>
        <v>1</v>
      </c>
    </row>
    <row r="38">
      <c r="A38" s="3" t="s">
        <v>88</v>
      </c>
      <c r="B38" s="3">
        <v>4.0</v>
      </c>
      <c r="C38" s="3">
        <v>10.0</v>
      </c>
      <c r="D38" s="4">
        <v>49.1905732201735</v>
      </c>
      <c r="E38" s="4">
        <v>-2.0930243219107</v>
      </c>
      <c r="F38" s="3" t="s">
        <v>39</v>
      </c>
      <c r="G38" s="3" t="s">
        <v>40</v>
      </c>
      <c r="H38" s="5" t="s">
        <v>89</v>
      </c>
      <c r="I38" s="5">
        <v>17396.0</v>
      </c>
      <c r="J38" s="6" t="str">
        <f>IFERROR(__xludf.DUMMYFUNCTION("IF(AND(REGEXMATCH($H38,""50( ?['fF]([oO]{2})?[tT]?)?( ?[eE][rR]{2}[oO][rR])"")=FALSE,$H38&lt;&gt;"""",$I38&lt;&gt;""""),HYPERLINK(""https://www.munzee.com/m/""&amp;$H38&amp;""/""&amp;$I38&amp;""/map/?lat=""&amp;$D38&amp;""&amp;lon=""&amp;$E38&amp;""&amp;type=""&amp;$G38&amp;""&amp;name=""&amp;SUBSTITUTE($A38,""#"",""%23"""&amp;"),$H38&amp;""/""&amp;$I38),IF($H38&lt;&gt;"""",IF(REGEXMATCH($H38,""50( ?['fF]([oO]{2})?[tT]?)?( ?[eE][rR]{2}[oO][rR])""),HYPERLINK(""https://www.munzee.com/map/?sandbox=1&amp;lat=""&amp;$D38&amp;""&amp;lon=""&amp;$E38&amp;""&amp;name=""&amp;SUBSTITUTE($A38,""#"",""%23""),""SANDBOX""),HYPERLINK(""htt"&amp;"ps://www.munzee.com/m/""&amp;$H38&amp;""/deploys/0/type/""&amp;IFNA(VLOOKUP($G38,IMPORTRANGE(""https://docs.google.com/spreadsheets/d/1DliIGyDywdzxhd4svtjaewR0p9Y5UBTMNMQ2PcXsqss"",""type data!E2:F""),2,FALSE),$G38)&amp;""/"",$H38)),""""))"),"Taxi343 /17396")</f>
        <v>Taxi343 /17396</v>
      </c>
      <c r="K38" s="7" t="b">
        <v>0</v>
      </c>
      <c r="L38" s="5" t="s">
        <v>90</v>
      </c>
      <c r="M38" s="7">
        <f t="shared" si="1"/>
        <v>0</v>
      </c>
    </row>
    <row r="39">
      <c r="A39" s="3" t="s">
        <v>91</v>
      </c>
      <c r="B39" s="3">
        <v>4.0</v>
      </c>
      <c r="C39" s="3">
        <v>11.0</v>
      </c>
      <c r="D39" s="4">
        <v>49.1904715872964</v>
      </c>
      <c r="E39" s="4">
        <v>-2.0928688122798</v>
      </c>
      <c r="F39" s="3" t="s">
        <v>69</v>
      </c>
      <c r="G39" s="3" t="s">
        <v>70</v>
      </c>
      <c r="H39" s="5" t="s">
        <v>92</v>
      </c>
      <c r="I39" s="5">
        <v>4204.0</v>
      </c>
      <c r="J39" s="6" t="str">
        <f>IFERROR(__xludf.DUMMYFUNCTION("IF(AND(REGEXMATCH($H39,""50( ?['fF]([oO]{2})?[tT]?)?( ?[eE][rR]{2}[oO][rR])"")=FALSE,$H39&lt;&gt;"""",$I39&lt;&gt;""""),HYPERLINK(""https://www.munzee.com/m/""&amp;$H39&amp;""/""&amp;$I39&amp;""/map/?lat=""&amp;$D39&amp;""&amp;lon=""&amp;$E39&amp;""&amp;type=""&amp;$G39&amp;""&amp;name=""&amp;SUBSTITUTE($A39,""#"",""%23"""&amp;"),$H39&amp;""/""&amp;$I39),IF($H39&lt;&gt;"""",IF(REGEXMATCH($H39,""50( ?['fF]([oO]{2})?[tT]?)?( ?[eE][rR]{2}[oO][rR])""),HYPERLINK(""https://www.munzee.com/map/?sandbox=1&amp;lat=""&amp;$D39&amp;""&amp;lon=""&amp;$E39&amp;""&amp;name=""&amp;SUBSTITUTE($A39,""#"",""%23""),""SANDBOX""),HYPERLINK(""htt"&amp;"ps://www.munzee.com/m/""&amp;$H39&amp;""/deploys/0/type/""&amp;IFNA(VLOOKUP($G39,IMPORTRANGE(""https://docs.google.com/spreadsheets/d/1DliIGyDywdzxhd4svtjaewR0p9Y5UBTMNMQ2PcXsqss"",""type data!E2:F""),2,FALSE),$G39)&amp;""/"",$H39)),""""))"),"hz/4204")</f>
        <v>hz/4204</v>
      </c>
      <c r="K39" s="5" t="b">
        <v>1</v>
      </c>
      <c r="L39" s="7"/>
      <c r="M39" s="7">
        <f t="shared" si="1"/>
        <v>1</v>
      </c>
    </row>
    <row r="40">
      <c r="A40" s="3" t="s">
        <v>93</v>
      </c>
      <c r="B40" s="3">
        <v>4.0</v>
      </c>
      <c r="C40" s="3">
        <v>12.0</v>
      </c>
      <c r="D40" s="4">
        <v>49.1903699544194</v>
      </c>
      <c r="E40" s="4">
        <v>-2.0927133029684</v>
      </c>
      <c r="F40" s="3" t="s">
        <v>69</v>
      </c>
      <c r="G40" s="3" t="s">
        <v>70</v>
      </c>
      <c r="H40" s="5" t="s">
        <v>94</v>
      </c>
      <c r="I40" s="5">
        <v>3670.0</v>
      </c>
      <c r="J40" s="6" t="str">
        <f>IFERROR(__xludf.DUMMYFUNCTION("IF(AND(REGEXMATCH($H40,""50( ?['fF]([oO]{2})?[tT]?)?( ?[eE][rR]{2}[oO][rR])"")=FALSE,$H40&lt;&gt;"""",$I40&lt;&gt;""""),HYPERLINK(""https://www.munzee.com/m/""&amp;$H40&amp;""/""&amp;$I40&amp;""/map/?lat=""&amp;$D40&amp;""&amp;lon=""&amp;$E40&amp;""&amp;type=""&amp;$G40&amp;""&amp;name=""&amp;SUBSTITUTE($A40,""#"",""%23"""&amp;"),$H40&amp;""/""&amp;$I40),IF($H40&lt;&gt;"""",IF(REGEXMATCH($H40,""50( ?['fF]([oO]{2})?[tT]?)?( ?[eE][rR]{2}[oO][rR])""),HYPERLINK(""https://www.munzee.com/map/?sandbox=1&amp;lat=""&amp;$D40&amp;""&amp;lon=""&amp;$E40&amp;""&amp;name=""&amp;SUBSTITUTE($A40,""#"",""%23""),""SANDBOX""),HYPERLINK(""htt"&amp;"ps://www.munzee.com/m/""&amp;$H40&amp;""/deploys/0/type/""&amp;IFNA(VLOOKUP($G40,IMPORTRANGE(""https://docs.google.com/spreadsheets/d/1DliIGyDywdzxhd4svtjaewR0p9Y5UBTMNMQ2PcXsqss"",""type data!E2:F""),2,FALSE),$G40)&amp;""/"",$H40)),""""))"),"Vitalijus/3670")</f>
        <v>Vitalijus/3670</v>
      </c>
      <c r="K40" s="5" t="b">
        <v>1</v>
      </c>
      <c r="L40" s="3"/>
      <c r="M40" s="7">
        <f t="shared" si="1"/>
        <v>1</v>
      </c>
    </row>
    <row r="41">
      <c r="A41" s="3" t="s">
        <v>95</v>
      </c>
      <c r="B41" s="3">
        <v>4.0</v>
      </c>
      <c r="C41" s="3">
        <v>13.0</v>
      </c>
      <c r="D41" s="4">
        <v>49.1902683215423</v>
      </c>
      <c r="E41" s="4">
        <v>-2.0925577939764</v>
      </c>
      <c r="F41" s="3" t="s">
        <v>69</v>
      </c>
      <c r="G41" s="3" t="s">
        <v>70</v>
      </c>
      <c r="H41" s="5"/>
      <c r="I41" s="5"/>
      <c r="J41" s="7" t="str">
        <f>IFERROR(__xludf.DUMMYFUNCTION("IF(AND(REGEXMATCH($H41,""50( ?['fF]([oO]{2})?[tT]?)?( ?[eE][rR]{2}[oO][rR])"")=FALSE,$H41&lt;&gt;"""",$I41&lt;&gt;""""),HYPERLINK(""https://www.munzee.com/m/""&amp;$H41&amp;""/""&amp;$I41&amp;""/map/?lat=""&amp;$D41&amp;""&amp;lon=""&amp;$E41&amp;""&amp;type=""&amp;$G41&amp;""&amp;name=""&amp;SUBSTITUTE($A41,""#"",""%23"""&amp;"),$H41&amp;""/""&amp;$I41),IF($H41&lt;&gt;"""",IF(REGEXMATCH($H41,""50( ?['fF]([oO]{2})?[tT]?)?( ?[eE][rR]{2}[oO][rR])""),HYPERLINK(""https://www.munzee.com/map/?sandbox=1&amp;lat=""&amp;$D41&amp;""&amp;lon=""&amp;$E41&amp;""&amp;name=""&amp;SUBSTITUTE($A41,""#"",""%23""),""SANDBOX""),HYPERLINK(""htt"&amp;"ps://www.munzee.com/m/""&amp;$H41&amp;""/deploys/0/type/""&amp;IFNA(VLOOKUP($G41,IMPORTRANGE(""https://docs.google.com/spreadsheets/d/1DliIGyDywdzxhd4svtjaewR0p9Y5UBTMNMQ2PcXsqss"",""type data!E2:F""),2,FALSE),$G41)&amp;""/"",$H41)),""""))"),"")</f>
        <v/>
      </c>
      <c r="K41" s="5" t="b">
        <v>0</v>
      </c>
      <c r="L41" s="5"/>
      <c r="M41" s="7" t="str">
        <f t="shared" si="1"/>
        <v/>
      </c>
    </row>
    <row r="42">
      <c r="A42" s="3" t="s">
        <v>96</v>
      </c>
      <c r="B42" s="3">
        <v>4.0</v>
      </c>
      <c r="C42" s="3">
        <v>14.0</v>
      </c>
      <c r="D42" s="4">
        <v>49.1901666886653</v>
      </c>
      <c r="E42" s="4">
        <v>-2.0924022853039</v>
      </c>
      <c r="F42" s="3" t="s">
        <v>69</v>
      </c>
      <c r="G42" s="3" t="s">
        <v>70</v>
      </c>
      <c r="H42" s="5"/>
      <c r="I42" s="5"/>
      <c r="J42" s="7" t="str">
        <f>IFERROR(__xludf.DUMMYFUNCTION("IF(AND(REGEXMATCH($H42,""50( ?['fF]([oO]{2})?[tT]?)?( ?[eE][rR]{2}[oO][rR])"")=FALSE,$H42&lt;&gt;"""",$I42&lt;&gt;""""),HYPERLINK(""https://www.munzee.com/m/""&amp;$H42&amp;""/""&amp;$I42&amp;""/map/?lat=""&amp;$D42&amp;""&amp;lon=""&amp;$E42&amp;""&amp;type=""&amp;$G42&amp;""&amp;name=""&amp;SUBSTITUTE($A42,""#"",""%23"""&amp;"),$H42&amp;""/""&amp;$I42),IF($H42&lt;&gt;"""",IF(REGEXMATCH($H42,""50( ?['fF]([oO]{2})?[tT]?)?( ?[eE][rR]{2}[oO][rR])""),HYPERLINK(""https://www.munzee.com/map/?sandbox=1&amp;lat=""&amp;$D42&amp;""&amp;lon=""&amp;$E42&amp;""&amp;name=""&amp;SUBSTITUTE($A42,""#"",""%23""),""SANDBOX""),HYPERLINK(""htt"&amp;"ps://www.munzee.com/m/""&amp;$H42&amp;""/deploys/0/type/""&amp;IFNA(VLOOKUP($G42,IMPORTRANGE(""https://docs.google.com/spreadsheets/d/1DliIGyDywdzxhd4svtjaewR0p9Y5UBTMNMQ2PcXsqss"",""type data!E2:F""),2,FALSE),$G42)&amp;""/"",$H42)),""""))"),"")</f>
        <v/>
      </c>
      <c r="K42" s="7" t="b">
        <v>0</v>
      </c>
      <c r="L42" s="7"/>
      <c r="M42" s="7" t="str">
        <f t="shared" si="1"/>
        <v/>
      </c>
    </row>
    <row r="43">
      <c r="A43" s="3" t="s">
        <v>97</v>
      </c>
      <c r="B43" s="3">
        <v>4.0</v>
      </c>
      <c r="C43" s="3">
        <v>15.0</v>
      </c>
      <c r="D43" s="4">
        <v>49.1900650557883</v>
      </c>
      <c r="E43" s="4">
        <v>-2.0922467769509</v>
      </c>
      <c r="F43" s="3" t="s">
        <v>69</v>
      </c>
      <c r="G43" s="3" t="s">
        <v>70</v>
      </c>
      <c r="H43" s="5"/>
      <c r="I43" s="5"/>
      <c r="J43" s="7" t="str">
        <f>IFERROR(__xludf.DUMMYFUNCTION("IF(AND(REGEXMATCH($H43,""50( ?['fF]([oO]{2})?[tT]?)?( ?[eE][rR]{2}[oO][rR])"")=FALSE,$H43&lt;&gt;"""",$I43&lt;&gt;""""),HYPERLINK(""https://www.munzee.com/m/""&amp;$H43&amp;""/""&amp;$I43&amp;""/map/?lat=""&amp;$D43&amp;""&amp;lon=""&amp;$E43&amp;""&amp;type=""&amp;$G43&amp;""&amp;name=""&amp;SUBSTITUTE($A43,""#"",""%23"""&amp;"),$H43&amp;""/""&amp;$I43),IF($H43&lt;&gt;"""",IF(REGEXMATCH($H43,""50( ?['fF]([oO]{2})?[tT]?)?( ?[eE][rR]{2}[oO][rR])""),HYPERLINK(""https://www.munzee.com/map/?sandbox=1&amp;lat=""&amp;$D43&amp;""&amp;lon=""&amp;$E43&amp;""&amp;name=""&amp;SUBSTITUTE($A43,""#"",""%23""),""SANDBOX""),HYPERLINK(""htt"&amp;"ps://www.munzee.com/m/""&amp;$H43&amp;""/deploys/0/type/""&amp;IFNA(VLOOKUP($G43,IMPORTRANGE(""https://docs.google.com/spreadsheets/d/1DliIGyDywdzxhd4svtjaewR0p9Y5UBTMNMQ2PcXsqss"",""type data!E2:F""),2,FALSE),$G43)&amp;""/"",$H43)),""""))"),"")</f>
        <v/>
      </c>
      <c r="K43" s="5" t="b">
        <v>0</v>
      </c>
      <c r="L43" s="7"/>
      <c r="M43" s="7" t="str">
        <f t="shared" si="1"/>
        <v/>
      </c>
    </row>
    <row r="44">
      <c r="A44" s="3" t="s">
        <v>98</v>
      </c>
      <c r="B44" s="3">
        <v>4.0</v>
      </c>
      <c r="C44" s="3">
        <v>16.0</v>
      </c>
      <c r="D44" s="4">
        <v>49.1899634229112</v>
      </c>
      <c r="E44" s="4">
        <v>-2.0920912689173</v>
      </c>
      <c r="F44" s="3" t="s">
        <v>14</v>
      </c>
      <c r="G44" s="3" t="s">
        <v>15</v>
      </c>
      <c r="H44" s="5" t="s">
        <v>99</v>
      </c>
      <c r="I44" s="9">
        <v>7673.0</v>
      </c>
      <c r="J44" s="6" t="str">
        <f>IFERROR(__xludf.DUMMYFUNCTION("IF(AND(REGEXMATCH($H44,""50( ?['fF]([oO]{2})?[tT]?)?( ?[eE][rR]{2}[oO][rR])"")=FALSE,$H44&lt;&gt;"""",$I44&lt;&gt;""""),HYPERLINK(""https://www.munzee.com/m/""&amp;$H44&amp;""/""&amp;$I44&amp;""/map/?lat=""&amp;$D44&amp;""&amp;lon=""&amp;$E44&amp;""&amp;type=""&amp;$G44&amp;""&amp;name=""&amp;SUBSTITUTE($A44,""#"",""%23"""&amp;"),$H44&amp;""/""&amp;$I44),IF($H44&lt;&gt;"""",IF(REGEXMATCH($H44,""50( ?['fF]([oO]{2})?[tT]?)?( ?[eE][rR]{2}[oO][rR])""),HYPERLINK(""https://www.munzee.com/map/?sandbox=1&amp;lat=""&amp;$D44&amp;""&amp;lon=""&amp;$E44&amp;""&amp;name=""&amp;SUBSTITUTE($A44,""#"",""%23""),""SANDBOX""),HYPERLINK(""htt"&amp;"ps://www.munzee.com/m/""&amp;$H44&amp;""/deploys/0/type/""&amp;IFNA(VLOOKUP($G44,IMPORTRANGE(""https://docs.google.com/spreadsheets/d/1DliIGyDywdzxhd4svtjaewR0p9Y5UBTMNMQ2PcXsqss"",""type data!E2:F""),2,FALSE),$G44)&amp;""/"",$H44)),""""))"),"rgforsythe/7673")</f>
        <v>rgforsythe/7673</v>
      </c>
      <c r="K44" s="5" t="b">
        <v>1</v>
      </c>
      <c r="M44" s="7">
        <f t="shared" si="1"/>
        <v>4</v>
      </c>
    </row>
    <row r="45">
      <c r="A45" s="3" t="s">
        <v>100</v>
      </c>
      <c r="B45" s="3">
        <v>4.0</v>
      </c>
      <c r="C45" s="3">
        <v>18.0</v>
      </c>
      <c r="D45" s="4">
        <v>49.1897601571571</v>
      </c>
      <c r="E45" s="4">
        <v>-2.0917802538083</v>
      </c>
      <c r="F45" s="3" t="s">
        <v>14</v>
      </c>
      <c r="G45" s="3" t="s">
        <v>15</v>
      </c>
      <c r="H45" s="5"/>
      <c r="I45" s="12"/>
      <c r="J45" s="7" t="str">
        <f>IFERROR(__xludf.DUMMYFUNCTION("IF(AND(REGEXMATCH($H45,""50( ?['fF]([oO]{2})?[tT]?)?( ?[eE][rR]{2}[oO][rR])"")=FALSE,$H45&lt;&gt;"""",$I45&lt;&gt;""""),HYPERLINK(""https://www.munzee.com/m/""&amp;$H45&amp;""/""&amp;$I45&amp;""/map/?lat=""&amp;$D45&amp;""&amp;lon=""&amp;$E45&amp;""&amp;type=""&amp;$G45&amp;""&amp;name=""&amp;SUBSTITUTE($A45,""#"",""%23"""&amp;"),$H45&amp;""/""&amp;$I45),IF($H45&lt;&gt;"""",IF(REGEXMATCH($H45,""50( ?['fF]([oO]{2})?[tT]?)?( ?[eE][rR]{2}[oO][rR])""),HYPERLINK(""https://www.munzee.com/map/?sandbox=1&amp;lat=""&amp;$D45&amp;""&amp;lon=""&amp;$E45&amp;""&amp;name=""&amp;SUBSTITUTE($A45,""#"",""%23""),""SANDBOX""),HYPERLINK(""htt"&amp;"ps://www.munzee.com/m/""&amp;$H45&amp;""/deploys/0/type/""&amp;IFNA(VLOOKUP($G45,IMPORTRANGE(""https://docs.google.com/spreadsheets/d/1DliIGyDywdzxhd4svtjaewR0p9Y5UBTMNMQ2PcXsqss"",""type data!E2:F""),2,FALSE),$G45)&amp;""/"",$H45)),""""))"),"")</f>
        <v/>
      </c>
      <c r="K45" s="7" t="b">
        <v>0</v>
      </c>
      <c r="L45" s="7"/>
      <c r="M45" s="7" t="str">
        <f t="shared" si="1"/>
        <v/>
      </c>
    </row>
    <row r="46">
      <c r="A46" s="3" t="s">
        <v>101</v>
      </c>
      <c r="B46" s="3">
        <v>4.0</v>
      </c>
      <c r="C46" s="3">
        <v>19.0</v>
      </c>
      <c r="D46" s="4">
        <v>49.1896585242801</v>
      </c>
      <c r="E46" s="4">
        <v>-2.091624746733</v>
      </c>
      <c r="F46" s="3" t="s">
        <v>69</v>
      </c>
      <c r="G46" s="3" t="s">
        <v>70</v>
      </c>
      <c r="H46" s="5"/>
      <c r="I46" s="5"/>
      <c r="J46" s="7" t="str">
        <f>IFERROR(__xludf.DUMMYFUNCTION("IF(AND(REGEXMATCH($H46,""50( ?['fF]([oO]{2})?[tT]?)?( ?[eE][rR]{2}[oO][rR])"")=FALSE,$H46&lt;&gt;"""",$I46&lt;&gt;""""),HYPERLINK(""https://www.munzee.com/m/""&amp;$H46&amp;""/""&amp;$I46&amp;""/map/?lat=""&amp;$D46&amp;""&amp;lon=""&amp;$E46&amp;""&amp;type=""&amp;$G46&amp;""&amp;name=""&amp;SUBSTITUTE($A46,""#"",""%23"""&amp;"),$H46&amp;""/""&amp;$I46),IF($H46&lt;&gt;"""",IF(REGEXMATCH($H46,""50( ?['fF]([oO]{2})?[tT]?)?( ?[eE][rR]{2}[oO][rR])""),HYPERLINK(""https://www.munzee.com/map/?sandbox=1&amp;lat=""&amp;$D46&amp;""&amp;lon=""&amp;$E46&amp;""&amp;name=""&amp;SUBSTITUTE($A46,""#"",""%23""),""SANDBOX""),HYPERLINK(""htt"&amp;"ps://www.munzee.com/m/""&amp;$H46&amp;""/deploys/0/type/""&amp;IFNA(VLOOKUP($G46,IMPORTRANGE(""https://docs.google.com/spreadsheets/d/1DliIGyDywdzxhd4svtjaewR0p9Y5UBTMNMQ2PcXsqss"",""type data!E2:F""),2,FALSE),$G46)&amp;""/"",$H46)),""""))"),"")</f>
        <v/>
      </c>
      <c r="K46" s="7" t="b">
        <v>0</v>
      </c>
      <c r="L46" s="8"/>
      <c r="M46" s="7" t="str">
        <f t="shared" si="1"/>
        <v/>
      </c>
    </row>
    <row r="47">
      <c r="A47" s="3" t="s">
        <v>102</v>
      </c>
      <c r="B47" s="3">
        <v>4.0</v>
      </c>
      <c r="C47" s="3">
        <v>20.0</v>
      </c>
      <c r="D47" s="4">
        <v>49.189556891403</v>
      </c>
      <c r="E47" s="4">
        <v>-2.0914692399772</v>
      </c>
      <c r="F47" s="3" t="s">
        <v>39</v>
      </c>
      <c r="G47" s="3" t="s">
        <v>40</v>
      </c>
      <c r="H47" s="5" t="s">
        <v>103</v>
      </c>
      <c r="I47" s="5">
        <v>1059.0</v>
      </c>
      <c r="J47" s="6" t="str">
        <f>IFERROR(__xludf.DUMMYFUNCTION("IF(AND(REGEXMATCH($H47,""50( ?['fF]([oO]{2})?[tT]?)?( ?[eE][rR]{2}[oO][rR])"")=FALSE,$H47&lt;&gt;"""",$I47&lt;&gt;""""),HYPERLINK(""https://www.munzee.com/m/""&amp;$H47&amp;""/""&amp;$I47&amp;""/map/?lat=""&amp;$D47&amp;""&amp;lon=""&amp;$E47&amp;""&amp;type=""&amp;$G47&amp;""&amp;name=""&amp;SUBSTITUTE($A47,""#"",""%23"""&amp;"),$H47&amp;""/""&amp;$I47),IF($H47&lt;&gt;"""",IF(REGEXMATCH($H47,""50( ?['fF]([oO]{2})?[tT]?)?( ?[eE][rR]{2}[oO][rR])""),HYPERLINK(""https://www.munzee.com/map/?sandbox=1&amp;lat=""&amp;$D47&amp;""&amp;lon=""&amp;$E47&amp;""&amp;name=""&amp;SUBSTITUTE($A47,""#"",""%23""),""SANDBOX""),HYPERLINK(""htt"&amp;"ps://www.munzee.com/m/""&amp;$H47&amp;""/deploys/0/type/""&amp;IFNA(VLOOKUP($G47,IMPORTRANGE(""https://docs.google.com/spreadsheets/d/1DliIGyDywdzxhd4svtjaewR0p9Y5UBTMNMQ2PcXsqss"",""type data!E2:F""),2,FALSE),$G47)&amp;""/"",$H47)),""""))"),"Squ1rr3l/1059")</f>
        <v>Squ1rr3l/1059</v>
      </c>
      <c r="K47" s="5" t="b">
        <v>1</v>
      </c>
      <c r="L47" s="7"/>
      <c r="M47" s="7">
        <f t="shared" si="1"/>
        <v>1</v>
      </c>
    </row>
    <row r="48">
      <c r="A48" s="3" t="s">
        <v>104</v>
      </c>
      <c r="B48" s="3">
        <v>4.0</v>
      </c>
      <c r="C48" s="3">
        <v>21.0</v>
      </c>
      <c r="D48" s="4">
        <v>49.189455258526</v>
      </c>
      <c r="E48" s="4">
        <v>-2.0913137335408</v>
      </c>
      <c r="F48" s="3" t="s">
        <v>39</v>
      </c>
      <c r="G48" s="3" t="s">
        <v>40</v>
      </c>
      <c r="H48" s="5" t="s">
        <v>105</v>
      </c>
      <c r="I48" s="5">
        <v>5639.0</v>
      </c>
      <c r="J48" s="6" t="str">
        <f>IFERROR(__xludf.DUMMYFUNCTION("IF(AND(REGEXMATCH($H48,""50( ?['fF]([oO]{2})?[tT]?)?( ?[eE][rR]{2}[oO][rR])"")=FALSE,$H48&lt;&gt;"""",$I48&lt;&gt;""""),HYPERLINK(""https://www.munzee.com/m/""&amp;$H48&amp;""/""&amp;$I48&amp;""/map/?lat=""&amp;$D48&amp;""&amp;lon=""&amp;$E48&amp;""&amp;type=""&amp;$G48&amp;""&amp;name=""&amp;SUBSTITUTE($A48,""#"",""%23"""&amp;"),$H48&amp;""/""&amp;$I48),IF($H48&lt;&gt;"""",IF(REGEXMATCH($H48,""50( ?['fF]([oO]{2})?[tT]?)?( ?[eE][rR]{2}[oO][rR])""),HYPERLINK(""https://www.munzee.com/map/?sandbox=1&amp;lat=""&amp;$D48&amp;""&amp;lon=""&amp;$E48&amp;""&amp;name=""&amp;SUBSTITUTE($A48,""#"",""%23""),""SANDBOX""),HYPERLINK(""htt"&amp;"ps://www.munzee.com/m/""&amp;$H48&amp;""/deploys/0/type/""&amp;IFNA(VLOOKUP($G48,IMPORTRANGE(""https://docs.google.com/spreadsheets/d/1DliIGyDywdzxhd4svtjaewR0p9Y5UBTMNMQ2PcXsqss"",""type data!E2:F""),2,FALSE),$G48)&amp;""/"",$H48)),""""))"),"kiitokurre/5639")</f>
        <v>kiitokurre/5639</v>
      </c>
      <c r="K48" s="5" t="b">
        <v>1</v>
      </c>
      <c r="L48" s="7"/>
      <c r="M48" s="7">
        <f t="shared" si="1"/>
        <v>1</v>
      </c>
    </row>
    <row r="49">
      <c r="A49" s="3" t="s">
        <v>106</v>
      </c>
      <c r="B49" s="3">
        <v>4.0</v>
      </c>
      <c r="C49" s="3">
        <v>22.0</v>
      </c>
      <c r="D49" s="4">
        <v>49.189353625649</v>
      </c>
      <c r="E49" s="4">
        <v>-2.0911582274239</v>
      </c>
      <c r="F49" s="3" t="s">
        <v>39</v>
      </c>
      <c r="G49" s="3" t="s">
        <v>40</v>
      </c>
      <c r="H49" s="5" t="s">
        <v>107</v>
      </c>
      <c r="I49" s="5">
        <v>15985.0</v>
      </c>
      <c r="J49" s="6" t="str">
        <f>IFERROR(__xludf.DUMMYFUNCTION("IF(AND(REGEXMATCH($H49,""50( ?['fF]([oO]{2})?[tT]?)?( ?[eE][rR]{2}[oO][rR])"")=FALSE,$H49&lt;&gt;"""",$I49&lt;&gt;""""),HYPERLINK(""https://www.munzee.com/m/""&amp;$H49&amp;""/""&amp;$I49&amp;""/map/?lat=""&amp;$D49&amp;""&amp;lon=""&amp;$E49&amp;""&amp;type=""&amp;$G49&amp;""&amp;name=""&amp;SUBSTITUTE($A49,""#"",""%23"""&amp;"),$H49&amp;""/""&amp;$I49),IF($H49&lt;&gt;"""",IF(REGEXMATCH($H49,""50( ?['fF]([oO]{2})?[tT]?)?( ?[eE][rR]{2}[oO][rR])""),HYPERLINK(""https://www.munzee.com/map/?sandbox=1&amp;lat=""&amp;$D49&amp;""&amp;lon=""&amp;$E49&amp;""&amp;name=""&amp;SUBSTITUTE($A49,""#"",""%23""),""SANDBOX""),HYPERLINK(""htt"&amp;"ps://www.munzee.com/m/""&amp;$H49&amp;""/deploys/0/type/""&amp;IFNA(VLOOKUP($G49,IMPORTRANGE(""https://docs.google.com/spreadsheets/d/1DliIGyDywdzxhd4svtjaewR0p9Y5UBTMNMQ2PcXsqss"",""type data!E2:F""),2,FALSE),$G49)&amp;""/"",$H49)),""""))"),"xptwo/15985")</f>
        <v>xptwo/15985</v>
      </c>
      <c r="K49" s="5" t="b">
        <v>1</v>
      </c>
      <c r="L49" s="5"/>
      <c r="M49" s="7">
        <f t="shared" si="1"/>
        <v>1</v>
      </c>
    </row>
    <row r="50">
      <c r="A50" s="3" t="s">
        <v>108</v>
      </c>
      <c r="B50" s="3">
        <v>4.0</v>
      </c>
      <c r="C50" s="3">
        <v>23.0</v>
      </c>
      <c r="D50" s="4">
        <v>49.1892519927719</v>
      </c>
      <c r="E50" s="4">
        <v>-2.0910027216264</v>
      </c>
      <c r="F50" s="3" t="s">
        <v>39</v>
      </c>
      <c r="G50" s="3" t="s">
        <v>40</v>
      </c>
      <c r="H50" s="5" t="s">
        <v>109</v>
      </c>
      <c r="I50" s="5">
        <v>2992.0</v>
      </c>
      <c r="J50" s="6" t="str">
        <f>IFERROR(__xludf.DUMMYFUNCTION("IF(AND(REGEXMATCH($H50,""50( ?['fF]([oO]{2})?[tT]?)?( ?[eE][rR]{2}[oO][rR])"")=FALSE,$H50&lt;&gt;"""",$I50&lt;&gt;""""),HYPERLINK(""https://www.munzee.com/m/""&amp;$H50&amp;""/""&amp;$I50&amp;""/map/?lat=""&amp;$D50&amp;""&amp;lon=""&amp;$E50&amp;""&amp;type=""&amp;$G50&amp;""&amp;name=""&amp;SUBSTITUTE($A50,""#"",""%23"""&amp;"),$H50&amp;""/""&amp;$I50),IF($H50&lt;&gt;"""",IF(REGEXMATCH($H50,""50( ?['fF]([oO]{2})?[tT]?)?( ?[eE][rR]{2}[oO][rR])""),HYPERLINK(""https://www.munzee.com/map/?sandbox=1&amp;lat=""&amp;$D50&amp;""&amp;lon=""&amp;$E50&amp;""&amp;name=""&amp;SUBSTITUTE($A50,""#"",""%23""),""SANDBOX""),HYPERLINK(""htt"&amp;"ps://www.munzee.com/m/""&amp;$H50&amp;""/deploys/0/type/""&amp;IFNA(VLOOKUP($G50,IMPORTRANGE(""https://docs.google.com/spreadsheets/d/1DliIGyDywdzxhd4svtjaewR0p9Y5UBTMNMQ2PcXsqss"",""type data!E2:F""),2,FALSE),$G50)&amp;""/"",$H50)),""""))"),"SJClyde/2992")</f>
        <v>SJClyde/2992</v>
      </c>
      <c r="K50" s="5" t="b">
        <v>1</v>
      </c>
      <c r="L50" s="7"/>
      <c r="M50" s="7">
        <f t="shared" si="1"/>
        <v>1</v>
      </c>
    </row>
    <row r="51">
      <c r="A51" s="3" t="s">
        <v>110</v>
      </c>
      <c r="B51" s="3">
        <v>4.0</v>
      </c>
      <c r="C51" s="3">
        <v>24.0</v>
      </c>
      <c r="D51" s="4">
        <v>49.1891503598949</v>
      </c>
      <c r="E51" s="4">
        <v>-2.0908472161484</v>
      </c>
      <c r="F51" s="3" t="s">
        <v>49</v>
      </c>
      <c r="G51" s="3" t="s">
        <v>50</v>
      </c>
      <c r="H51" s="5"/>
      <c r="I51" s="5"/>
      <c r="J51" s="7" t="str">
        <f>IFERROR(__xludf.DUMMYFUNCTION("IF(AND(REGEXMATCH($H51,""50( ?['fF]([oO]{2})?[tT]?)?( ?[eE][rR]{2}[oO][rR])"")=FALSE,$H51&lt;&gt;"""",$I51&lt;&gt;""""),HYPERLINK(""https://www.munzee.com/m/""&amp;$H51&amp;""/""&amp;$I51&amp;""/map/?lat=""&amp;$D51&amp;""&amp;lon=""&amp;$E51&amp;""&amp;type=""&amp;$G51&amp;""&amp;name=""&amp;SUBSTITUTE($A51,""#"",""%23"""&amp;"),$H51&amp;""/""&amp;$I51),IF($H51&lt;&gt;"""",IF(REGEXMATCH($H51,""50( ?['fF]([oO]{2})?[tT]?)?( ?[eE][rR]{2}[oO][rR])""),HYPERLINK(""https://www.munzee.com/map/?sandbox=1&amp;lat=""&amp;$D51&amp;""&amp;lon=""&amp;$E51&amp;""&amp;name=""&amp;SUBSTITUTE($A51,""#"",""%23""),""SANDBOX""),HYPERLINK(""htt"&amp;"ps://www.munzee.com/m/""&amp;$H51&amp;""/deploys/0/type/""&amp;IFNA(VLOOKUP($G51,IMPORTRANGE(""https://docs.google.com/spreadsheets/d/1DliIGyDywdzxhd4svtjaewR0p9Y5UBTMNMQ2PcXsqss"",""type data!E2:F""),2,FALSE),$G51)&amp;""/"",$H51)),""""))"),"")</f>
        <v/>
      </c>
      <c r="K51" s="7" t="b">
        <v>0</v>
      </c>
      <c r="L51" s="7"/>
      <c r="M51" s="7" t="str">
        <f t="shared" si="1"/>
        <v/>
      </c>
    </row>
    <row r="52">
      <c r="A52" s="3" t="s">
        <v>111</v>
      </c>
      <c r="B52" s="3">
        <v>5.0</v>
      </c>
      <c r="C52" s="3">
        <v>4.0</v>
      </c>
      <c r="D52" s="4">
        <v>49.1910813845587</v>
      </c>
      <c r="E52" s="4">
        <v>-2.0941129088158</v>
      </c>
      <c r="F52" s="3" t="s">
        <v>14</v>
      </c>
      <c r="G52" s="3" t="s">
        <v>15</v>
      </c>
      <c r="H52" s="5"/>
      <c r="I52" s="5"/>
      <c r="J52" s="7" t="str">
        <f>IFERROR(__xludf.DUMMYFUNCTION("IF(AND(REGEXMATCH($H52,""50( ?['fF]([oO]{2})?[tT]?)?( ?[eE][rR]{2}[oO][rR])"")=FALSE,$H52&lt;&gt;"""",$I52&lt;&gt;""""),HYPERLINK(""https://www.munzee.com/m/""&amp;$H52&amp;""/""&amp;$I52&amp;""/map/?lat=""&amp;$D52&amp;""&amp;lon=""&amp;$E52&amp;""&amp;type=""&amp;$G52&amp;""&amp;name=""&amp;SUBSTITUTE($A52,""#"",""%23"""&amp;"),$H52&amp;""/""&amp;$I52),IF($H52&lt;&gt;"""",IF(REGEXMATCH($H52,""50( ?['fF]([oO]{2})?[tT]?)?( ?[eE][rR]{2}[oO][rR])""),HYPERLINK(""https://www.munzee.com/map/?sandbox=1&amp;lat=""&amp;$D52&amp;""&amp;lon=""&amp;$E52&amp;""&amp;name=""&amp;SUBSTITUTE($A52,""#"",""%23""),""SANDBOX""),HYPERLINK(""htt"&amp;"ps://www.munzee.com/m/""&amp;$H52&amp;""/deploys/0/type/""&amp;IFNA(VLOOKUP($G52,IMPORTRANGE(""https://docs.google.com/spreadsheets/d/1DliIGyDywdzxhd4svtjaewR0p9Y5UBTMNMQ2PcXsqss"",""type data!E2:F""),2,FALSE),$G52)&amp;""/"",$H52)),""""))"),"")</f>
        <v/>
      </c>
      <c r="K52" s="5" t="b">
        <v>0</v>
      </c>
      <c r="L52" s="5"/>
      <c r="M52" s="7" t="str">
        <f t="shared" si="1"/>
        <v/>
      </c>
    </row>
    <row r="53">
      <c r="A53" s="3" t="s">
        <v>112</v>
      </c>
      <c r="B53" s="3">
        <v>5.0</v>
      </c>
      <c r="C53" s="3">
        <v>5.0</v>
      </c>
      <c r="D53" s="4">
        <v>49.1909797516816</v>
      </c>
      <c r="E53" s="4">
        <v>-2.0939573975875</v>
      </c>
      <c r="F53" s="3" t="s">
        <v>14</v>
      </c>
      <c r="G53" s="3" t="s">
        <v>15</v>
      </c>
      <c r="H53" s="5"/>
      <c r="I53" s="7"/>
      <c r="J53" s="7" t="str">
        <f>IFERROR(__xludf.DUMMYFUNCTION("IF(AND(REGEXMATCH($H53,""50( ?['fF]([oO]{2})?[tT]?)?( ?[eE][rR]{2}[oO][rR])"")=FALSE,$H53&lt;&gt;"""",$I53&lt;&gt;""""),HYPERLINK(""https://www.munzee.com/m/""&amp;$H53&amp;""/""&amp;$I53&amp;""/map/?lat=""&amp;$D53&amp;""&amp;lon=""&amp;$E53&amp;""&amp;type=""&amp;$G53&amp;""&amp;name=""&amp;SUBSTITUTE($A53,""#"",""%23"""&amp;"),$H53&amp;""/""&amp;$I53),IF($H53&lt;&gt;"""",IF(REGEXMATCH($H53,""50( ?['fF]([oO]{2})?[tT]?)?( ?[eE][rR]{2}[oO][rR])""),HYPERLINK(""https://www.munzee.com/map/?sandbox=1&amp;lat=""&amp;$D53&amp;""&amp;lon=""&amp;$E53&amp;""&amp;name=""&amp;SUBSTITUTE($A53,""#"",""%23""),""SANDBOX""),HYPERLINK(""htt"&amp;"ps://www.munzee.com/m/""&amp;$H53&amp;""/deploys/0/type/""&amp;IFNA(VLOOKUP($G53,IMPORTRANGE(""https://docs.google.com/spreadsheets/d/1DliIGyDywdzxhd4svtjaewR0p9Y5UBTMNMQ2PcXsqss"",""type data!E2:F""),2,FALSE),$G53)&amp;""/"",$H53)),""""))"),"")</f>
        <v/>
      </c>
      <c r="K53" s="7" t="b">
        <v>0</v>
      </c>
      <c r="L53" s="8"/>
      <c r="M53" s="7" t="str">
        <f t="shared" si="1"/>
        <v/>
      </c>
    </row>
    <row r="54">
      <c r="A54" s="3" t="s">
        <v>113</v>
      </c>
      <c r="B54" s="3">
        <v>5.0</v>
      </c>
      <c r="C54" s="3">
        <v>6.0</v>
      </c>
      <c r="D54" s="4">
        <v>49.1908781188046</v>
      </c>
      <c r="E54" s="4">
        <v>-2.0938018866786</v>
      </c>
      <c r="F54" s="3" t="s">
        <v>49</v>
      </c>
      <c r="G54" s="3" t="s">
        <v>50</v>
      </c>
      <c r="H54" s="5"/>
      <c r="I54" s="5"/>
      <c r="J54" s="7" t="str">
        <f>IFERROR(__xludf.DUMMYFUNCTION("IF(AND(REGEXMATCH($H54,""50( ?['fF]([oO]{2})?[tT]?)?( ?[eE][rR]{2}[oO][rR])"")=FALSE,$H54&lt;&gt;"""",$I54&lt;&gt;""""),HYPERLINK(""https://www.munzee.com/m/""&amp;$H54&amp;""/""&amp;$I54&amp;""/map/?lat=""&amp;$D54&amp;""&amp;lon=""&amp;$E54&amp;""&amp;type=""&amp;$G54&amp;""&amp;name=""&amp;SUBSTITUTE($A54,""#"",""%23"""&amp;"),$H54&amp;""/""&amp;$I54),IF($H54&lt;&gt;"""",IF(REGEXMATCH($H54,""50( ?['fF]([oO]{2})?[tT]?)?( ?[eE][rR]{2}[oO][rR])""),HYPERLINK(""https://www.munzee.com/map/?sandbox=1&amp;lat=""&amp;$D54&amp;""&amp;lon=""&amp;$E54&amp;""&amp;name=""&amp;SUBSTITUTE($A54,""#"",""%23""),""SANDBOX""),HYPERLINK(""htt"&amp;"ps://www.munzee.com/m/""&amp;$H54&amp;""/deploys/0/type/""&amp;IFNA(VLOOKUP($G54,IMPORTRANGE(""https://docs.google.com/spreadsheets/d/1DliIGyDywdzxhd4svtjaewR0p9Y5UBTMNMQ2PcXsqss"",""type data!E2:F""),2,FALSE),$G54)&amp;""/"",$H54)),""""))"),"")</f>
        <v/>
      </c>
      <c r="K54" s="5" t="b">
        <v>0</v>
      </c>
      <c r="L54" s="5"/>
      <c r="M54" s="7" t="str">
        <f t="shared" si="1"/>
        <v/>
      </c>
    </row>
    <row r="55">
      <c r="A55" s="3" t="s">
        <v>114</v>
      </c>
      <c r="B55" s="3">
        <v>5.0</v>
      </c>
      <c r="C55" s="3">
        <v>9.0</v>
      </c>
      <c r="D55" s="4">
        <v>49.1905732201735</v>
      </c>
      <c r="E55" s="4">
        <v>-2.0933353558689</v>
      </c>
      <c r="F55" s="3" t="s">
        <v>14</v>
      </c>
      <c r="G55" s="3" t="s">
        <v>15</v>
      </c>
      <c r="H55" s="5"/>
      <c r="I55" s="7"/>
      <c r="J55" s="7" t="str">
        <f>IFERROR(__xludf.DUMMYFUNCTION("IF(AND(REGEXMATCH($H55,""50( ?['fF]([oO]{2})?[tT]?)?( ?[eE][rR]{2}[oO][rR])"")=FALSE,$H55&lt;&gt;"""",$I55&lt;&gt;""""),HYPERLINK(""https://www.munzee.com/m/""&amp;$H55&amp;""/""&amp;$I55&amp;""/map/?lat=""&amp;$D55&amp;""&amp;lon=""&amp;$E55&amp;""&amp;type=""&amp;$G55&amp;""&amp;name=""&amp;SUBSTITUTE($A55,""#"",""%23"""&amp;"),$H55&amp;""/""&amp;$I55),IF($H55&lt;&gt;"""",IF(REGEXMATCH($H55,""50( ?['fF]([oO]{2})?[tT]?)?( ?[eE][rR]{2}[oO][rR])""),HYPERLINK(""https://www.munzee.com/map/?sandbox=1&amp;lat=""&amp;$D55&amp;""&amp;lon=""&amp;$E55&amp;""&amp;name=""&amp;SUBSTITUTE($A55,""#"",""%23""),""SANDBOX""),HYPERLINK(""htt"&amp;"ps://www.munzee.com/m/""&amp;$H55&amp;""/deploys/0/type/""&amp;IFNA(VLOOKUP($G55,IMPORTRANGE(""https://docs.google.com/spreadsheets/d/1DliIGyDywdzxhd4svtjaewR0p9Y5UBTMNMQ2PcXsqss"",""type data!E2:F""),2,FALSE),$G55)&amp;""/"",$H55)),""""))"),"")</f>
        <v/>
      </c>
      <c r="K55" s="7" t="b">
        <v>0</v>
      </c>
      <c r="L55" s="7"/>
      <c r="M55" s="7" t="str">
        <f t="shared" si="1"/>
        <v/>
      </c>
    </row>
    <row r="56">
      <c r="A56" s="3" t="s">
        <v>115</v>
      </c>
      <c r="B56" s="3">
        <v>5.0</v>
      </c>
      <c r="C56" s="3">
        <v>10.0</v>
      </c>
      <c r="D56" s="4">
        <v>49.1904715872964</v>
      </c>
      <c r="E56" s="4">
        <v>-2.0931798462381</v>
      </c>
      <c r="F56" s="3" t="s">
        <v>69</v>
      </c>
      <c r="G56" s="3" t="s">
        <v>70</v>
      </c>
      <c r="H56" s="5"/>
      <c r="I56" s="5"/>
      <c r="J56" s="7" t="str">
        <f>IFERROR(__xludf.DUMMYFUNCTION("IF(AND(REGEXMATCH($H56,""50( ?['fF]([oO]{2})?[tT]?)?( ?[eE][rR]{2}[oO][rR])"")=FALSE,$H56&lt;&gt;"""",$I56&lt;&gt;""""),HYPERLINK(""https://www.munzee.com/m/""&amp;$H56&amp;""/""&amp;$I56&amp;""/map/?lat=""&amp;$D56&amp;""&amp;lon=""&amp;$E56&amp;""&amp;type=""&amp;$G56&amp;""&amp;name=""&amp;SUBSTITUTE($A56,""#"",""%23"""&amp;"),$H56&amp;""/""&amp;$I56),IF($H56&lt;&gt;"""",IF(REGEXMATCH($H56,""50( ?['fF]([oO]{2})?[tT]?)?( ?[eE][rR]{2}[oO][rR])""),HYPERLINK(""https://www.munzee.com/map/?sandbox=1&amp;lat=""&amp;$D56&amp;""&amp;lon=""&amp;$E56&amp;""&amp;name=""&amp;SUBSTITUTE($A56,""#"",""%23""),""SANDBOX""),HYPERLINK(""htt"&amp;"ps://www.munzee.com/m/""&amp;$H56&amp;""/deploys/0/type/""&amp;IFNA(VLOOKUP($G56,IMPORTRANGE(""https://docs.google.com/spreadsheets/d/1DliIGyDywdzxhd4svtjaewR0p9Y5UBTMNMQ2PcXsqss"",""type data!E2:F""),2,FALSE),$G56)&amp;""/"",$H56)),""""))"),"")</f>
        <v/>
      </c>
      <c r="K56" s="7" t="b">
        <v>0</v>
      </c>
      <c r="L56" s="7"/>
      <c r="M56" s="7" t="str">
        <f t="shared" si="1"/>
        <v/>
      </c>
    </row>
    <row r="57">
      <c r="A57" s="3" t="s">
        <v>116</v>
      </c>
      <c r="B57" s="3">
        <v>5.0</v>
      </c>
      <c r="C57" s="3">
        <v>11.0</v>
      </c>
      <c r="D57" s="4">
        <v>49.1903699544194</v>
      </c>
      <c r="E57" s="4">
        <v>-2.0930243369266</v>
      </c>
      <c r="F57" s="3" t="s">
        <v>69</v>
      </c>
      <c r="G57" s="3" t="s">
        <v>70</v>
      </c>
      <c r="H57" s="5"/>
      <c r="I57" s="5"/>
      <c r="J57" s="7" t="str">
        <f>IFERROR(__xludf.DUMMYFUNCTION("IF(AND(REGEXMATCH($H57,""50( ?['fF]([oO]{2})?[tT]?)?( ?[eE][rR]{2}[oO][rR])"")=FALSE,$H57&lt;&gt;"""",$I57&lt;&gt;""""),HYPERLINK(""https://www.munzee.com/m/""&amp;$H57&amp;""/""&amp;$I57&amp;""/map/?lat=""&amp;$D57&amp;""&amp;lon=""&amp;$E57&amp;""&amp;type=""&amp;$G57&amp;""&amp;name=""&amp;SUBSTITUTE($A57,""#"",""%23"""&amp;"),$H57&amp;""/""&amp;$I57),IF($H57&lt;&gt;"""",IF(REGEXMATCH($H57,""50( ?['fF]([oO]{2})?[tT]?)?( ?[eE][rR]{2}[oO][rR])""),HYPERLINK(""https://www.munzee.com/map/?sandbox=1&amp;lat=""&amp;$D57&amp;""&amp;lon=""&amp;$E57&amp;""&amp;name=""&amp;SUBSTITUTE($A57,""#"",""%23""),""SANDBOX""),HYPERLINK(""htt"&amp;"ps://www.munzee.com/m/""&amp;$H57&amp;""/deploys/0/type/""&amp;IFNA(VLOOKUP($G57,IMPORTRANGE(""https://docs.google.com/spreadsheets/d/1DliIGyDywdzxhd4svtjaewR0p9Y5UBTMNMQ2PcXsqss"",""type data!E2:F""),2,FALSE),$G57)&amp;""/"",$H57)),""""))"),"")</f>
        <v/>
      </c>
      <c r="K57" s="7" t="b">
        <v>0</v>
      </c>
      <c r="L57" s="5"/>
      <c r="M57" s="7" t="str">
        <f t="shared" si="1"/>
        <v/>
      </c>
    </row>
    <row r="58">
      <c r="A58" s="3" t="s">
        <v>117</v>
      </c>
      <c r="B58" s="3">
        <v>5.0</v>
      </c>
      <c r="C58" s="3">
        <v>12.0</v>
      </c>
      <c r="D58" s="4">
        <v>49.1902683215423</v>
      </c>
      <c r="E58" s="4">
        <v>-2.0928688279347</v>
      </c>
      <c r="F58" s="3" t="s">
        <v>69</v>
      </c>
      <c r="G58" s="3" t="s">
        <v>70</v>
      </c>
      <c r="H58" s="5"/>
      <c r="I58" s="7"/>
      <c r="J58" s="7" t="str">
        <f>IFERROR(__xludf.DUMMYFUNCTION("IF(AND(REGEXMATCH($H58,""50( ?['fF]([oO]{2})?[tT]?)?( ?[eE][rR]{2}[oO][rR])"")=FALSE,$H58&lt;&gt;"""",$I58&lt;&gt;""""),HYPERLINK(""https://www.munzee.com/m/""&amp;$H58&amp;""/""&amp;$I58&amp;""/map/?lat=""&amp;$D58&amp;""&amp;lon=""&amp;$E58&amp;""&amp;type=""&amp;$G58&amp;""&amp;name=""&amp;SUBSTITUTE($A58,""#"",""%23"""&amp;"),$H58&amp;""/""&amp;$I58),IF($H58&lt;&gt;"""",IF(REGEXMATCH($H58,""50( ?['fF]([oO]{2})?[tT]?)?( ?[eE][rR]{2}[oO][rR])""),HYPERLINK(""https://www.munzee.com/map/?sandbox=1&amp;lat=""&amp;$D58&amp;""&amp;lon=""&amp;$E58&amp;""&amp;name=""&amp;SUBSTITUTE($A58,""#"",""%23""),""SANDBOX""),HYPERLINK(""htt"&amp;"ps://www.munzee.com/m/""&amp;$H58&amp;""/deploys/0/type/""&amp;IFNA(VLOOKUP($G58,IMPORTRANGE(""https://docs.google.com/spreadsheets/d/1DliIGyDywdzxhd4svtjaewR0p9Y5UBTMNMQ2PcXsqss"",""type data!E2:F""),2,FALSE),$G58)&amp;""/"",$H58)),""""))"),"")</f>
        <v/>
      </c>
      <c r="K58" s="7" t="b">
        <v>0</v>
      </c>
      <c r="L58" s="7"/>
      <c r="M58" s="7" t="str">
        <f t="shared" si="1"/>
        <v/>
      </c>
    </row>
    <row r="59">
      <c r="A59" s="3" t="s">
        <v>118</v>
      </c>
      <c r="B59" s="3">
        <v>5.0</v>
      </c>
      <c r="C59" s="3">
        <v>13.0</v>
      </c>
      <c r="D59" s="4">
        <v>49.1901666886653</v>
      </c>
      <c r="E59" s="4">
        <v>-2.0927133192622</v>
      </c>
      <c r="F59" s="3" t="s">
        <v>119</v>
      </c>
      <c r="G59" s="3" t="s">
        <v>120</v>
      </c>
      <c r="H59" s="5" t="s">
        <v>21</v>
      </c>
      <c r="I59" s="5">
        <v>10307.0</v>
      </c>
      <c r="J59" s="6" t="str">
        <f>IFERROR(__xludf.DUMMYFUNCTION("IF(AND(REGEXMATCH($H59,""50( ?['fF]([oO]{2})?[tT]?)?( ?[eE][rR]{2}[oO][rR])"")=FALSE,$H59&lt;&gt;"""",$I59&lt;&gt;""""),HYPERLINK(""https://www.munzee.com/m/""&amp;$H59&amp;""/""&amp;$I59&amp;""/map/?lat=""&amp;$D59&amp;""&amp;lon=""&amp;$E59&amp;""&amp;type=""&amp;$G59&amp;""&amp;name=""&amp;SUBSTITUTE($A59,""#"",""%23"""&amp;"),$H59&amp;""/""&amp;$I59),IF($H59&lt;&gt;"""",IF(REGEXMATCH($H59,""50( ?['fF]([oO]{2})?[tT]?)?( ?[eE][rR]{2}[oO][rR])""),HYPERLINK(""https://www.munzee.com/map/?sandbox=1&amp;lat=""&amp;$D59&amp;""&amp;lon=""&amp;$E59&amp;""&amp;name=""&amp;SUBSTITUTE($A59,""#"",""%23""),""SANDBOX""),HYPERLINK(""htt"&amp;"ps://www.munzee.com/m/""&amp;$H59&amp;""/deploys/0/type/""&amp;IFNA(VLOOKUP($G59,IMPORTRANGE(""https://docs.google.com/spreadsheets/d/1DliIGyDywdzxhd4svtjaewR0p9Y5UBTMNMQ2PcXsqss"",""type data!E2:F""),2,FALSE),$G59)&amp;""/"",$H59)),""""))"),"Sportytaxi /10307")</f>
        <v>Sportytaxi /10307</v>
      </c>
      <c r="K59" s="5" t="b">
        <v>1</v>
      </c>
      <c r="L59" s="7"/>
      <c r="M59" s="7">
        <f t="shared" si="1"/>
        <v>3</v>
      </c>
    </row>
    <row r="60">
      <c r="A60" s="3" t="s">
        <v>121</v>
      </c>
      <c r="B60" s="3">
        <v>5.0</v>
      </c>
      <c r="C60" s="3">
        <v>14.0</v>
      </c>
      <c r="D60" s="4">
        <v>49.1900650557883</v>
      </c>
      <c r="E60" s="4">
        <v>-2.0925578109092</v>
      </c>
      <c r="F60" s="3" t="s">
        <v>122</v>
      </c>
      <c r="G60" s="3" t="s">
        <v>123</v>
      </c>
      <c r="H60" s="5" t="s">
        <v>124</v>
      </c>
      <c r="I60" s="13">
        <v>3868.0</v>
      </c>
      <c r="J60" s="6" t="str">
        <f>IFERROR(__xludf.DUMMYFUNCTION("IF(AND(REGEXMATCH($H60,""50( ?['fF]([oO]{2})?[tT]?)?( ?[eE][rR]{2}[oO][rR])"")=FALSE,$H60&lt;&gt;"""",$I60&lt;&gt;""""),HYPERLINK(""https://www.munzee.com/m/""&amp;$H60&amp;""/""&amp;$I60&amp;""/map/?lat=""&amp;$D60&amp;""&amp;lon=""&amp;$E60&amp;""&amp;type=""&amp;$G60&amp;""&amp;name=""&amp;SUBSTITUTE($A60,""#"",""%23"""&amp;"),$H60&amp;""/""&amp;$I60),IF($H60&lt;&gt;"""",IF(REGEXMATCH($H60,""50( ?['fF]([oO]{2})?[tT]?)?( ?[eE][rR]{2}[oO][rR])""),HYPERLINK(""https://www.munzee.com/map/?sandbox=1&amp;lat=""&amp;$D60&amp;""&amp;lon=""&amp;$E60&amp;""&amp;name=""&amp;SUBSTITUTE($A60,""#"",""%23""),""SANDBOX""),HYPERLINK(""htt"&amp;"ps://www.munzee.com/m/""&amp;$H60&amp;""/deploys/0/type/""&amp;IFNA(VLOOKUP($G60,IMPORTRANGE(""https://docs.google.com/spreadsheets/d/1DliIGyDywdzxhd4svtjaewR0p9Y5UBTMNMQ2PcXsqss"",""type data!E2:F""),2,FALSE),$G60)&amp;""/"",$H60)),""""))"),"theirishduo/3868")</f>
        <v>theirishduo/3868</v>
      </c>
      <c r="K60" s="5" t="b">
        <v>1</v>
      </c>
      <c r="L60" s="7"/>
      <c r="M60" s="7">
        <f t="shared" si="1"/>
        <v>1</v>
      </c>
    </row>
    <row r="61">
      <c r="A61" s="3" t="s">
        <v>125</v>
      </c>
      <c r="B61" s="3">
        <v>5.0</v>
      </c>
      <c r="C61" s="3">
        <v>15.0</v>
      </c>
      <c r="D61" s="4">
        <v>49.1899634229112</v>
      </c>
      <c r="E61" s="4">
        <v>-2.0924023028756</v>
      </c>
      <c r="F61" s="3" t="s">
        <v>122</v>
      </c>
      <c r="G61" s="3" t="s">
        <v>123</v>
      </c>
      <c r="H61" s="5" t="s">
        <v>29</v>
      </c>
      <c r="I61" s="3">
        <v>341.0</v>
      </c>
      <c r="J61" s="6" t="str">
        <f>IFERROR(__xludf.DUMMYFUNCTION("IF(AND(REGEXMATCH($H61,""50( ?['fF]([oO]{2})?[tT]?)?( ?[eE][rR]{2}[oO][rR])"")=FALSE,$H61&lt;&gt;"""",$I61&lt;&gt;""""),HYPERLINK(""https://www.munzee.com/m/""&amp;$H61&amp;""/""&amp;$I61&amp;""/map/?lat=""&amp;$D61&amp;""&amp;lon=""&amp;$E61&amp;""&amp;type=""&amp;$G61&amp;""&amp;name=""&amp;SUBSTITUTE($A61,""#"",""%23"""&amp;"),$H61&amp;""/""&amp;$I61),IF($H61&lt;&gt;"""",IF(REGEXMATCH($H61,""50( ?['fF]([oO]{2})?[tT]?)?( ?[eE][rR]{2}[oO][rR])""),HYPERLINK(""https://www.munzee.com/map/?sandbox=1&amp;lat=""&amp;$D61&amp;""&amp;lon=""&amp;$E61&amp;""&amp;name=""&amp;SUBSTITUTE($A61,""#"",""%23""),""SANDBOX""),HYPERLINK(""htt"&amp;"ps://www.munzee.com/m/""&amp;$H61&amp;""/deploys/0/type/""&amp;IFNA(VLOOKUP($G61,IMPORTRANGE(""https://docs.google.com/spreadsheets/d/1DliIGyDywdzxhd4svtjaewR0p9Y5UBTMNMQ2PcXsqss"",""type data!E2:F""),2,FALSE),$G61)&amp;""/"",$H61)),""""))"),"JemmaJ1983/341")</f>
        <v>JemmaJ1983/341</v>
      </c>
      <c r="K61" s="5" t="b">
        <v>1</v>
      </c>
      <c r="L61" s="7"/>
      <c r="M61" s="7">
        <f t="shared" si="1"/>
        <v>2</v>
      </c>
    </row>
    <row r="62">
      <c r="A62" s="3" t="s">
        <v>126</v>
      </c>
      <c r="B62" s="3">
        <v>5.0</v>
      </c>
      <c r="C62" s="3">
        <v>16.0</v>
      </c>
      <c r="D62" s="4">
        <v>49.1898617900342</v>
      </c>
      <c r="E62" s="4">
        <v>-2.0922467951614</v>
      </c>
      <c r="F62" s="3" t="s">
        <v>127</v>
      </c>
      <c r="G62" s="3" t="s">
        <v>128</v>
      </c>
      <c r="H62" s="5" t="s">
        <v>41</v>
      </c>
      <c r="I62" s="5">
        <v>150.0</v>
      </c>
      <c r="J62" s="6" t="str">
        <f>IFERROR(__xludf.DUMMYFUNCTION("IF(AND(REGEXMATCH($H62,""50( ?['fF]([oO]{2})?[tT]?)?( ?[eE][rR]{2}[oO][rR])"")=FALSE,$H62&lt;&gt;"""",$I62&lt;&gt;""""),HYPERLINK(""https://www.munzee.com/m/""&amp;$H62&amp;""/""&amp;$I62&amp;""/map/?lat=""&amp;$D62&amp;""&amp;lon=""&amp;$E62&amp;""&amp;type=""&amp;$G62&amp;""&amp;name=""&amp;SUBSTITUTE($A62,""#"",""%23"""&amp;"),$H62&amp;""/""&amp;$I62),IF($H62&lt;&gt;"""",IF(REGEXMATCH($H62,""50( ?['fF]([oO]{2})?[tT]?)?( ?[eE][rR]{2}[oO][rR])""),HYPERLINK(""https://www.munzee.com/map/?sandbox=1&amp;lat=""&amp;$D62&amp;""&amp;lon=""&amp;$E62&amp;""&amp;name=""&amp;SUBSTITUTE($A62,""#"",""%23""),""SANDBOX""),HYPERLINK(""htt"&amp;"ps://www.munzee.com/m/""&amp;$H62&amp;""/deploys/0/type/""&amp;IFNA(VLOOKUP($G62,IMPORTRANGE(""https://docs.google.com/spreadsheets/d/1DliIGyDywdzxhd4svtjaewR0p9Y5UBTMNMQ2PcXsqss"",""type data!E2:F""),2,FALSE),$G62)&amp;""/"",$H62)),""""))"),"olliekins/150")</f>
        <v>olliekins/150</v>
      </c>
      <c r="K62" s="5" t="b">
        <v>0</v>
      </c>
      <c r="L62" s="5" t="s">
        <v>129</v>
      </c>
      <c r="M62" s="7">
        <f t="shared" si="1"/>
        <v>3</v>
      </c>
    </row>
    <row r="63">
      <c r="A63" s="3" t="s">
        <v>130</v>
      </c>
      <c r="B63" s="3">
        <v>5.0</v>
      </c>
      <c r="C63" s="3">
        <v>18.0</v>
      </c>
      <c r="D63" s="4">
        <v>49.1896585242801</v>
      </c>
      <c r="E63" s="4">
        <v>-2.0919357806913</v>
      </c>
      <c r="F63" s="3" t="s">
        <v>127</v>
      </c>
      <c r="G63" s="3" t="s">
        <v>128</v>
      </c>
      <c r="H63" s="5" t="s">
        <v>55</v>
      </c>
      <c r="I63" s="5">
        <v>614.0</v>
      </c>
      <c r="J63" s="6" t="str">
        <f>IFERROR(__xludf.DUMMYFUNCTION("IF(AND(REGEXMATCH($H63,""50( ?['fF]([oO]{2})?[tT]?)?( ?[eE][rR]{2}[oO][rR])"")=FALSE,$H63&lt;&gt;"""",$I63&lt;&gt;""""),HYPERLINK(""https://www.munzee.com/m/""&amp;$H63&amp;""/""&amp;$I63&amp;""/map/?lat=""&amp;$D63&amp;""&amp;lon=""&amp;$E63&amp;""&amp;type=""&amp;$G63&amp;""&amp;name=""&amp;SUBSTITUTE($A63,""#"",""%23"""&amp;"),$H63&amp;""/""&amp;$I63),IF($H63&lt;&gt;"""",IF(REGEXMATCH($H63,""50( ?['fF]([oO]{2})?[tT]?)?( ?[eE][rR]{2}[oO][rR])""),HYPERLINK(""https://www.munzee.com/map/?sandbox=1&amp;lat=""&amp;$D63&amp;""&amp;lon=""&amp;$E63&amp;""&amp;name=""&amp;SUBSTITUTE($A63,""#"",""%23""),""SANDBOX""),HYPERLINK(""htt"&amp;"ps://www.munzee.com/m/""&amp;$H63&amp;""/deploys/0/type/""&amp;IFNA(VLOOKUP($G63,IMPORTRANGE(""https://docs.google.com/spreadsheets/d/1DliIGyDywdzxhd4svtjaewR0p9Y5UBTMNMQ2PcXsqss"",""type data!E2:F""),2,FALSE),$G63)&amp;""/"",$H63)),""""))"),"Miaiow/614")</f>
        <v>Miaiow/614</v>
      </c>
      <c r="K63" s="5" t="b">
        <v>1</v>
      </c>
      <c r="L63" s="7"/>
      <c r="M63" s="7">
        <f t="shared" si="1"/>
        <v>7</v>
      </c>
    </row>
    <row r="64">
      <c r="A64" s="3" t="s">
        <v>131</v>
      </c>
      <c r="B64" s="3">
        <v>5.0</v>
      </c>
      <c r="C64" s="3">
        <v>19.0</v>
      </c>
      <c r="D64" s="4">
        <v>49.189556891403</v>
      </c>
      <c r="E64" s="4">
        <v>-2.0917802739355</v>
      </c>
      <c r="F64" s="3" t="s">
        <v>69</v>
      </c>
      <c r="G64" s="3" t="s">
        <v>70</v>
      </c>
      <c r="H64" s="5" t="s">
        <v>19</v>
      </c>
      <c r="I64" s="5">
        <v>9134.0</v>
      </c>
      <c r="J64" s="6" t="str">
        <f>IFERROR(__xludf.DUMMYFUNCTION("IF(AND(REGEXMATCH($H64,""50( ?['fF]([oO]{2})?[tT]?)?( ?[eE][rR]{2}[oO][rR])"")=FALSE,$H64&lt;&gt;"""",$I64&lt;&gt;""""),HYPERLINK(""https://www.munzee.com/m/""&amp;$H64&amp;""/""&amp;$I64&amp;""/map/?lat=""&amp;$D64&amp;""&amp;lon=""&amp;$E64&amp;""&amp;type=""&amp;$G64&amp;""&amp;name=""&amp;SUBSTITUTE($A64,""#"",""%23"""&amp;"),$H64&amp;""/""&amp;$I64),IF($H64&lt;&gt;"""",IF(REGEXMATCH($H64,""50( ?['fF]([oO]{2})?[tT]?)?( ?[eE][rR]{2}[oO][rR])""),HYPERLINK(""https://www.munzee.com/map/?sandbox=1&amp;lat=""&amp;$D64&amp;""&amp;lon=""&amp;$E64&amp;""&amp;name=""&amp;SUBSTITUTE($A64,""#"",""%23""),""SANDBOX""),HYPERLINK(""htt"&amp;"ps://www.munzee.com/m/""&amp;$H64&amp;""/deploys/0/type/""&amp;IFNA(VLOOKUP($G64,IMPORTRANGE(""https://docs.google.com/spreadsheets/d/1DliIGyDywdzxhd4svtjaewR0p9Y5UBTMNMQ2PcXsqss"",""type data!E2:F""),2,FALSE),$G64)&amp;""/"",$H64)),""""))"),"georeyna/9134")</f>
        <v>georeyna/9134</v>
      </c>
      <c r="K64" s="5" t="b">
        <v>1</v>
      </c>
      <c r="L64" s="7"/>
      <c r="M64" s="7">
        <f t="shared" si="1"/>
        <v>2</v>
      </c>
    </row>
    <row r="65">
      <c r="A65" s="3" t="s">
        <v>132</v>
      </c>
      <c r="B65" s="3">
        <v>5.0</v>
      </c>
      <c r="C65" s="3">
        <v>20.0</v>
      </c>
      <c r="D65" s="4">
        <v>49.189455258526</v>
      </c>
      <c r="E65" s="4">
        <v>-2.0916247674991</v>
      </c>
      <c r="F65" s="3" t="s">
        <v>69</v>
      </c>
      <c r="G65" s="3" t="s">
        <v>70</v>
      </c>
      <c r="H65" s="5"/>
      <c r="I65" s="7"/>
      <c r="J65" s="7" t="str">
        <f>IFERROR(__xludf.DUMMYFUNCTION("IF(AND(REGEXMATCH($H65,""50( ?['fF]([oO]{2})?[tT]?)?( ?[eE][rR]{2}[oO][rR])"")=FALSE,$H65&lt;&gt;"""",$I65&lt;&gt;""""),HYPERLINK(""https://www.munzee.com/m/""&amp;$H65&amp;""/""&amp;$I65&amp;""/map/?lat=""&amp;$D65&amp;""&amp;lon=""&amp;$E65&amp;""&amp;type=""&amp;$G65&amp;""&amp;name=""&amp;SUBSTITUTE($A65,""#"",""%23"""&amp;"),$H65&amp;""/""&amp;$I65),IF($H65&lt;&gt;"""",IF(REGEXMATCH($H65,""50( ?['fF]([oO]{2})?[tT]?)?( ?[eE][rR]{2}[oO][rR])""),HYPERLINK(""https://www.munzee.com/map/?sandbox=1&amp;lat=""&amp;$D65&amp;""&amp;lon=""&amp;$E65&amp;""&amp;name=""&amp;SUBSTITUTE($A65,""#"",""%23""),""SANDBOX""),HYPERLINK(""htt"&amp;"ps://www.munzee.com/m/""&amp;$H65&amp;""/deploys/0/type/""&amp;IFNA(VLOOKUP($G65,IMPORTRANGE(""https://docs.google.com/spreadsheets/d/1DliIGyDywdzxhd4svtjaewR0p9Y5UBTMNMQ2PcXsqss"",""type data!E2:F""),2,FALSE),$G65)&amp;""/"",$H65)),""""))"),"")</f>
        <v/>
      </c>
      <c r="K65" s="7" t="b">
        <v>0</v>
      </c>
      <c r="L65" s="7"/>
      <c r="M65" s="7" t="str">
        <f t="shared" si="1"/>
        <v/>
      </c>
    </row>
    <row r="66">
      <c r="A66" s="3" t="s">
        <v>133</v>
      </c>
      <c r="B66" s="3">
        <v>5.0</v>
      </c>
      <c r="C66" s="3">
        <v>21.0</v>
      </c>
      <c r="D66" s="4">
        <v>49.189353625649</v>
      </c>
      <c r="E66" s="4">
        <v>-2.0914692613821</v>
      </c>
      <c r="F66" s="3" t="s">
        <v>69</v>
      </c>
      <c r="G66" s="3" t="s">
        <v>70</v>
      </c>
      <c r="H66" s="5"/>
      <c r="I66" s="5"/>
      <c r="J66" s="7" t="str">
        <f>IFERROR(__xludf.DUMMYFUNCTION("IF(AND(REGEXMATCH($H66,""50( ?['fF]([oO]{2})?[tT]?)?( ?[eE][rR]{2}[oO][rR])"")=FALSE,$H66&lt;&gt;"""",$I66&lt;&gt;""""),HYPERLINK(""https://www.munzee.com/m/""&amp;$H66&amp;""/""&amp;$I66&amp;""/map/?lat=""&amp;$D66&amp;""&amp;lon=""&amp;$E66&amp;""&amp;type=""&amp;$G66&amp;""&amp;name=""&amp;SUBSTITUTE($A66,""#"",""%23"""&amp;"),$H66&amp;""/""&amp;$I66),IF($H66&lt;&gt;"""",IF(REGEXMATCH($H66,""50( ?['fF]([oO]{2})?[tT]?)?( ?[eE][rR]{2}[oO][rR])""),HYPERLINK(""https://www.munzee.com/map/?sandbox=1&amp;lat=""&amp;$D66&amp;""&amp;lon=""&amp;$E66&amp;""&amp;name=""&amp;SUBSTITUTE($A66,""#"",""%23""),""SANDBOX""),HYPERLINK(""htt"&amp;"ps://www.munzee.com/m/""&amp;$H66&amp;""/deploys/0/type/""&amp;IFNA(VLOOKUP($G66,IMPORTRANGE(""https://docs.google.com/spreadsheets/d/1DliIGyDywdzxhd4svtjaewR0p9Y5UBTMNMQ2PcXsqss"",""type data!E2:F""),2,FALSE),$G66)&amp;""/"",$H66)),""""))"),"")</f>
        <v/>
      </c>
      <c r="K66" s="7" t="b">
        <v>0</v>
      </c>
      <c r="L66" s="7"/>
      <c r="M66" s="7" t="str">
        <f t="shared" si="1"/>
        <v/>
      </c>
    </row>
    <row r="67">
      <c r="A67" s="3" t="s">
        <v>134</v>
      </c>
      <c r="B67" s="3">
        <v>5.0</v>
      </c>
      <c r="C67" s="3">
        <v>22.0</v>
      </c>
      <c r="D67" s="4">
        <v>49.1892519927719</v>
      </c>
      <c r="E67" s="4">
        <v>-2.0913137555847</v>
      </c>
      <c r="F67" s="3" t="s">
        <v>69</v>
      </c>
      <c r="G67" s="3" t="s">
        <v>70</v>
      </c>
      <c r="H67" s="5"/>
      <c r="I67" s="5"/>
      <c r="J67" s="7" t="str">
        <f>IFERROR(__xludf.DUMMYFUNCTION("IF(AND(REGEXMATCH($H67,""50( ?['fF]([oO]{2})?[tT]?)?( ?[eE][rR]{2}[oO][rR])"")=FALSE,$H67&lt;&gt;"""",$I67&lt;&gt;""""),HYPERLINK(""https://www.munzee.com/m/""&amp;$H67&amp;""/""&amp;$I67&amp;""/map/?lat=""&amp;$D67&amp;""&amp;lon=""&amp;$E67&amp;""&amp;type=""&amp;$G67&amp;""&amp;name=""&amp;SUBSTITUTE($A67,""#"",""%23"""&amp;"),$H67&amp;""/""&amp;$I67),IF($H67&lt;&gt;"""",IF(REGEXMATCH($H67,""50( ?['fF]([oO]{2})?[tT]?)?( ?[eE][rR]{2}[oO][rR])""),HYPERLINK(""https://www.munzee.com/map/?sandbox=1&amp;lat=""&amp;$D67&amp;""&amp;lon=""&amp;$E67&amp;""&amp;name=""&amp;SUBSTITUTE($A67,""#"",""%23""),""SANDBOX""),HYPERLINK(""htt"&amp;"ps://www.munzee.com/m/""&amp;$H67&amp;""/deploys/0/type/""&amp;IFNA(VLOOKUP($G67,IMPORTRANGE(""https://docs.google.com/spreadsheets/d/1DliIGyDywdzxhd4svtjaewR0p9Y5UBTMNMQ2PcXsqss"",""type data!E2:F""),2,FALSE),$G67)&amp;""/"",$H67)),""""))"),"")</f>
        <v/>
      </c>
      <c r="K67" s="7" t="b">
        <v>0</v>
      </c>
      <c r="L67" s="7"/>
      <c r="M67" s="7" t="str">
        <f t="shared" si="1"/>
        <v/>
      </c>
    </row>
    <row r="68">
      <c r="A68" s="3" t="s">
        <v>135</v>
      </c>
      <c r="B68" s="3">
        <v>5.0</v>
      </c>
      <c r="C68" s="3">
        <v>23.0</v>
      </c>
      <c r="D68" s="4">
        <v>49.1891503598949</v>
      </c>
      <c r="E68" s="4">
        <v>-2.0911582501067</v>
      </c>
      <c r="F68" s="3" t="s">
        <v>69</v>
      </c>
      <c r="G68" s="3" t="s">
        <v>70</v>
      </c>
      <c r="H68" s="5"/>
      <c r="I68" s="5"/>
      <c r="J68" s="7" t="str">
        <f>IFERROR(__xludf.DUMMYFUNCTION("IF(AND(REGEXMATCH($H68,""50( ?['fF]([oO]{2})?[tT]?)?( ?[eE][rR]{2}[oO][rR])"")=FALSE,$H68&lt;&gt;"""",$I68&lt;&gt;""""),HYPERLINK(""https://www.munzee.com/m/""&amp;$H68&amp;""/""&amp;$I68&amp;""/map/?lat=""&amp;$D68&amp;""&amp;lon=""&amp;$E68&amp;""&amp;type=""&amp;$G68&amp;""&amp;name=""&amp;SUBSTITUTE($A68,""#"",""%23"""&amp;"),$H68&amp;""/""&amp;$I68),IF($H68&lt;&gt;"""",IF(REGEXMATCH($H68,""50( ?['fF]([oO]{2})?[tT]?)?( ?[eE][rR]{2}[oO][rR])""),HYPERLINK(""https://www.munzee.com/map/?sandbox=1&amp;lat=""&amp;$D68&amp;""&amp;lon=""&amp;$E68&amp;""&amp;name=""&amp;SUBSTITUTE($A68,""#"",""%23""),""SANDBOX""),HYPERLINK(""htt"&amp;"ps://www.munzee.com/m/""&amp;$H68&amp;""/deploys/0/type/""&amp;IFNA(VLOOKUP($G68,IMPORTRANGE(""https://docs.google.com/spreadsheets/d/1DliIGyDywdzxhd4svtjaewR0p9Y5UBTMNMQ2PcXsqss"",""type data!E2:F""),2,FALSE),$G68)&amp;""/"",$H68)),""""))"),"")</f>
        <v/>
      </c>
      <c r="K68" s="7" t="b">
        <v>0</v>
      </c>
      <c r="L68" s="8"/>
      <c r="M68" s="7" t="str">
        <f t="shared" si="1"/>
        <v/>
      </c>
    </row>
    <row r="69">
      <c r="A69" s="3" t="s">
        <v>136</v>
      </c>
      <c r="B69" s="3">
        <v>5.0</v>
      </c>
      <c r="C69" s="3">
        <v>24.0</v>
      </c>
      <c r="D69" s="4">
        <v>49.1890487270179</v>
      </c>
      <c r="E69" s="4">
        <v>-2.0910027449481</v>
      </c>
      <c r="F69" s="3" t="s">
        <v>14</v>
      </c>
      <c r="G69" s="3" t="s">
        <v>15</v>
      </c>
      <c r="H69" s="5"/>
      <c r="I69" s="5"/>
      <c r="J69" s="7" t="str">
        <f>IFERROR(__xludf.DUMMYFUNCTION("IF(AND(REGEXMATCH($H69,""50( ?['fF]([oO]{2})?[tT]?)?( ?[eE][rR]{2}[oO][rR])"")=FALSE,$H69&lt;&gt;"""",$I69&lt;&gt;""""),HYPERLINK(""https://www.munzee.com/m/""&amp;$H69&amp;""/""&amp;$I69&amp;""/map/?lat=""&amp;$D69&amp;""&amp;lon=""&amp;$E69&amp;""&amp;type=""&amp;$G69&amp;""&amp;name=""&amp;SUBSTITUTE($A69,""#"",""%23"""&amp;"),$H69&amp;""/""&amp;$I69),IF($H69&lt;&gt;"""",IF(REGEXMATCH($H69,""50( ?['fF]([oO]{2})?[tT]?)?( ?[eE][rR]{2}[oO][rR])""),HYPERLINK(""https://www.munzee.com/map/?sandbox=1&amp;lat=""&amp;$D69&amp;""&amp;lon=""&amp;$E69&amp;""&amp;name=""&amp;SUBSTITUTE($A69,""#"",""%23""),""SANDBOX""),HYPERLINK(""htt"&amp;"ps://www.munzee.com/m/""&amp;$H69&amp;""/deploys/0/type/""&amp;IFNA(VLOOKUP($G69,IMPORTRANGE(""https://docs.google.com/spreadsheets/d/1DliIGyDywdzxhd4svtjaewR0p9Y5UBTMNMQ2PcXsqss"",""type data!E2:F""),2,FALSE),$G69)&amp;""/"",$H69)),""""))"),"")</f>
        <v/>
      </c>
      <c r="K69" s="7" t="b">
        <v>0</v>
      </c>
      <c r="L69" s="8"/>
      <c r="M69" s="7" t="str">
        <f t="shared" si="1"/>
        <v/>
      </c>
    </row>
    <row r="70">
      <c r="A70" s="3" t="s">
        <v>137</v>
      </c>
      <c r="B70" s="3">
        <v>6.0</v>
      </c>
      <c r="C70" s="3">
        <v>2.0</v>
      </c>
      <c r="D70" s="4">
        <v>49.1911830174357</v>
      </c>
      <c r="E70" s="4">
        <v>-2.0945794536824</v>
      </c>
      <c r="F70" s="3" t="s">
        <v>33</v>
      </c>
      <c r="G70" s="3" t="s">
        <v>34</v>
      </c>
      <c r="H70" s="5"/>
      <c r="I70" s="5"/>
      <c r="J70" s="7" t="str">
        <f>IFERROR(__xludf.DUMMYFUNCTION("IF(AND(REGEXMATCH($H70,""50( ?['fF]([oO]{2})?[tT]?)?( ?[eE][rR]{2}[oO][rR])"")=FALSE,$H70&lt;&gt;"""",$I70&lt;&gt;""""),HYPERLINK(""https://www.munzee.com/m/""&amp;$H70&amp;""/""&amp;$I70&amp;""/map/?lat=""&amp;$D70&amp;""&amp;lon=""&amp;$E70&amp;""&amp;type=""&amp;$G70&amp;""&amp;name=""&amp;SUBSTITUTE($A70,""#"",""%23"""&amp;"),$H70&amp;""/""&amp;$I70),IF($H70&lt;&gt;"""",IF(REGEXMATCH($H70,""50( ?['fF]([oO]{2})?[tT]?)?( ?[eE][rR]{2}[oO][rR])""),HYPERLINK(""https://www.munzee.com/map/?sandbox=1&amp;lat=""&amp;$D70&amp;""&amp;lon=""&amp;$E70&amp;""&amp;name=""&amp;SUBSTITUTE($A70,""#"",""%23""),""SANDBOX""),HYPERLINK(""htt"&amp;"ps://www.munzee.com/m/""&amp;$H70&amp;""/deploys/0/type/""&amp;IFNA(VLOOKUP($G70,IMPORTRANGE(""https://docs.google.com/spreadsheets/d/1DliIGyDywdzxhd4svtjaewR0p9Y5UBTMNMQ2PcXsqss"",""type data!E2:F""),2,FALSE),$G70)&amp;""/"",$H70)),""""))"),"")</f>
        <v/>
      </c>
      <c r="K70" s="7" t="b">
        <v>0</v>
      </c>
      <c r="L70" s="5"/>
      <c r="M70" s="7" t="str">
        <f t="shared" si="1"/>
        <v/>
      </c>
    </row>
    <row r="71">
      <c r="A71" s="3" t="s">
        <v>138</v>
      </c>
      <c r="B71" s="3">
        <v>6.0</v>
      </c>
      <c r="C71" s="3">
        <v>3.0</v>
      </c>
      <c r="D71" s="4">
        <v>49.1910813845587</v>
      </c>
      <c r="E71" s="4">
        <v>-2.0944239421347</v>
      </c>
      <c r="F71" s="3" t="s">
        <v>14</v>
      </c>
      <c r="G71" s="3" t="s">
        <v>15</v>
      </c>
      <c r="H71" s="5"/>
      <c r="I71" s="7"/>
      <c r="J71" s="7" t="str">
        <f>IFERROR(__xludf.DUMMYFUNCTION("IF(AND(REGEXMATCH($H71,""50( ?['fF]([oO]{2})?[tT]?)?( ?[eE][rR]{2}[oO][rR])"")=FALSE,$H71&lt;&gt;"""",$I71&lt;&gt;""""),HYPERLINK(""https://www.munzee.com/m/""&amp;$H71&amp;""/""&amp;$I71&amp;""/map/?lat=""&amp;$D71&amp;""&amp;lon=""&amp;$E71&amp;""&amp;type=""&amp;$G71&amp;""&amp;name=""&amp;SUBSTITUTE($A71,""#"",""%23"""&amp;"),$H71&amp;""/""&amp;$I71),IF($H71&lt;&gt;"""",IF(REGEXMATCH($H71,""50( ?['fF]([oO]{2})?[tT]?)?( ?[eE][rR]{2}[oO][rR])""),HYPERLINK(""https://www.munzee.com/map/?sandbox=1&amp;lat=""&amp;$D71&amp;""&amp;lon=""&amp;$E71&amp;""&amp;name=""&amp;SUBSTITUTE($A71,""#"",""%23""),""SANDBOX""),HYPERLINK(""htt"&amp;"ps://www.munzee.com/m/""&amp;$H71&amp;""/deploys/0/type/""&amp;IFNA(VLOOKUP($G71,IMPORTRANGE(""https://docs.google.com/spreadsheets/d/1DliIGyDywdzxhd4svtjaewR0p9Y5UBTMNMQ2PcXsqss"",""type data!E2:F""),2,FALSE),$G71)&amp;""/"",$H71)),""""))"),"")</f>
        <v/>
      </c>
      <c r="K71" s="7" t="b">
        <v>0</v>
      </c>
      <c r="L71" s="7"/>
      <c r="M71" s="7" t="str">
        <f t="shared" si="1"/>
        <v/>
      </c>
    </row>
    <row r="72">
      <c r="A72" s="3" t="s">
        <v>139</v>
      </c>
      <c r="B72" s="3">
        <v>6.0</v>
      </c>
      <c r="C72" s="3">
        <v>4.0</v>
      </c>
      <c r="D72" s="4">
        <v>49.1909797516816</v>
      </c>
      <c r="E72" s="4">
        <v>-2.0942684309064</v>
      </c>
      <c r="F72" s="3" t="s">
        <v>49</v>
      </c>
      <c r="G72" s="3" t="s">
        <v>50</v>
      </c>
      <c r="H72" s="5" t="s">
        <v>140</v>
      </c>
      <c r="I72" s="9">
        <v>1977.0</v>
      </c>
      <c r="J72" s="6" t="str">
        <f>IFERROR(__xludf.DUMMYFUNCTION("IF(AND(REGEXMATCH($H72,""50( ?['fF]([oO]{2})?[tT]?)?( ?[eE][rR]{2}[oO][rR])"")=FALSE,$H72&lt;&gt;"""",$I72&lt;&gt;""""),HYPERLINK(""https://www.munzee.com/m/""&amp;$H72&amp;""/""&amp;$I72&amp;""/map/?lat=""&amp;$D72&amp;""&amp;lon=""&amp;$E72&amp;""&amp;type=""&amp;$G72&amp;""&amp;name=""&amp;SUBSTITUTE($A72,""#"",""%23"""&amp;"),$H72&amp;""/""&amp;$I72),IF($H72&lt;&gt;"""",IF(REGEXMATCH($H72,""50( ?['fF]([oO]{2})?[tT]?)?( ?[eE][rR]{2}[oO][rR])""),HYPERLINK(""https://www.munzee.com/map/?sandbox=1&amp;lat=""&amp;$D72&amp;""&amp;lon=""&amp;$E72&amp;""&amp;name=""&amp;SUBSTITUTE($A72,""#"",""%23""),""SANDBOX""),HYPERLINK(""htt"&amp;"ps://www.munzee.com/m/""&amp;$H72&amp;""/deploys/0/type/""&amp;IFNA(VLOOKUP($G72,IMPORTRANGE(""https://docs.google.com/spreadsheets/d/1DliIGyDywdzxhd4svtjaewR0p9Y5UBTMNMQ2PcXsqss"",""type data!E2:F""),2,FALSE),$G72)&amp;""/"",$H72)),""""))"),"cpmunz/1977")</f>
        <v>cpmunz/1977</v>
      </c>
      <c r="K72" s="5" t="b">
        <v>1</v>
      </c>
      <c r="L72" s="7"/>
      <c r="M72" s="7">
        <f t="shared" si="1"/>
        <v>5</v>
      </c>
    </row>
    <row r="73">
      <c r="A73" s="3" t="s">
        <v>141</v>
      </c>
      <c r="B73" s="3">
        <v>6.0</v>
      </c>
      <c r="C73" s="3">
        <v>5.0</v>
      </c>
      <c r="D73" s="4">
        <v>49.1908781188046</v>
      </c>
      <c r="E73" s="4">
        <v>-2.0941129199975</v>
      </c>
      <c r="F73" s="3" t="s">
        <v>49</v>
      </c>
      <c r="G73" s="3" t="s">
        <v>50</v>
      </c>
      <c r="H73" s="5"/>
      <c r="I73" s="7"/>
      <c r="J73" s="7" t="str">
        <f>IFERROR(__xludf.DUMMYFUNCTION("IF(AND(REGEXMATCH($H73,""50( ?['fF]([oO]{2})?[tT]?)?( ?[eE][rR]{2}[oO][rR])"")=FALSE,$H73&lt;&gt;"""",$I73&lt;&gt;""""),HYPERLINK(""https://www.munzee.com/m/""&amp;$H73&amp;""/""&amp;$I73&amp;""/map/?lat=""&amp;$D73&amp;""&amp;lon=""&amp;$E73&amp;""&amp;type=""&amp;$G73&amp;""&amp;name=""&amp;SUBSTITUTE($A73,""#"",""%23"""&amp;"),$H73&amp;""/""&amp;$I73),IF($H73&lt;&gt;"""",IF(REGEXMATCH($H73,""50( ?['fF]([oO]{2})?[tT]?)?( ?[eE][rR]{2}[oO][rR])""),HYPERLINK(""https://www.munzee.com/map/?sandbox=1&amp;lat=""&amp;$D73&amp;""&amp;lon=""&amp;$E73&amp;""&amp;name=""&amp;SUBSTITUTE($A73,""#"",""%23""),""SANDBOX""),HYPERLINK(""htt"&amp;"ps://www.munzee.com/m/""&amp;$H73&amp;""/deploys/0/type/""&amp;IFNA(VLOOKUP($G73,IMPORTRANGE(""https://docs.google.com/spreadsheets/d/1DliIGyDywdzxhd4svtjaewR0p9Y5UBTMNMQ2PcXsqss"",""type data!E2:F""),2,FALSE),$G73)&amp;""/"",$H73)),""""))"),"")</f>
        <v/>
      </c>
      <c r="K73" s="7" t="b">
        <v>0</v>
      </c>
      <c r="L73" s="7"/>
      <c r="M73" s="7" t="str">
        <f t="shared" si="1"/>
        <v/>
      </c>
    </row>
    <row r="74">
      <c r="A74" s="3" t="s">
        <v>142</v>
      </c>
      <c r="B74" s="3">
        <v>6.0</v>
      </c>
      <c r="C74" s="3">
        <v>6.0</v>
      </c>
      <c r="D74" s="4">
        <v>49.1907764859275</v>
      </c>
      <c r="E74" s="4">
        <v>-2.0939574094082</v>
      </c>
      <c r="F74" s="3" t="s">
        <v>49</v>
      </c>
      <c r="G74" s="3" t="s">
        <v>50</v>
      </c>
      <c r="H74" s="5" t="s">
        <v>41</v>
      </c>
      <c r="I74" s="5">
        <v>160.0</v>
      </c>
      <c r="J74" s="6" t="str">
        <f>IFERROR(__xludf.DUMMYFUNCTION("IF(AND(REGEXMATCH($H74,""50( ?['fF]([oO]{2})?[tT]?)?( ?[eE][rR]{2}[oO][rR])"")=FALSE,$H74&lt;&gt;"""",$I74&lt;&gt;""""),HYPERLINK(""https://www.munzee.com/m/""&amp;$H74&amp;""/""&amp;$I74&amp;""/map/?lat=""&amp;$D74&amp;""&amp;lon=""&amp;$E74&amp;""&amp;type=""&amp;$G74&amp;""&amp;name=""&amp;SUBSTITUTE($A74,""#"",""%23"""&amp;"),$H74&amp;""/""&amp;$I74),IF($H74&lt;&gt;"""",IF(REGEXMATCH($H74,""50( ?['fF]([oO]{2})?[tT]?)?( ?[eE][rR]{2}[oO][rR])""),HYPERLINK(""https://www.munzee.com/map/?sandbox=1&amp;lat=""&amp;$D74&amp;""&amp;lon=""&amp;$E74&amp;""&amp;name=""&amp;SUBSTITUTE($A74,""#"",""%23""),""SANDBOX""),HYPERLINK(""htt"&amp;"ps://www.munzee.com/m/""&amp;$H74&amp;""/deploys/0/type/""&amp;IFNA(VLOOKUP($G74,IMPORTRANGE(""https://docs.google.com/spreadsheets/d/1DliIGyDywdzxhd4svtjaewR0p9Y5UBTMNMQ2PcXsqss"",""type data!E2:F""),2,FALSE),$G74)&amp;""/"",$H74)),""""))"),"olliekins/160")</f>
        <v>olliekins/160</v>
      </c>
      <c r="K74" s="5" t="b">
        <v>1</v>
      </c>
      <c r="L74" s="7"/>
      <c r="M74" s="7">
        <f t="shared" si="1"/>
        <v>3</v>
      </c>
    </row>
    <row r="75">
      <c r="A75" s="3" t="s">
        <v>143</v>
      </c>
      <c r="B75" s="3">
        <v>6.0</v>
      </c>
      <c r="C75" s="3">
        <v>7.0</v>
      </c>
      <c r="D75" s="4">
        <v>49.1906748530505</v>
      </c>
      <c r="E75" s="4">
        <v>-2.0938018991383</v>
      </c>
      <c r="F75" s="3" t="s">
        <v>14</v>
      </c>
      <c r="G75" s="3" t="s">
        <v>15</v>
      </c>
      <c r="H75" s="5"/>
      <c r="I75" s="5"/>
      <c r="J75" s="7" t="str">
        <f>IFERROR(__xludf.DUMMYFUNCTION("IF(AND(REGEXMATCH($H75,""50( ?['fF]([oO]{2})?[tT]?)?( ?[eE][rR]{2}[oO][rR])"")=FALSE,$H75&lt;&gt;"""",$I75&lt;&gt;""""),HYPERLINK(""https://www.munzee.com/m/""&amp;$H75&amp;""/""&amp;$I75&amp;""/map/?lat=""&amp;$D75&amp;""&amp;lon=""&amp;$E75&amp;""&amp;type=""&amp;$G75&amp;""&amp;name=""&amp;SUBSTITUTE($A75,""#"",""%23"""&amp;"),$H75&amp;""/""&amp;$I75),IF($H75&lt;&gt;"""",IF(REGEXMATCH($H75,""50( ?['fF]([oO]{2})?[tT]?)?( ?[eE][rR]{2}[oO][rR])""),HYPERLINK(""https://www.munzee.com/map/?sandbox=1&amp;lat=""&amp;$D75&amp;""&amp;lon=""&amp;$E75&amp;""&amp;name=""&amp;SUBSTITUTE($A75,""#"",""%23""),""SANDBOX""),HYPERLINK(""htt"&amp;"ps://www.munzee.com/m/""&amp;$H75&amp;""/deploys/0/type/""&amp;IFNA(VLOOKUP($G75,IMPORTRANGE(""https://docs.google.com/spreadsheets/d/1DliIGyDywdzxhd4svtjaewR0p9Y5UBTMNMQ2PcXsqss"",""type data!E2:F""),2,FALSE),$G75)&amp;""/"",$H75)),""""))"),"")</f>
        <v/>
      </c>
      <c r="K75" s="7" t="b">
        <v>0</v>
      </c>
      <c r="L75" s="8"/>
      <c r="M75" s="7" t="str">
        <f t="shared" si="1"/>
        <v/>
      </c>
    </row>
    <row r="76">
      <c r="A76" s="3" t="s">
        <v>144</v>
      </c>
      <c r="B76" s="3">
        <v>6.0</v>
      </c>
      <c r="C76" s="3">
        <v>9.0</v>
      </c>
      <c r="D76" s="4">
        <v>49.1904715872964</v>
      </c>
      <c r="E76" s="4">
        <v>-2.093490879557</v>
      </c>
      <c r="F76" s="3" t="s">
        <v>33</v>
      </c>
      <c r="G76" s="3" t="s">
        <v>34</v>
      </c>
      <c r="H76" s="5"/>
      <c r="I76" s="5"/>
      <c r="J76" s="7" t="str">
        <f>IFERROR(__xludf.DUMMYFUNCTION("IF(AND(REGEXMATCH($H76,""50( ?['fF]([oO]{2})?[tT]?)?( ?[eE][rR]{2}[oO][rR])"")=FALSE,$H76&lt;&gt;"""",$I76&lt;&gt;""""),HYPERLINK(""https://www.munzee.com/m/""&amp;$H76&amp;""/""&amp;$I76&amp;""/map/?lat=""&amp;$D76&amp;""&amp;lon=""&amp;$E76&amp;""&amp;type=""&amp;$G76&amp;""&amp;name=""&amp;SUBSTITUTE($A76,""#"",""%23"""&amp;"),$H76&amp;""/""&amp;$I76),IF($H76&lt;&gt;"""",IF(REGEXMATCH($H76,""50( ?['fF]([oO]{2})?[tT]?)?( ?[eE][rR]{2}[oO][rR])""),HYPERLINK(""https://www.munzee.com/map/?sandbox=1&amp;lat=""&amp;$D76&amp;""&amp;lon=""&amp;$E76&amp;""&amp;name=""&amp;SUBSTITUTE($A76,""#"",""%23""),""SANDBOX""),HYPERLINK(""htt"&amp;"ps://www.munzee.com/m/""&amp;$H76&amp;""/deploys/0/type/""&amp;IFNA(VLOOKUP($G76,IMPORTRANGE(""https://docs.google.com/spreadsheets/d/1DliIGyDywdzxhd4svtjaewR0p9Y5UBTMNMQ2PcXsqss"",""type data!E2:F""),2,FALSE),$G76)&amp;""/"",$H76)),""""))"),"")</f>
        <v/>
      </c>
      <c r="K76" s="7" t="b">
        <v>0</v>
      </c>
      <c r="L76" s="7"/>
      <c r="M76" s="7" t="str">
        <f t="shared" si="1"/>
        <v/>
      </c>
    </row>
    <row r="77">
      <c r="A77" s="3" t="s">
        <v>145</v>
      </c>
      <c r="B77" s="3">
        <v>6.0</v>
      </c>
      <c r="C77" s="3">
        <v>10.0</v>
      </c>
      <c r="D77" s="4">
        <v>49.1903699544194</v>
      </c>
      <c r="E77" s="4">
        <v>-2.0933353702455</v>
      </c>
      <c r="F77" s="3" t="s">
        <v>69</v>
      </c>
      <c r="G77" s="3" t="s">
        <v>70</v>
      </c>
      <c r="H77" s="5"/>
      <c r="I77" s="5"/>
      <c r="J77" s="7" t="str">
        <f>IFERROR(__xludf.DUMMYFUNCTION("IF(AND(REGEXMATCH($H77,""50( ?['fF]([oO]{2})?[tT]?)?( ?[eE][rR]{2}[oO][rR])"")=FALSE,$H77&lt;&gt;"""",$I77&lt;&gt;""""),HYPERLINK(""https://www.munzee.com/m/""&amp;$H77&amp;""/""&amp;$I77&amp;""/map/?lat=""&amp;$D77&amp;""&amp;lon=""&amp;$E77&amp;""&amp;type=""&amp;$G77&amp;""&amp;name=""&amp;SUBSTITUTE($A77,""#"",""%23"""&amp;"),$H77&amp;""/""&amp;$I77),IF($H77&lt;&gt;"""",IF(REGEXMATCH($H77,""50( ?['fF]([oO]{2})?[tT]?)?( ?[eE][rR]{2}[oO][rR])""),HYPERLINK(""https://www.munzee.com/map/?sandbox=1&amp;lat=""&amp;$D77&amp;""&amp;lon=""&amp;$E77&amp;""&amp;name=""&amp;SUBSTITUTE($A77,""#"",""%23""),""SANDBOX""),HYPERLINK(""htt"&amp;"ps://www.munzee.com/m/""&amp;$H77&amp;""/deploys/0/type/""&amp;IFNA(VLOOKUP($G77,IMPORTRANGE(""https://docs.google.com/spreadsheets/d/1DliIGyDywdzxhd4svtjaewR0p9Y5UBTMNMQ2PcXsqss"",""type data!E2:F""),2,FALSE),$G77)&amp;""/"",$H77)),""""))"),"")</f>
        <v/>
      </c>
      <c r="K77" s="7" t="b">
        <v>0</v>
      </c>
      <c r="L77" s="7"/>
      <c r="M77" s="7" t="str">
        <f t="shared" si="1"/>
        <v/>
      </c>
    </row>
    <row r="78">
      <c r="A78" s="3" t="s">
        <v>146</v>
      </c>
      <c r="B78" s="3">
        <v>6.0</v>
      </c>
      <c r="C78" s="3">
        <v>11.0</v>
      </c>
      <c r="D78" s="4">
        <v>49.1902683215423</v>
      </c>
      <c r="E78" s="4">
        <v>-2.0931798612536</v>
      </c>
      <c r="F78" s="3" t="s">
        <v>69</v>
      </c>
      <c r="G78" s="3" t="s">
        <v>70</v>
      </c>
      <c r="H78" s="5"/>
      <c r="I78" s="5"/>
      <c r="J78" s="7" t="str">
        <f>IFERROR(__xludf.DUMMYFUNCTION("IF(AND(REGEXMATCH($H78,""50( ?['fF]([oO]{2})?[tT]?)?( ?[eE][rR]{2}[oO][rR])"")=FALSE,$H78&lt;&gt;"""",$I78&lt;&gt;""""),HYPERLINK(""https://www.munzee.com/m/""&amp;$H78&amp;""/""&amp;$I78&amp;""/map/?lat=""&amp;$D78&amp;""&amp;lon=""&amp;$E78&amp;""&amp;type=""&amp;$G78&amp;""&amp;name=""&amp;SUBSTITUTE($A78,""#"",""%23"""&amp;"),$H78&amp;""/""&amp;$I78),IF($H78&lt;&gt;"""",IF(REGEXMATCH($H78,""50( ?['fF]([oO]{2})?[tT]?)?( ?[eE][rR]{2}[oO][rR])""),HYPERLINK(""https://www.munzee.com/map/?sandbox=1&amp;lat=""&amp;$D78&amp;""&amp;lon=""&amp;$E78&amp;""&amp;name=""&amp;SUBSTITUTE($A78,""#"",""%23""),""SANDBOX""),HYPERLINK(""htt"&amp;"ps://www.munzee.com/m/""&amp;$H78&amp;""/deploys/0/type/""&amp;IFNA(VLOOKUP($G78,IMPORTRANGE(""https://docs.google.com/spreadsheets/d/1DliIGyDywdzxhd4svtjaewR0p9Y5UBTMNMQ2PcXsqss"",""type data!E2:F""),2,FALSE),$G78)&amp;""/"",$H78)),""""))"),"")</f>
        <v/>
      </c>
      <c r="K78" s="7" t="b">
        <v>0</v>
      </c>
      <c r="L78" s="7"/>
      <c r="M78" s="7" t="str">
        <f t="shared" si="1"/>
        <v/>
      </c>
    </row>
    <row r="79">
      <c r="A79" s="3" t="s">
        <v>147</v>
      </c>
      <c r="B79" s="3">
        <v>6.0</v>
      </c>
      <c r="C79" s="3">
        <v>12.0</v>
      </c>
      <c r="D79" s="4">
        <v>49.1901666886653</v>
      </c>
      <c r="E79" s="4">
        <v>-2.0930243525811</v>
      </c>
      <c r="F79" s="3" t="s">
        <v>122</v>
      </c>
      <c r="G79" s="3" t="s">
        <v>123</v>
      </c>
      <c r="H79" s="5" t="s">
        <v>99</v>
      </c>
      <c r="I79" s="5">
        <v>7690.0</v>
      </c>
      <c r="J79" s="6" t="str">
        <f>IFERROR(__xludf.DUMMYFUNCTION("IF(AND(REGEXMATCH($H79,""50( ?['fF]([oO]{2})?[tT]?)?( ?[eE][rR]{2}[oO][rR])"")=FALSE,$H79&lt;&gt;"""",$I79&lt;&gt;""""),HYPERLINK(""https://www.munzee.com/m/""&amp;$H79&amp;""/""&amp;$I79&amp;""/map/?lat=""&amp;$D79&amp;""&amp;lon=""&amp;$E79&amp;""&amp;type=""&amp;$G79&amp;""&amp;name=""&amp;SUBSTITUTE($A79,""#"",""%23"""&amp;"),$H79&amp;""/""&amp;$I79),IF($H79&lt;&gt;"""",IF(REGEXMATCH($H79,""50( ?['fF]([oO]{2})?[tT]?)?( ?[eE][rR]{2}[oO][rR])""),HYPERLINK(""https://www.munzee.com/map/?sandbox=1&amp;lat=""&amp;$D79&amp;""&amp;lon=""&amp;$E79&amp;""&amp;name=""&amp;SUBSTITUTE($A79,""#"",""%23""),""SANDBOX""),HYPERLINK(""htt"&amp;"ps://www.munzee.com/m/""&amp;$H79&amp;""/deploys/0/type/""&amp;IFNA(VLOOKUP($G79,IMPORTRANGE(""https://docs.google.com/spreadsheets/d/1DliIGyDywdzxhd4svtjaewR0p9Y5UBTMNMQ2PcXsqss"",""type data!E2:F""),2,FALSE),$G79)&amp;""/"",$H79)),""""))"),"rgforsythe/7690")</f>
        <v>rgforsythe/7690</v>
      </c>
      <c r="K79" s="5" t="b">
        <v>1</v>
      </c>
      <c r="M79" s="7">
        <f t="shared" si="1"/>
        <v>4</v>
      </c>
    </row>
    <row r="80">
      <c r="A80" s="3" t="s">
        <v>148</v>
      </c>
      <c r="B80" s="3">
        <v>6.0</v>
      </c>
      <c r="C80" s="3">
        <v>13.0</v>
      </c>
      <c r="D80" s="4">
        <v>49.1900650557883</v>
      </c>
      <c r="E80" s="4">
        <v>-2.0928688442281</v>
      </c>
      <c r="F80" s="3" t="s">
        <v>122</v>
      </c>
      <c r="G80" s="3" t="s">
        <v>123</v>
      </c>
      <c r="H80" s="5"/>
      <c r="I80" s="7"/>
      <c r="J80" s="7" t="str">
        <f>IFERROR(__xludf.DUMMYFUNCTION("IF(AND(REGEXMATCH($H80,""50( ?['fF]([oO]{2})?[tT]?)?( ?[eE][rR]{2}[oO][rR])"")=FALSE,$H80&lt;&gt;"""",$I80&lt;&gt;""""),HYPERLINK(""https://www.munzee.com/m/""&amp;$H80&amp;""/""&amp;$I80&amp;""/map/?lat=""&amp;$D80&amp;""&amp;lon=""&amp;$E80&amp;""&amp;type=""&amp;$G80&amp;""&amp;name=""&amp;SUBSTITUTE($A80,""#"",""%23"""&amp;"),$H80&amp;""/""&amp;$I80),IF($H80&lt;&gt;"""",IF(REGEXMATCH($H80,""50( ?['fF]([oO]{2})?[tT]?)?( ?[eE][rR]{2}[oO][rR])""),HYPERLINK(""https://www.munzee.com/map/?sandbox=1&amp;lat=""&amp;$D80&amp;""&amp;lon=""&amp;$E80&amp;""&amp;name=""&amp;SUBSTITUTE($A80,""#"",""%23""),""SANDBOX""),HYPERLINK(""htt"&amp;"ps://www.munzee.com/m/""&amp;$H80&amp;""/deploys/0/type/""&amp;IFNA(VLOOKUP($G80,IMPORTRANGE(""https://docs.google.com/spreadsheets/d/1DliIGyDywdzxhd4svtjaewR0p9Y5UBTMNMQ2PcXsqss"",""type data!E2:F""),2,FALSE),$G80)&amp;""/"",$H80)),""""))"),"")</f>
        <v/>
      </c>
      <c r="K80" s="7" t="b">
        <v>0</v>
      </c>
      <c r="L80" s="7"/>
      <c r="M80" s="7" t="str">
        <f t="shared" si="1"/>
        <v/>
      </c>
    </row>
    <row r="81">
      <c r="A81" s="3" t="s">
        <v>149</v>
      </c>
      <c r="B81" s="3">
        <v>6.0</v>
      </c>
      <c r="C81" s="3">
        <v>14.0</v>
      </c>
      <c r="D81" s="4">
        <v>49.1899634229112</v>
      </c>
      <c r="E81" s="4">
        <v>-2.0927133361945</v>
      </c>
      <c r="F81" s="3" t="s">
        <v>122</v>
      </c>
      <c r="G81" s="3" t="s">
        <v>123</v>
      </c>
      <c r="H81" s="5"/>
      <c r="I81" s="7"/>
      <c r="J81" s="7" t="str">
        <f>IFERROR(__xludf.DUMMYFUNCTION("IF(AND(REGEXMATCH($H81,""50( ?['fF]([oO]{2})?[tT]?)?( ?[eE][rR]{2}[oO][rR])"")=FALSE,$H81&lt;&gt;"""",$I81&lt;&gt;""""),HYPERLINK(""https://www.munzee.com/m/""&amp;$H81&amp;""/""&amp;$I81&amp;""/map/?lat=""&amp;$D81&amp;""&amp;lon=""&amp;$E81&amp;""&amp;type=""&amp;$G81&amp;""&amp;name=""&amp;SUBSTITUTE($A81,""#"",""%23"""&amp;"),$H81&amp;""/""&amp;$I81),IF($H81&lt;&gt;"""",IF(REGEXMATCH($H81,""50( ?['fF]([oO]{2})?[tT]?)?( ?[eE][rR]{2}[oO][rR])""),HYPERLINK(""https://www.munzee.com/map/?sandbox=1&amp;lat=""&amp;$D81&amp;""&amp;lon=""&amp;$E81&amp;""&amp;name=""&amp;SUBSTITUTE($A81,""#"",""%23""),""SANDBOX""),HYPERLINK(""htt"&amp;"ps://www.munzee.com/m/""&amp;$H81&amp;""/deploys/0/type/""&amp;IFNA(VLOOKUP($G81,IMPORTRANGE(""https://docs.google.com/spreadsheets/d/1DliIGyDywdzxhd4svtjaewR0p9Y5UBTMNMQ2PcXsqss"",""type data!E2:F""),2,FALSE),$G81)&amp;""/"",$H81)),""""))"),"")</f>
        <v/>
      </c>
      <c r="K81" s="7" t="b">
        <v>0</v>
      </c>
      <c r="L81" s="7"/>
      <c r="M81" s="7" t="str">
        <f t="shared" si="1"/>
        <v/>
      </c>
    </row>
    <row r="82">
      <c r="A82" s="3" t="s">
        <v>150</v>
      </c>
      <c r="B82" s="3">
        <v>6.0</v>
      </c>
      <c r="C82" s="3">
        <v>15.0</v>
      </c>
      <c r="D82" s="4">
        <v>49.1898617900342</v>
      </c>
      <c r="E82" s="4">
        <v>-2.0925578284803</v>
      </c>
      <c r="F82" s="3" t="s">
        <v>151</v>
      </c>
      <c r="G82" s="3" t="s">
        <v>152</v>
      </c>
      <c r="H82" s="14" t="s">
        <v>153</v>
      </c>
      <c r="I82" s="5">
        <v>2283.0</v>
      </c>
      <c r="J82" s="6" t="str">
        <f>IFERROR(__xludf.DUMMYFUNCTION("IF(AND(REGEXMATCH($H82,""50( ?['fF]([oO]{2})?[tT]?)?( ?[eE][rR]{2}[oO][rR])"")=FALSE,$H82&lt;&gt;"""",$I82&lt;&gt;""""),HYPERLINK(""https://www.munzee.com/m/""&amp;$H82&amp;""/""&amp;$I82&amp;""/map/?lat=""&amp;$D82&amp;""&amp;lon=""&amp;$E82&amp;""&amp;type=""&amp;$G82&amp;""&amp;name=""&amp;SUBSTITUTE($A82,""#"",""%23"""&amp;"),$H82&amp;""/""&amp;$I82),IF($H82&lt;&gt;"""",IF(REGEXMATCH($H82,""50( ?['fF]([oO]{2})?[tT]?)?( ?[eE][rR]{2}[oO][rR])""),HYPERLINK(""https://www.munzee.com/map/?sandbox=1&amp;lat=""&amp;$D82&amp;""&amp;lon=""&amp;$E82&amp;""&amp;name=""&amp;SUBSTITUTE($A82,""#"",""%23""),""SANDBOX""),HYPERLINK(""htt"&amp;"ps://www.munzee.com/m/""&amp;$H82&amp;""/deploys/0/type/""&amp;IFNA(VLOOKUP($G82,IMPORTRANGE(""https://docs.google.com/spreadsheets/d/1DliIGyDywdzxhd4svtjaewR0p9Y5UBTMNMQ2PcXsqss"",""type data!E2:F""),2,FALSE),$G82)&amp;""/"",$H82)),""""))"),"scoutref/2283")</f>
        <v>scoutref/2283</v>
      </c>
      <c r="K82" s="5" t="b">
        <v>1</v>
      </c>
      <c r="L82" s="7"/>
      <c r="M82" s="7">
        <f t="shared" si="1"/>
        <v>1</v>
      </c>
    </row>
    <row r="83">
      <c r="A83" s="3" t="s">
        <v>154</v>
      </c>
      <c r="B83" s="3">
        <v>6.0</v>
      </c>
      <c r="C83" s="3">
        <v>18.0</v>
      </c>
      <c r="D83" s="4">
        <v>49.189556891403</v>
      </c>
      <c r="E83" s="4">
        <v>-2.0920913072544</v>
      </c>
      <c r="F83" s="3" t="s">
        <v>155</v>
      </c>
      <c r="G83" s="3" t="s">
        <v>156</v>
      </c>
      <c r="H83" s="5"/>
      <c r="I83" s="5"/>
      <c r="J83" s="7" t="str">
        <f>IFERROR(__xludf.DUMMYFUNCTION("IF(AND(REGEXMATCH($H83,""50( ?['fF]([oO]{2})?[tT]?)?( ?[eE][rR]{2}[oO][rR])"")=FALSE,$H83&lt;&gt;"""",$I83&lt;&gt;""""),HYPERLINK(""https://www.munzee.com/m/""&amp;$H83&amp;""/""&amp;$I83&amp;""/map/?lat=""&amp;$D83&amp;""&amp;lon=""&amp;$E83&amp;""&amp;type=""&amp;$G83&amp;""&amp;name=""&amp;SUBSTITUTE($A83,""#"",""%23"""&amp;"),$H83&amp;""/""&amp;$I83),IF($H83&lt;&gt;"""",IF(REGEXMATCH($H83,""50( ?['fF]([oO]{2})?[tT]?)?( ?[eE][rR]{2}[oO][rR])""),HYPERLINK(""https://www.munzee.com/map/?sandbox=1&amp;lat=""&amp;$D83&amp;""&amp;lon=""&amp;$E83&amp;""&amp;name=""&amp;SUBSTITUTE($A83,""#"",""%23""),""SANDBOX""),HYPERLINK(""htt"&amp;"ps://www.munzee.com/m/""&amp;$H83&amp;""/deploys/0/type/""&amp;IFNA(VLOOKUP($G83,IMPORTRANGE(""https://docs.google.com/spreadsheets/d/1DliIGyDywdzxhd4svtjaewR0p9Y5UBTMNMQ2PcXsqss"",""type data!E2:F""),2,FALSE),$G83)&amp;""/"",$H83)),""""))"),"")</f>
        <v/>
      </c>
      <c r="K83" s="7" t="b">
        <v>0</v>
      </c>
      <c r="L83" s="7"/>
      <c r="M83" s="7" t="str">
        <f t="shared" si="1"/>
        <v/>
      </c>
    </row>
    <row r="84">
      <c r="A84" s="3" t="s">
        <v>157</v>
      </c>
      <c r="B84" s="3">
        <v>6.0</v>
      </c>
      <c r="C84" s="3">
        <v>19.0</v>
      </c>
      <c r="D84" s="4">
        <v>49.189455258526</v>
      </c>
      <c r="E84" s="4">
        <v>-2.091935800818</v>
      </c>
      <c r="F84" s="3" t="s">
        <v>69</v>
      </c>
      <c r="G84" s="3" t="s">
        <v>70</v>
      </c>
      <c r="H84" s="5"/>
      <c r="I84" s="5"/>
      <c r="J84" s="7" t="str">
        <f>IFERROR(__xludf.DUMMYFUNCTION("IF(AND(REGEXMATCH($H84,""50( ?['fF]([oO]{2})?[tT]?)?( ?[eE][rR]{2}[oO][rR])"")=FALSE,$H84&lt;&gt;"""",$I84&lt;&gt;""""),HYPERLINK(""https://www.munzee.com/m/""&amp;$H84&amp;""/""&amp;$I84&amp;""/map/?lat=""&amp;$D84&amp;""&amp;lon=""&amp;$E84&amp;""&amp;type=""&amp;$G84&amp;""&amp;name=""&amp;SUBSTITUTE($A84,""#"",""%23"""&amp;"),$H84&amp;""/""&amp;$I84),IF($H84&lt;&gt;"""",IF(REGEXMATCH($H84,""50( ?['fF]([oO]{2})?[tT]?)?( ?[eE][rR]{2}[oO][rR])""),HYPERLINK(""https://www.munzee.com/map/?sandbox=1&amp;lat=""&amp;$D84&amp;""&amp;lon=""&amp;$E84&amp;""&amp;name=""&amp;SUBSTITUTE($A84,""#"",""%23""),""SANDBOX""),HYPERLINK(""htt"&amp;"ps://www.munzee.com/m/""&amp;$H84&amp;""/deploys/0/type/""&amp;IFNA(VLOOKUP($G84,IMPORTRANGE(""https://docs.google.com/spreadsheets/d/1DliIGyDywdzxhd4svtjaewR0p9Y5UBTMNMQ2PcXsqss"",""type data!E2:F""),2,FALSE),$G84)&amp;""/"",$H84)),""""))"),"")</f>
        <v/>
      </c>
      <c r="K84" s="7" t="b">
        <v>0</v>
      </c>
      <c r="L84" s="7"/>
      <c r="M84" s="7" t="str">
        <f t="shared" si="1"/>
        <v/>
      </c>
    </row>
    <row r="85">
      <c r="A85" s="3" t="s">
        <v>158</v>
      </c>
      <c r="B85" s="3">
        <v>6.0</v>
      </c>
      <c r="C85" s="3">
        <v>20.0</v>
      </c>
      <c r="D85" s="4">
        <v>49.189353625649</v>
      </c>
      <c r="E85" s="4">
        <v>-2.091780294701</v>
      </c>
      <c r="F85" s="3" t="s">
        <v>69</v>
      </c>
      <c r="G85" s="3" t="s">
        <v>70</v>
      </c>
      <c r="H85" s="5"/>
      <c r="I85" s="7"/>
      <c r="J85" s="7" t="str">
        <f>IFERROR(__xludf.DUMMYFUNCTION("IF(AND(REGEXMATCH($H85,""50( ?['fF]([oO]{2})?[tT]?)?( ?[eE][rR]{2}[oO][rR])"")=FALSE,$H85&lt;&gt;"""",$I85&lt;&gt;""""),HYPERLINK(""https://www.munzee.com/m/""&amp;$H85&amp;""/""&amp;$I85&amp;""/map/?lat=""&amp;$D85&amp;""&amp;lon=""&amp;$E85&amp;""&amp;type=""&amp;$G85&amp;""&amp;name=""&amp;SUBSTITUTE($A85,""#"",""%23"""&amp;"),$H85&amp;""/""&amp;$I85),IF($H85&lt;&gt;"""",IF(REGEXMATCH($H85,""50( ?['fF]([oO]{2})?[tT]?)?( ?[eE][rR]{2}[oO][rR])""),HYPERLINK(""https://www.munzee.com/map/?sandbox=1&amp;lat=""&amp;$D85&amp;""&amp;lon=""&amp;$E85&amp;""&amp;name=""&amp;SUBSTITUTE($A85,""#"",""%23""),""SANDBOX""),HYPERLINK(""htt"&amp;"ps://www.munzee.com/m/""&amp;$H85&amp;""/deploys/0/type/""&amp;IFNA(VLOOKUP($G85,IMPORTRANGE(""https://docs.google.com/spreadsheets/d/1DliIGyDywdzxhd4svtjaewR0p9Y5UBTMNMQ2PcXsqss"",""type data!E2:F""),2,FALSE),$G85)&amp;""/"",$H85)),""""))"),"")</f>
        <v/>
      </c>
      <c r="K85" s="7" t="b">
        <v>0</v>
      </c>
      <c r="L85" s="7"/>
      <c r="M85" s="7" t="str">
        <f t="shared" si="1"/>
        <v/>
      </c>
    </row>
    <row r="86">
      <c r="A86" s="3" t="s">
        <v>159</v>
      </c>
      <c r="B86" s="3">
        <v>6.0</v>
      </c>
      <c r="C86" s="3">
        <v>21.0</v>
      </c>
      <c r="D86" s="4">
        <v>49.1892519927719</v>
      </c>
      <c r="E86" s="4">
        <v>-2.0916247889036</v>
      </c>
      <c r="F86" s="3" t="s">
        <v>119</v>
      </c>
      <c r="G86" s="3" t="s">
        <v>120</v>
      </c>
      <c r="H86" s="5" t="s">
        <v>160</v>
      </c>
      <c r="I86" s="5">
        <v>5601.0</v>
      </c>
      <c r="J86" s="6" t="str">
        <f>IFERROR(__xludf.DUMMYFUNCTION("IF(AND(REGEXMATCH($H86,""50( ?['fF]([oO]{2})?[tT]?)?( ?[eE][rR]{2}[oO][rR])"")=FALSE,$H86&lt;&gt;"""",$I86&lt;&gt;""""),HYPERLINK(""https://www.munzee.com/m/""&amp;$H86&amp;""/""&amp;$I86&amp;""/map/?lat=""&amp;$D86&amp;""&amp;lon=""&amp;$E86&amp;""&amp;type=""&amp;$G86&amp;""&amp;name=""&amp;SUBSTITUTE($A86,""#"",""%23"""&amp;"),$H86&amp;""/""&amp;$I86),IF($H86&lt;&gt;"""",IF(REGEXMATCH($H86,""50( ?['fF]([oO]{2})?[tT]?)?( ?[eE][rR]{2}[oO][rR])""),HYPERLINK(""https://www.munzee.com/map/?sandbox=1&amp;lat=""&amp;$D86&amp;""&amp;lon=""&amp;$E86&amp;""&amp;name=""&amp;SUBSTITUTE($A86,""#"",""%23""),""SANDBOX""),HYPERLINK(""htt"&amp;"ps://www.munzee.com/m/""&amp;$H86&amp;""/deploys/0/type/""&amp;IFNA(VLOOKUP($G86,IMPORTRANGE(""https://docs.google.com/spreadsheets/d/1DliIGyDywdzxhd4svtjaewR0p9Y5UBTMNMQ2PcXsqss"",""type data!E2:F""),2,FALSE),$G86)&amp;""/"",$H86)),""""))"),"123xilef/5601")</f>
        <v>123xilef/5601</v>
      </c>
      <c r="K86" s="5" t="b">
        <v>1</v>
      </c>
      <c r="L86" s="5"/>
      <c r="M86" s="7">
        <f t="shared" si="1"/>
        <v>2</v>
      </c>
    </row>
    <row r="87">
      <c r="A87" s="3" t="s">
        <v>161</v>
      </c>
      <c r="B87" s="3">
        <v>6.0</v>
      </c>
      <c r="C87" s="3">
        <v>22.0</v>
      </c>
      <c r="D87" s="4">
        <v>49.1891503598949</v>
      </c>
      <c r="E87" s="4">
        <v>-2.0914692834256</v>
      </c>
      <c r="F87" s="3" t="s">
        <v>69</v>
      </c>
      <c r="G87" s="3" t="s">
        <v>70</v>
      </c>
      <c r="H87" s="5"/>
      <c r="I87" s="7"/>
      <c r="J87" s="7" t="str">
        <f>IFERROR(__xludf.DUMMYFUNCTION("IF(AND(REGEXMATCH($H87,""50( ?['fF]([oO]{2})?[tT]?)?( ?[eE][rR]{2}[oO][rR])"")=FALSE,$H87&lt;&gt;"""",$I87&lt;&gt;""""),HYPERLINK(""https://www.munzee.com/m/""&amp;$H87&amp;""/""&amp;$I87&amp;""/map/?lat=""&amp;$D87&amp;""&amp;lon=""&amp;$E87&amp;""&amp;type=""&amp;$G87&amp;""&amp;name=""&amp;SUBSTITUTE($A87,""#"",""%23"""&amp;"),$H87&amp;""/""&amp;$I87),IF($H87&lt;&gt;"""",IF(REGEXMATCH($H87,""50( ?['fF]([oO]{2})?[tT]?)?( ?[eE][rR]{2}[oO][rR])""),HYPERLINK(""https://www.munzee.com/map/?sandbox=1&amp;lat=""&amp;$D87&amp;""&amp;lon=""&amp;$E87&amp;""&amp;name=""&amp;SUBSTITUTE($A87,""#"",""%23""),""SANDBOX""),HYPERLINK(""htt"&amp;"ps://www.munzee.com/m/""&amp;$H87&amp;""/deploys/0/type/""&amp;IFNA(VLOOKUP($G87,IMPORTRANGE(""https://docs.google.com/spreadsheets/d/1DliIGyDywdzxhd4svtjaewR0p9Y5UBTMNMQ2PcXsqss"",""type data!E2:F""),2,FALSE),$G87)&amp;""/"",$H87)),""""))"),"")</f>
        <v/>
      </c>
      <c r="K87" s="7" t="b">
        <v>0</v>
      </c>
      <c r="L87" s="7"/>
      <c r="M87" s="7" t="str">
        <f t="shared" si="1"/>
        <v/>
      </c>
    </row>
    <row r="88">
      <c r="A88" s="3" t="s">
        <v>162</v>
      </c>
      <c r="B88" s="3">
        <v>6.0</v>
      </c>
      <c r="C88" s="3">
        <v>23.0</v>
      </c>
      <c r="D88" s="4">
        <v>49.1890487270179</v>
      </c>
      <c r="E88" s="4">
        <v>-2.091313778267</v>
      </c>
      <c r="F88" s="3" t="s">
        <v>69</v>
      </c>
      <c r="G88" s="3" t="s">
        <v>70</v>
      </c>
      <c r="H88" s="5"/>
      <c r="I88" s="5"/>
      <c r="J88" s="7" t="str">
        <f>IFERROR(__xludf.DUMMYFUNCTION("IF(AND(REGEXMATCH($H88,""50( ?['fF]([oO]{2})?[tT]?)?( ?[eE][rR]{2}[oO][rR])"")=FALSE,$H88&lt;&gt;"""",$I88&lt;&gt;""""),HYPERLINK(""https://www.munzee.com/m/""&amp;$H88&amp;""/""&amp;$I88&amp;""/map/?lat=""&amp;$D88&amp;""&amp;lon=""&amp;$E88&amp;""&amp;type=""&amp;$G88&amp;""&amp;name=""&amp;SUBSTITUTE($A88,""#"",""%23"""&amp;"),$H88&amp;""/""&amp;$I88),IF($H88&lt;&gt;"""",IF(REGEXMATCH($H88,""50( ?['fF]([oO]{2})?[tT]?)?( ?[eE][rR]{2}[oO][rR])""),HYPERLINK(""https://www.munzee.com/map/?sandbox=1&amp;lat=""&amp;$D88&amp;""&amp;lon=""&amp;$E88&amp;""&amp;name=""&amp;SUBSTITUTE($A88,""#"",""%23""),""SANDBOX""),HYPERLINK(""htt"&amp;"ps://www.munzee.com/m/""&amp;$H88&amp;""/deploys/0/type/""&amp;IFNA(VLOOKUP($G88,IMPORTRANGE(""https://docs.google.com/spreadsheets/d/1DliIGyDywdzxhd4svtjaewR0p9Y5UBTMNMQ2PcXsqss"",""type data!E2:F""),2,FALSE),$G88)&amp;""/"",$H88)),""""))"),"")</f>
        <v/>
      </c>
      <c r="K88" s="7" t="b">
        <v>0</v>
      </c>
      <c r="L88" s="7"/>
      <c r="M88" s="7" t="str">
        <f t="shared" si="1"/>
        <v/>
      </c>
    </row>
    <row r="89">
      <c r="A89" s="3" t="s">
        <v>163</v>
      </c>
      <c r="B89" s="3">
        <v>6.0</v>
      </c>
      <c r="C89" s="3">
        <v>24.0</v>
      </c>
      <c r="D89" s="4">
        <v>49.1889470941408</v>
      </c>
      <c r="E89" s="4">
        <v>-2.0911582734279</v>
      </c>
      <c r="F89" s="3" t="s">
        <v>33</v>
      </c>
      <c r="G89" s="3" t="s">
        <v>34</v>
      </c>
      <c r="H89" s="5"/>
      <c r="I89" s="7"/>
      <c r="J89" s="7" t="str">
        <f>IFERROR(__xludf.DUMMYFUNCTION("IF(AND(REGEXMATCH($H89,""50( ?['fF]([oO]{2})?[tT]?)?( ?[eE][rR]{2}[oO][rR])"")=FALSE,$H89&lt;&gt;"""",$I89&lt;&gt;""""),HYPERLINK(""https://www.munzee.com/m/""&amp;$H89&amp;""/""&amp;$I89&amp;""/map/?lat=""&amp;$D89&amp;""&amp;lon=""&amp;$E89&amp;""&amp;type=""&amp;$G89&amp;""&amp;name=""&amp;SUBSTITUTE($A89,""#"",""%23"""&amp;"),$H89&amp;""/""&amp;$I89),IF($H89&lt;&gt;"""",IF(REGEXMATCH($H89,""50( ?['fF]([oO]{2})?[tT]?)?( ?[eE][rR]{2}[oO][rR])""),HYPERLINK(""https://www.munzee.com/map/?sandbox=1&amp;lat=""&amp;$D89&amp;""&amp;lon=""&amp;$E89&amp;""&amp;name=""&amp;SUBSTITUTE($A89,""#"",""%23""),""SANDBOX""),HYPERLINK(""htt"&amp;"ps://www.munzee.com/m/""&amp;$H89&amp;""/deploys/0/type/""&amp;IFNA(VLOOKUP($G89,IMPORTRANGE(""https://docs.google.com/spreadsheets/d/1DliIGyDywdzxhd4svtjaewR0p9Y5UBTMNMQ2PcXsqss"",""type data!E2:F""),2,FALSE),$G89)&amp;""/"",$H89)),""""))"),"")</f>
        <v/>
      </c>
      <c r="K89" s="7" t="b">
        <v>0</v>
      </c>
      <c r="L89" s="7"/>
      <c r="M89" s="7" t="str">
        <f t="shared" si="1"/>
        <v/>
      </c>
    </row>
    <row r="90">
      <c r="A90" s="3" t="s">
        <v>164</v>
      </c>
      <c r="B90" s="3">
        <v>7.0</v>
      </c>
      <c r="C90" s="3">
        <v>2.0</v>
      </c>
      <c r="D90" s="4">
        <v>49.1910813845587</v>
      </c>
      <c r="E90" s="4">
        <v>-2.0947349748151</v>
      </c>
      <c r="F90" s="3" t="s">
        <v>14</v>
      </c>
      <c r="G90" s="3" t="s">
        <v>15</v>
      </c>
      <c r="H90" s="5"/>
      <c r="I90" s="5"/>
      <c r="J90" s="7" t="str">
        <f>IFERROR(__xludf.DUMMYFUNCTION("IF(AND(REGEXMATCH($H90,""50( ?['fF]([oO]{2})?[tT]?)?( ?[eE][rR]{2}[oO][rR])"")=FALSE,$H90&lt;&gt;"""",$I90&lt;&gt;""""),HYPERLINK(""https://www.munzee.com/m/""&amp;$H90&amp;""/""&amp;$I90&amp;""/map/?lat=""&amp;$D90&amp;""&amp;lon=""&amp;$E90&amp;""&amp;type=""&amp;$G90&amp;""&amp;name=""&amp;SUBSTITUTE($A90,""#"",""%23"""&amp;"),$H90&amp;""/""&amp;$I90),IF($H90&lt;&gt;"""",IF(REGEXMATCH($H90,""50( ?['fF]([oO]{2})?[tT]?)?( ?[eE][rR]{2}[oO][rR])""),HYPERLINK(""https://www.munzee.com/map/?sandbox=1&amp;lat=""&amp;$D90&amp;""&amp;lon=""&amp;$E90&amp;""&amp;name=""&amp;SUBSTITUTE($A90,""#"",""%23""),""SANDBOX""),HYPERLINK(""htt"&amp;"ps://www.munzee.com/m/""&amp;$H90&amp;""/deploys/0/type/""&amp;IFNA(VLOOKUP($G90,IMPORTRANGE(""https://docs.google.com/spreadsheets/d/1DliIGyDywdzxhd4svtjaewR0p9Y5UBTMNMQ2PcXsqss"",""type data!E2:F""),2,FALSE),$G90)&amp;""/"",$H90)),""""))"),"")</f>
        <v/>
      </c>
      <c r="K90" s="7" t="b">
        <v>0</v>
      </c>
      <c r="L90" s="7"/>
      <c r="M90" s="7" t="str">
        <f t="shared" si="1"/>
        <v/>
      </c>
    </row>
    <row r="91">
      <c r="A91" s="3" t="s">
        <v>165</v>
      </c>
      <c r="B91" s="3">
        <v>7.0</v>
      </c>
      <c r="C91" s="3">
        <v>3.0</v>
      </c>
      <c r="D91" s="4">
        <v>49.1909797516816</v>
      </c>
      <c r="E91" s="4">
        <v>-2.0945794635868</v>
      </c>
      <c r="F91" s="3" t="s">
        <v>39</v>
      </c>
      <c r="G91" s="3" t="s">
        <v>40</v>
      </c>
      <c r="H91" s="5" t="s">
        <v>53</v>
      </c>
      <c r="I91" s="5">
        <v>653.0</v>
      </c>
      <c r="J91" s="6" t="str">
        <f>IFERROR(__xludf.DUMMYFUNCTION("IF(AND(REGEXMATCH($H91,""50( ?['fF]([oO]{2})?[tT]?)?( ?[eE][rR]{2}[oO][rR])"")=FALSE,$H91&lt;&gt;"""",$I91&lt;&gt;""""),HYPERLINK(""https://www.munzee.com/m/""&amp;$H91&amp;""/""&amp;$I91&amp;""/map/?lat=""&amp;$D91&amp;""&amp;lon=""&amp;$E91&amp;""&amp;type=""&amp;$G91&amp;""&amp;name=""&amp;SUBSTITUTE($A91,""#"",""%23"""&amp;"),$H91&amp;""/""&amp;$I91),IF($H91&lt;&gt;"""",IF(REGEXMATCH($H91,""50( ?['fF]([oO]{2})?[tT]?)?( ?[eE][rR]{2}[oO][rR])""),HYPERLINK(""https://www.munzee.com/map/?sandbox=1&amp;lat=""&amp;$D91&amp;""&amp;lon=""&amp;$E91&amp;""&amp;name=""&amp;SUBSTITUTE($A91,""#"",""%23""),""SANDBOX""),HYPERLINK(""htt"&amp;"ps://www.munzee.com/m/""&amp;$H91&amp;""/deploys/0/type/""&amp;IFNA(VLOOKUP($G91,IMPORTRANGE(""https://docs.google.com/spreadsheets/d/1DliIGyDywdzxhd4svtjaewR0p9Y5UBTMNMQ2PcXsqss"",""type data!E2:F""),2,FALSE),$G91)&amp;""/"",$H91)),""""))"),"MaryJaneKitty/653")</f>
        <v>MaryJaneKitty/653</v>
      </c>
      <c r="K91" s="5" t="b">
        <v>1</v>
      </c>
      <c r="L91" s="15"/>
      <c r="M91" s="7">
        <f t="shared" si="1"/>
        <v>5</v>
      </c>
    </row>
    <row r="92">
      <c r="A92" s="3" t="s">
        <v>166</v>
      </c>
      <c r="B92" s="3">
        <v>7.0</v>
      </c>
      <c r="C92" s="3">
        <v>4.0</v>
      </c>
      <c r="D92" s="4">
        <v>49.1908781188046</v>
      </c>
      <c r="E92" s="4">
        <v>-2.094423952678</v>
      </c>
      <c r="F92" s="3" t="s">
        <v>39</v>
      </c>
      <c r="G92" s="3" t="s">
        <v>40</v>
      </c>
      <c r="H92" s="5" t="s">
        <v>167</v>
      </c>
      <c r="I92" s="5">
        <v>2274.0</v>
      </c>
      <c r="J92" s="6" t="str">
        <f>IFERROR(__xludf.DUMMYFUNCTION("IF(AND(REGEXMATCH($H92,""50( ?['fF]([oO]{2})?[tT]?)?( ?[eE][rR]{2}[oO][rR])"")=FALSE,$H92&lt;&gt;"""",$I92&lt;&gt;""""),HYPERLINK(""https://www.munzee.com/m/""&amp;$H92&amp;""/""&amp;$I92&amp;""/map/?lat=""&amp;$D92&amp;""&amp;lon=""&amp;$E92&amp;""&amp;type=""&amp;$G92&amp;""&amp;name=""&amp;SUBSTITUTE($A92,""#"",""%23"""&amp;"),$H92&amp;""/""&amp;$I92),IF($H92&lt;&gt;"""",IF(REGEXMATCH($H92,""50( ?['fF]([oO]{2})?[tT]?)?( ?[eE][rR]{2}[oO][rR])""),HYPERLINK(""https://www.munzee.com/map/?sandbox=1&amp;lat=""&amp;$D92&amp;""&amp;lon=""&amp;$E92&amp;""&amp;name=""&amp;SUBSTITUTE($A92,""#"",""%23""),""SANDBOX""),HYPERLINK(""htt"&amp;"ps://www.munzee.com/m/""&amp;$H92&amp;""/deploys/0/type/""&amp;IFNA(VLOOKUP($G92,IMPORTRANGE(""https://docs.google.com/spreadsheets/d/1DliIGyDywdzxhd4svtjaewR0p9Y5UBTMNMQ2PcXsqss"",""type data!E2:F""),2,FALSE),$G92)&amp;""/"",$H92)),""""))"),"Anetzet/2274")</f>
        <v>Anetzet/2274</v>
      </c>
      <c r="K92" s="5" t="b">
        <v>1</v>
      </c>
      <c r="L92" s="5"/>
      <c r="M92" s="7">
        <f t="shared" si="1"/>
        <v>1</v>
      </c>
    </row>
    <row r="93">
      <c r="A93" s="3" t="s">
        <v>168</v>
      </c>
      <c r="B93" s="3">
        <v>7.0</v>
      </c>
      <c r="C93" s="3">
        <v>5.0</v>
      </c>
      <c r="D93" s="4">
        <v>49.1907764859275</v>
      </c>
      <c r="E93" s="4">
        <v>-2.0942684420886</v>
      </c>
      <c r="F93" s="3" t="s">
        <v>69</v>
      </c>
      <c r="G93" s="3" t="s">
        <v>70</v>
      </c>
      <c r="H93" s="5"/>
      <c r="I93" s="5"/>
      <c r="J93" s="7" t="str">
        <f>IFERROR(__xludf.DUMMYFUNCTION("IF(AND(REGEXMATCH($H93,""50( ?['fF]([oO]{2})?[tT]?)?( ?[eE][rR]{2}[oO][rR])"")=FALSE,$H93&lt;&gt;"""",$I93&lt;&gt;""""),HYPERLINK(""https://www.munzee.com/m/""&amp;$H93&amp;""/""&amp;$I93&amp;""/map/?lat=""&amp;$D93&amp;""&amp;lon=""&amp;$E93&amp;""&amp;type=""&amp;$G93&amp;""&amp;name=""&amp;SUBSTITUTE($A93,""#"",""%23"""&amp;"),$H93&amp;""/""&amp;$I93),IF($H93&lt;&gt;"""",IF(REGEXMATCH($H93,""50( ?['fF]([oO]{2})?[tT]?)?( ?[eE][rR]{2}[oO][rR])""),HYPERLINK(""https://www.munzee.com/map/?sandbox=1&amp;lat=""&amp;$D93&amp;""&amp;lon=""&amp;$E93&amp;""&amp;name=""&amp;SUBSTITUTE($A93,""#"",""%23""),""SANDBOX""),HYPERLINK(""htt"&amp;"ps://www.munzee.com/m/""&amp;$H93&amp;""/deploys/0/type/""&amp;IFNA(VLOOKUP($G93,IMPORTRANGE(""https://docs.google.com/spreadsheets/d/1DliIGyDywdzxhd4svtjaewR0p9Y5UBTMNMQ2PcXsqss"",""type data!E2:F""),2,FALSE),$G93)&amp;""/"",$H93)),""""))"),"")</f>
        <v/>
      </c>
      <c r="K93" s="7" t="b">
        <v>0</v>
      </c>
      <c r="L93" s="7"/>
      <c r="M93" s="7" t="str">
        <f t="shared" si="1"/>
        <v/>
      </c>
    </row>
    <row r="94">
      <c r="A94" s="3" t="s">
        <v>169</v>
      </c>
      <c r="B94" s="3">
        <v>7.0</v>
      </c>
      <c r="C94" s="3">
        <v>6.0</v>
      </c>
      <c r="D94" s="4">
        <v>49.1906748530505</v>
      </c>
      <c r="E94" s="4">
        <v>-2.0941129318187</v>
      </c>
      <c r="F94" s="3" t="s">
        <v>63</v>
      </c>
      <c r="G94" s="3" t="s">
        <v>64</v>
      </c>
      <c r="H94" s="5" t="s">
        <v>170</v>
      </c>
      <c r="I94" s="5">
        <v>1972.0</v>
      </c>
      <c r="J94" s="6" t="str">
        <f>IFERROR(__xludf.DUMMYFUNCTION("IF(AND(REGEXMATCH($H94,""50( ?['fF]([oO]{2})?[tT]?)?( ?[eE][rR]{2}[oO][rR])"")=FALSE,$H94&lt;&gt;"""",$I94&lt;&gt;""""),HYPERLINK(""https://www.munzee.com/m/""&amp;$H94&amp;""/""&amp;$I94&amp;""/map/?lat=""&amp;$D94&amp;""&amp;lon=""&amp;$E94&amp;""&amp;type=""&amp;$G94&amp;""&amp;name=""&amp;SUBSTITUTE($A94,""#"",""%23"""&amp;"),$H94&amp;""/""&amp;$I94),IF($H94&lt;&gt;"""",IF(REGEXMATCH($H94,""50( ?['fF]([oO]{2})?[tT]?)?( ?[eE][rR]{2}[oO][rR])""),HYPERLINK(""https://www.munzee.com/map/?sandbox=1&amp;lat=""&amp;$D94&amp;""&amp;lon=""&amp;$E94&amp;""&amp;name=""&amp;SUBSTITUTE($A94,""#"",""%23""),""SANDBOX""),HYPERLINK(""htt"&amp;"ps://www.munzee.com/m/""&amp;$H94&amp;""/deploys/0/type/""&amp;IFNA(VLOOKUP($G94,IMPORTRANGE(""https://docs.google.com/spreadsheets/d/1DliIGyDywdzxhd4svtjaewR0p9Y5UBTMNMQ2PcXsqss"",""type data!E2:F""),2,FALSE),$G94)&amp;""/"",$H94)),""""))"),"destolkjes4ever/1972")</f>
        <v>destolkjes4ever/1972</v>
      </c>
      <c r="K94" s="5" t="b">
        <v>1</v>
      </c>
      <c r="L94" s="7"/>
      <c r="M94" s="7">
        <f t="shared" si="1"/>
        <v>1</v>
      </c>
    </row>
    <row r="95">
      <c r="A95" s="3" t="s">
        <v>171</v>
      </c>
      <c r="B95" s="3">
        <v>7.0</v>
      </c>
      <c r="C95" s="3">
        <v>7.0</v>
      </c>
      <c r="D95" s="4">
        <v>49.1905732201735</v>
      </c>
      <c r="E95" s="4">
        <v>-2.0939574218683</v>
      </c>
      <c r="F95" s="3" t="s">
        <v>33</v>
      </c>
      <c r="G95" s="3" t="s">
        <v>34</v>
      </c>
      <c r="H95" s="5" t="s">
        <v>140</v>
      </c>
      <c r="I95" s="9">
        <v>1976.0</v>
      </c>
      <c r="J95" s="6" t="str">
        <f>IFERROR(__xludf.DUMMYFUNCTION("IF(AND(REGEXMATCH($H95,""50( ?['fF]([oO]{2})?[tT]?)?( ?[eE][rR]{2}[oO][rR])"")=FALSE,$H95&lt;&gt;"""",$I95&lt;&gt;""""),HYPERLINK(""https://www.munzee.com/m/""&amp;$H95&amp;""/""&amp;$I95&amp;""/map/?lat=""&amp;$D95&amp;""&amp;lon=""&amp;$E95&amp;""&amp;type=""&amp;$G95&amp;""&amp;name=""&amp;SUBSTITUTE($A95,""#"",""%23"""&amp;"),$H95&amp;""/""&amp;$I95),IF($H95&lt;&gt;"""",IF(REGEXMATCH($H95,""50( ?['fF]([oO]{2})?[tT]?)?( ?[eE][rR]{2}[oO][rR])""),HYPERLINK(""https://www.munzee.com/map/?sandbox=1&amp;lat=""&amp;$D95&amp;""&amp;lon=""&amp;$E95&amp;""&amp;name=""&amp;SUBSTITUTE($A95,""#"",""%23""),""SANDBOX""),HYPERLINK(""htt"&amp;"ps://www.munzee.com/m/""&amp;$H95&amp;""/deploys/0/type/""&amp;IFNA(VLOOKUP($G95,IMPORTRANGE(""https://docs.google.com/spreadsheets/d/1DliIGyDywdzxhd4svtjaewR0p9Y5UBTMNMQ2PcXsqss"",""type data!E2:F""),2,FALSE),$G95)&amp;""/"",$H95)),""""))"),"cpmunz/1976")</f>
        <v>cpmunz/1976</v>
      </c>
      <c r="K95" s="5" t="b">
        <v>1</v>
      </c>
      <c r="L95" s="7"/>
      <c r="M95" s="7">
        <f t="shared" si="1"/>
        <v>5</v>
      </c>
    </row>
    <row r="96">
      <c r="A96" s="3" t="s">
        <v>172</v>
      </c>
      <c r="B96" s="3">
        <v>7.0</v>
      </c>
      <c r="C96" s="3">
        <v>10.0</v>
      </c>
      <c r="D96" s="4">
        <v>49.1902683215423</v>
      </c>
      <c r="E96" s="4">
        <v>-2.093490893934</v>
      </c>
      <c r="F96" s="3" t="s">
        <v>155</v>
      </c>
      <c r="G96" s="3" t="s">
        <v>156</v>
      </c>
      <c r="H96" s="5" t="s">
        <v>173</v>
      </c>
      <c r="I96" s="5">
        <v>17846.0</v>
      </c>
      <c r="J96" s="6" t="str">
        <f>IFERROR(__xludf.DUMMYFUNCTION("IF(AND(REGEXMATCH($H96,""50( ?['fF]([oO]{2})?[tT]?)?( ?[eE][rR]{2}[oO][rR])"")=FALSE,$H96&lt;&gt;"""",$I96&lt;&gt;""""),HYPERLINK(""https://www.munzee.com/m/""&amp;$H96&amp;""/""&amp;$I96&amp;""/map/?lat=""&amp;$D96&amp;""&amp;lon=""&amp;$E96&amp;""&amp;type=""&amp;$G96&amp;""&amp;name=""&amp;SUBSTITUTE($A96,""#"",""%23"""&amp;"),$H96&amp;""/""&amp;$I96),IF($H96&lt;&gt;"""",IF(REGEXMATCH($H96,""50( ?['fF]([oO]{2})?[tT]?)?( ?[eE][rR]{2}[oO][rR])""),HYPERLINK(""https://www.munzee.com/map/?sandbox=1&amp;lat=""&amp;$D96&amp;""&amp;lon=""&amp;$E96&amp;""&amp;name=""&amp;SUBSTITUTE($A96,""#"",""%23""),""SANDBOX""),HYPERLINK(""htt"&amp;"ps://www.munzee.com/m/""&amp;$H96&amp;""/deploys/0/type/""&amp;IFNA(VLOOKUP($G96,IMPORTRANGE(""https://docs.google.com/spreadsheets/d/1DliIGyDywdzxhd4svtjaewR0p9Y5UBTMNMQ2PcXsqss"",""type data!E2:F""),2,FALSE),$G96)&amp;""/"",$H96)),""""))"),"jacksparrow/17846")</f>
        <v>jacksparrow/17846</v>
      </c>
      <c r="K96" s="5" t="b">
        <v>1</v>
      </c>
      <c r="L96" s="7"/>
      <c r="M96" s="7">
        <f t="shared" si="1"/>
        <v>1</v>
      </c>
    </row>
    <row r="97">
      <c r="A97" s="3" t="s">
        <v>174</v>
      </c>
      <c r="B97" s="3">
        <v>7.0</v>
      </c>
      <c r="C97" s="3">
        <v>11.0</v>
      </c>
      <c r="D97" s="4">
        <v>49.1901666886653</v>
      </c>
      <c r="E97" s="4">
        <v>-2.0933353852615</v>
      </c>
      <c r="F97" s="3" t="s">
        <v>122</v>
      </c>
      <c r="G97" s="3" t="s">
        <v>123</v>
      </c>
      <c r="H97" s="5" t="s">
        <v>175</v>
      </c>
      <c r="I97" s="5"/>
      <c r="J97" s="6" t="str">
        <f>IFERROR(__xludf.DUMMYFUNCTION("IF(AND(REGEXMATCH($H97,""50( ?['fF]([oO]{2})?[tT]?)?( ?[eE][rR]{2}[oO][rR])"")=FALSE,$H97&lt;&gt;"""",$I97&lt;&gt;""""),HYPERLINK(""https://www.munzee.com/m/""&amp;$H97&amp;""/""&amp;$I97&amp;""/map/?lat=""&amp;$D97&amp;""&amp;lon=""&amp;$E97&amp;""&amp;type=""&amp;$G97&amp;""&amp;name=""&amp;SUBSTITUTE($A97,""#"",""%23"""&amp;"),$H97&amp;""/""&amp;$I97),IF($H97&lt;&gt;"""",IF(REGEXMATCH($H97,""50( ?['fF]([oO]{2})?[tT]?)?( ?[eE][rR]{2}[oO][rR])""),HYPERLINK(""https://www.munzee.com/map/?sandbox=1&amp;lat=""&amp;$D97&amp;""&amp;lon=""&amp;$E97&amp;""&amp;name=""&amp;SUBSTITUTE($A97,""#"",""%23""),""SANDBOX""),HYPERLINK(""htt"&amp;"ps://www.munzee.com/m/""&amp;$H97&amp;""/deploys/0/type/""&amp;IFNA(VLOOKUP($G97,IMPORTRANGE(""https://docs.google.com/spreadsheets/d/1DliIGyDywdzxhd4svtjaewR0p9Y5UBTMNMQ2PcXsqss"",""type data!E2:F""),2,FALSE),$G97)&amp;""/"",$H97)),""""))"),"MeanderingMonkeys")</f>
        <v>MeanderingMonkeys</v>
      </c>
      <c r="K97" s="5" t="b">
        <v>0</v>
      </c>
      <c r="L97" s="7"/>
      <c r="M97" s="7">
        <f t="shared" si="1"/>
        <v>0</v>
      </c>
    </row>
    <row r="98">
      <c r="A98" s="3" t="s">
        <v>176</v>
      </c>
      <c r="B98" s="3">
        <v>7.0</v>
      </c>
      <c r="C98" s="3">
        <v>12.0</v>
      </c>
      <c r="D98" s="4">
        <v>49.1900650557883</v>
      </c>
      <c r="E98" s="4">
        <v>-2.0931798769085</v>
      </c>
      <c r="F98" s="3" t="s">
        <v>122</v>
      </c>
      <c r="G98" s="3" t="s">
        <v>123</v>
      </c>
      <c r="H98" s="5"/>
      <c r="I98" s="5"/>
      <c r="J98" s="7" t="str">
        <f>IFERROR(__xludf.DUMMYFUNCTION("IF(AND(REGEXMATCH($H98,""50( ?['fF]([oO]{2})?[tT]?)?( ?[eE][rR]{2}[oO][rR])"")=FALSE,$H98&lt;&gt;"""",$I98&lt;&gt;""""),HYPERLINK(""https://www.munzee.com/m/""&amp;$H98&amp;""/""&amp;$I98&amp;""/map/?lat=""&amp;$D98&amp;""&amp;lon=""&amp;$E98&amp;""&amp;type=""&amp;$G98&amp;""&amp;name=""&amp;SUBSTITUTE($A98,""#"",""%23"""&amp;"),$H98&amp;""/""&amp;$I98),IF($H98&lt;&gt;"""",IF(REGEXMATCH($H98,""50( ?['fF]([oO]{2})?[tT]?)?( ?[eE][rR]{2}[oO][rR])""),HYPERLINK(""https://www.munzee.com/map/?sandbox=1&amp;lat=""&amp;$D98&amp;""&amp;lon=""&amp;$E98&amp;""&amp;name=""&amp;SUBSTITUTE($A98,""#"",""%23""),""SANDBOX""),HYPERLINK(""htt"&amp;"ps://www.munzee.com/m/""&amp;$H98&amp;""/deploys/0/type/""&amp;IFNA(VLOOKUP($G98,IMPORTRANGE(""https://docs.google.com/spreadsheets/d/1DliIGyDywdzxhd4svtjaewR0p9Y5UBTMNMQ2PcXsqss"",""type data!E2:F""),2,FALSE),$G98)&amp;""/"",$H98)),""""))"),"")</f>
        <v/>
      </c>
      <c r="K98" s="7" t="b">
        <v>0</v>
      </c>
      <c r="L98" s="5"/>
      <c r="M98" s="7" t="str">
        <f t="shared" si="1"/>
        <v/>
      </c>
    </row>
    <row r="99">
      <c r="A99" s="3" t="s">
        <v>177</v>
      </c>
      <c r="B99" s="3">
        <v>7.0</v>
      </c>
      <c r="C99" s="3">
        <v>13.0</v>
      </c>
      <c r="D99" s="4">
        <v>49.1899634229112</v>
      </c>
      <c r="E99" s="4">
        <v>-2.0930243688749</v>
      </c>
      <c r="F99" s="3" t="s">
        <v>122</v>
      </c>
      <c r="G99" s="3" t="s">
        <v>123</v>
      </c>
      <c r="H99" s="5"/>
      <c r="I99" s="7"/>
      <c r="J99" s="7" t="str">
        <f>IFERROR(__xludf.DUMMYFUNCTION("IF(AND(REGEXMATCH($H99,""50( ?['fF]([oO]{2})?[tT]?)?( ?[eE][rR]{2}[oO][rR])"")=FALSE,$H99&lt;&gt;"""",$I99&lt;&gt;""""),HYPERLINK(""https://www.munzee.com/m/""&amp;$H99&amp;""/""&amp;$I99&amp;""/map/?lat=""&amp;$D99&amp;""&amp;lon=""&amp;$E99&amp;""&amp;type=""&amp;$G99&amp;""&amp;name=""&amp;SUBSTITUTE($A99,""#"",""%23"""&amp;"),$H99&amp;""/""&amp;$I99),IF($H99&lt;&gt;"""",IF(REGEXMATCH($H99,""50( ?['fF]([oO]{2})?[tT]?)?( ?[eE][rR]{2}[oO][rR])""),HYPERLINK(""https://www.munzee.com/map/?sandbox=1&amp;lat=""&amp;$D99&amp;""&amp;lon=""&amp;$E99&amp;""&amp;name=""&amp;SUBSTITUTE($A99,""#"",""%23""),""SANDBOX""),HYPERLINK(""htt"&amp;"ps://www.munzee.com/m/""&amp;$H99&amp;""/deploys/0/type/""&amp;IFNA(VLOOKUP($G99,IMPORTRANGE(""https://docs.google.com/spreadsheets/d/1DliIGyDywdzxhd4svtjaewR0p9Y5UBTMNMQ2PcXsqss"",""type data!E2:F""),2,FALSE),$G99)&amp;""/"",$H99)),""""))"),"")</f>
        <v/>
      </c>
      <c r="K99" s="7" t="b">
        <v>0</v>
      </c>
      <c r="L99" s="7"/>
      <c r="M99" s="7" t="str">
        <f t="shared" si="1"/>
        <v/>
      </c>
    </row>
    <row r="100">
      <c r="A100" s="3" t="s">
        <v>178</v>
      </c>
      <c r="B100" s="3">
        <v>7.0</v>
      </c>
      <c r="C100" s="3">
        <v>14.0</v>
      </c>
      <c r="D100" s="4">
        <v>49.1898617900342</v>
      </c>
      <c r="E100" s="4">
        <v>-2.0928688611607</v>
      </c>
      <c r="F100" s="3" t="s">
        <v>122</v>
      </c>
      <c r="G100" s="3" t="s">
        <v>123</v>
      </c>
      <c r="H100" s="5"/>
      <c r="I100" s="5"/>
      <c r="J100" s="7" t="str">
        <f>IFERROR(__xludf.DUMMYFUNCTION("IF(AND(REGEXMATCH($H100,""50( ?['fF]([oO]{2})?[tT]?)?( ?[eE][rR]{2}[oO][rR])"")=FALSE,$H100&lt;&gt;"""",$I100&lt;&gt;""""),HYPERLINK(""https://www.munzee.com/m/""&amp;$H100&amp;""/""&amp;$I100&amp;""/map/?lat=""&amp;$D100&amp;""&amp;lon=""&amp;$E100&amp;""&amp;type=""&amp;$G100&amp;""&amp;name=""&amp;SUBSTITUTE($A100,""#"&amp;""",""%23""),$H100&amp;""/""&amp;$I100),IF($H100&lt;&gt;"""",IF(REGEXMATCH($H100,""50( ?['fF]([oO]{2})?[tT]?)?( ?[eE][rR]{2}[oO][rR])""),HYPERLINK(""https://www.munzee.com/map/?sandbox=1&amp;lat=""&amp;$D100&amp;""&amp;lon=""&amp;$E100&amp;""&amp;name=""&amp;SUBSTITUTE($A100,""#"",""%23""),""SANDBOX"""&amp;"),HYPERLINK(""https://www.munzee.com/m/""&amp;$H100&amp;""/deploys/0/type/""&amp;IFNA(VLOOKUP($G100,IMPORTRANGE(""https://docs.google.com/spreadsheets/d/1DliIGyDywdzxhd4svtjaewR0p9Y5UBTMNMQ2PcXsqss"",""type data!E2:F""),2,FALSE),$G100)&amp;""/"",$H100)),""""))"),"")</f>
        <v/>
      </c>
      <c r="K100" s="5" t="b">
        <v>0</v>
      </c>
      <c r="L100" s="7"/>
      <c r="M100" s="7" t="str">
        <f t="shared" si="1"/>
        <v/>
      </c>
    </row>
    <row r="101">
      <c r="A101" s="3" t="s">
        <v>179</v>
      </c>
      <c r="B101" s="3">
        <v>7.0</v>
      </c>
      <c r="C101" s="3">
        <v>15.0</v>
      </c>
      <c r="D101" s="4">
        <v>49.1897601571571</v>
      </c>
      <c r="E101" s="4">
        <v>-2.0927133537659</v>
      </c>
      <c r="F101" s="3" t="s">
        <v>151</v>
      </c>
      <c r="G101" s="3" t="s">
        <v>152</v>
      </c>
      <c r="H101" s="5" t="s">
        <v>140</v>
      </c>
      <c r="I101" s="9">
        <v>1972.0</v>
      </c>
      <c r="J101" s="6" t="str">
        <f>IFERROR(__xludf.DUMMYFUNCTION("IF(AND(REGEXMATCH($H101,""50( ?['fF]([oO]{2})?[tT]?)?( ?[eE][rR]{2}[oO][rR])"")=FALSE,$H101&lt;&gt;"""",$I101&lt;&gt;""""),HYPERLINK(""https://www.munzee.com/m/""&amp;$H101&amp;""/""&amp;$I101&amp;""/map/?lat=""&amp;$D101&amp;""&amp;lon=""&amp;$E101&amp;""&amp;type=""&amp;$G101&amp;""&amp;name=""&amp;SUBSTITUTE($A101,""#"&amp;""",""%23""),$H101&amp;""/""&amp;$I101),IF($H101&lt;&gt;"""",IF(REGEXMATCH($H101,""50( ?['fF]([oO]{2})?[tT]?)?( ?[eE][rR]{2}[oO][rR])""),HYPERLINK(""https://www.munzee.com/map/?sandbox=1&amp;lat=""&amp;$D101&amp;""&amp;lon=""&amp;$E101&amp;""&amp;name=""&amp;SUBSTITUTE($A101,""#"",""%23""),""SANDBOX"""&amp;"),HYPERLINK(""https://www.munzee.com/m/""&amp;$H101&amp;""/deploys/0/type/""&amp;IFNA(VLOOKUP($G101,IMPORTRANGE(""https://docs.google.com/spreadsheets/d/1DliIGyDywdzxhd4svtjaewR0p9Y5UBTMNMQ2PcXsqss"",""type data!E2:F""),2,FALSE),$G101)&amp;""/"",$H101)),""""))"),"cpmunz/1972")</f>
        <v>cpmunz/1972</v>
      </c>
      <c r="K101" s="5" t="b">
        <v>1</v>
      </c>
      <c r="L101" s="7"/>
      <c r="M101" s="7"/>
    </row>
    <row r="102">
      <c r="A102" s="3" t="s">
        <v>180</v>
      </c>
      <c r="B102" s="3">
        <v>7.0</v>
      </c>
      <c r="C102" s="3">
        <v>18.0</v>
      </c>
      <c r="D102" s="4">
        <v>49.189455258526</v>
      </c>
      <c r="E102" s="4">
        <v>-2.0922468334984</v>
      </c>
      <c r="F102" s="3" t="s">
        <v>151</v>
      </c>
      <c r="G102" s="3" t="s">
        <v>152</v>
      </c>
      <c r="H102" s="5"/>
      <c r="I102" s="5"/>
      <c r="J102" s="7" t="str">
        <f>IFERROR(__xludf.DUMMYFUNCTION("IF(AND(REGEXMATCH($H102,""50( ?['fF]([oO]{2})?[tT]?)?( ?[eE][rR]{2}[oO][rR])"")=FALSE,$H102&lt;&gt;"""",$I102&lt;&gt;""""),HYPERLINK(""https://www.munzee.com/m/""&amp;$H102&amp;""/""&amp;$I102&amp;""/map/?lat=""&amp;$D102&amp;""&amp;lon=""&amp;$E102&amp;""&amp;type=""&amp;$G102&amp;""&amp;name=""&amp;SUBSTITUTE($A102,""#"&amp;""",""%23""),$H102&amp;""/""&amp;$I102),IF($H102&lt;&gt;"""",IF(REGEXMATCH($H102,""50( ?['fF]([oO]{2})?[tT]?)?( ?[eE][rR]{2}[oO][rR])""),HYPERLINK(""https://www.munzee.com/map/?sandbox=1&amp;lat=""&amp;$D102&amp;""&amp;lon=""&amp;$E102&amp;""&amp;name=""&amp;SUBSTITUTE($A102,""#"",""%23""),""SANDBOX"""&amp;"),HYPERLINK(""https://www.munzee.com/m/""&amp;$H102&amp;""/deploys/0/type/""&amp;IFNA(VLOOKUP($G102,IMPORTRANGE(""https://docs.google.com/spreadsheets/d/1DliIGyDywdzxhd4svtjaewR0p9Y5UBTMNMQ2PcXsqss"",""type data!E2:F""),2,FALSE),$G102)&amp;""/"",$H102)),""""))"),"")</f>
        <v/>
      </c>
      <c r="K102" s="5" t="b">
        <v>0</v>
      </c>
      <c r="L102" s="7"/>
      <c r="M102" s="7"/>
    </row>
    <row r="103">
      <c r="A103" s="3" t="s">
        <v>181</v>
      </c>
      <c r="B103" s="3">
        <v>7.0</v>
      </c>
      <c r="C103" s="3">
        <v>19.0</v>
      </c>
      <c r="D103" s="4">
        <v>49.189353625649</v>
      </c>
      <c r="E103" s="4">
        <v>-2.0920913273815</v>
      </c>
      <c r="F103" s="3" t="s">
        <v>122</v>
      </c>
      <c r="G103" s="3" t="s">
        <v>123</v>
      </c>
      <c r="H103" s="5"/>
      <c r="I103" s="5"/>
      <c r="J103" s="7" t="str">
        <f>IFERROR(__xludf.DUMMYFUNCTION("IF(AND(REGEXMATCH($H103,""50( ?['fF]([oO]{2})?[tT]?)?( ?[eE][rR]{2}[oO][rR])"")=FALSE,$H103&lt;&gt;"""",$I103&lt;&gt;""""),HYPERLINK(""https://www.munzee.com/m/""&amp;$H103&amp;""/""&amp;$I103&amp;""/map/?lat=""&amp;$D103&amp;""&amp;lon=""&amp;$E103&amp;""&amp;type=""&amp;$G103&amp;""&amp;name=""&amp;SUBSTITUTE($A103,""#"&amp;""",""%23""),$H103&amp;""/""&amp;$I103),IF($H103&lt;&gt;"""",IF(REGEXMATCH($H103,""50( ?['fF]([oO]{2})?[tT]?)?( ?[eE][rR]{2}[oO][rR])""),HYPERLINK(""https://www.munzee.com/map/?sandbox=1&amp;lat=""&amp;$D103&amp;""&amp;lon=""&amp;$E103&amp;""&amp;name=""&amp;SUBSTITUTE($A103,""#"",""%23""),""SANDBOX"""&amp;"),HYPERLINK(""https://www.munzee.com/m/""&amp;$H103&amp;""/deploys/0/type/""&amp;IFNA(VLOOKUP($G103,IMPORTRANGE(""https://docs.google.com/spreadsheets/d/1DliIGyDywdzxhd4svtjaewR0p9Y5UBTMNMQ2PcXsqss"",""type data!E2:F""),2,FALSE),$G103)&amp;""/"",$H103)),""""))"),"")</f>
        <v/>
      </c>
      <c r="K103" s="5" t="b">
        <v>0</v>
      </c>
      <c r="L103" s="7"/>
      <c r="M103" s="7"/>
    </row>
    <row r="104">
      <c r="A104" s="3" t="s">
        <v>182</v>
      </c>
      <c r="B104" s="3">
        <v>7.0</v>
      </c>
      <c r="C104" s="3">
        <v>20.0</v>
      </c>
      <c r="D104" s="4">
        <v>49.1892519927719</v>
      </c>
      <c r="E104" s="4">
        <v>-2.091935821584</v>
      </c>
      <c r="F104" s="3" t="s">
        <v>122</v>
      </c>
      <c r="G104" s="3" t="s">
        <v>123</v>
      </c>
      <c r="H104" s="5"/>
      <c r="I104" s="5"/>
      <c r="J104" s="7" t="str">
        <f>IFERROR(__xludf.DUMMYFUNCTION("IF(AND(REGEXMATCH($H104,""50( ?['fF]([oO]{2})?[tT]?)?( ?[eE][rR]{2}[oO][rR])"")=FALSE,$H104&lt;&gt;"""",$I104&lt;&gt;""""),HYPERLINK(""https://www.munzee.com/m/""&amp;$H104&amp;""/""&amp;$I104&amp;""/map/?lat=""&amp;$D104&amp;""&amp;lon=""&amp;$E104&amp;""&amp;type=""&amp;$G104&amp;""&amp;name=""&amp;SUBSTITUTE($A104,""#"&amp;""",""%23""),$H104&amp;""/""&amp;$I104),IF($H104&lt;&gt;"""",IF(REGEXMATCH($H104,""50( ?['fF]([oO]{2})?[tT]?)?( ?[eE][rR]{2}[oO][rR])""),HYPERLINK(""https://www.munzee.com/map/?sandbox=1&amp;lat=""&amp;$D104&amp;""&amp;lon=""&amp;$E104&amp;""&amp;name=""&amp;SUBSTITUTE($A104,""#"",""%23""),""SANDBOX"""&amp;"),HYPERLINK(""https://www.munzee.com/m/""&amp;$H104&amp;""/deploys/0/type/""&amp;IFNA(VLOOKUP($G104,IMPORTRANGE(""https://docs.google.com/spreadsheets/d/1DliIGyDywdzxhd4svtjaewR0p9Y5UBTMNMQ2PcXsqss"",""type data!E2:F""),2,FALSE),$G104)&amp;""/"",$H104)),""""))"),"")</f>
        <v/>
      </c>
      <c r="K104" s="5" t="b">
        <v>0</v>
      </c>
      <c r="L104" s="7"/>
      <c r="M104" s="7"/>
    </row>
    <row r="105">
      <c r="A105" s="3" t="s">
        <v>183</v>
      </c>
      <c r="B105" s="3">
        <v>7.0</v>
      </c>
      <c r="C105" s="3">
        <v>21.0</v>
      </c>
      <c r="D105" s="4">
        <v>49.1891503598949</v>
      </c>
      <c r="E105" s="4">
        <v>-2.091780316106</v>
      </c>
      <c r="F105" s="3" t="s">
        <v>122</v>
      </c>
      <c r="G105" s="3" t="s">
        <v>123</v>
      </c>
      <c r="H105" s="5"/>
      <c r="I105" s="5"/>
      <c r="J105" s="7" t="str">
        <f>IFERROR(__xludf.DUMMYFUNCTION("IF(AND(REGEXMATCH($H105,""50( ?['fF]([oO]{2})?[tT]?)?( ?[eE][rR]{2}[oO][rR])"")=FALSE,$H105&lt;&gt;"""",$I105&lt;&gt;""""),HYPERLINK(""https://www.munzee.com/m/""&amp;$H105&amp;""/""&amp;$I105&amp;""/map/?lat=""&amp;$D105&amp;""&amp;lon=""&amp;$E105&amp;""&amp;type=""&amp;$G105&amp;""&amp;name=""&amp;SUBSTITUTE($A105,""#"&amp;""",""%23""),$H105&amp;""/""&amp;$I105),IF($H105&lt;&gt;"""",IF(REGEXMATCH($H105,""50( ?['fF]([oO]{2})?[tT]?)?( ?[eE][rR]{2}[oO][rR])""),HYPERLINK(""https://www.munzee.com/map/?sandbox=1&amp;lat=""&amp;$D105&amp;""&amp;lon=""&amp;$E105&amp;""&amp;name=""&amp;SUBSTITUTE($A105,""#"",""%23""),""SANDBOX"""&amp;"),HYPERLINK(""https://www.munzee.com/m/""&amp;$H105&amp;""/deploys/0/type/""&amp;IFNA(VLOOKUP($G105,IMPORTRANGE(""https://docs.google.com/spreadsheets/d/1DliIGyDywdzxhd4svtjaewR0p9Y5UBTMNMQ2PcXsqss"",""type data!E2:F""),2,FALSE),$G105)&amp;""/"",$H105)),""""))"),"")</f>
        <v/>
      </c>
      <c r="K105" s="5" t="b">
        <v>0</v>
      </c>
      <c r="L105" s="7"/>
      <c r="M105" s="7"/>
    </row>
    <row r="106">
      <c r="A106" s="3" t="s">
        <v>184</v>
      </c>
      <c r="B106" s="3">
        <v>7.0</v>
      </c>
      <c r="C106" s="3">
        <v>22.0</v>
      </c>
      <c r="D106" s="4">
        <v>49.1890487270179</v>
      </c>
      <c r="E106" s="4">
        <v>-2.0916248109475</v>
      </c>
      <c r="F106" s="3" t="s">
        <v>122</v>
      </c>
      <c r="G106" s="3" t="s">
        <v>123</v>
      </c>
      <c r="H106" s="5"/>
      <c r="I106" s="5"/>
      <c r="J106" s="7" t="str">
        <f>IFERROR(__xludf.DUMMYFUNCTION("IF(AND(REGEXMATCH($H106,""50( ?['fF]([oO]{2})?[tT]?)?( ?[eE][rR]{2}[oO][rR])"")=FALSE,$H106&lt;&gt;"""",$I106&lt;&gt;""""),HYPERLINK(""https://www.munzee.com/m/""&amp;$H106&amp;""/""&amp;$I106&amp;""/map/?lat=""&amp;$D106&amp;""&amp;lon=""&amp;$E106&amp;""&amp;type=""&amp;$G106&amp;""&amp;name=""&amp;SUBSTITUTE($A106,""#"&amp;""",""%23""),$H106&amp;""/""&amp;$I106),IF($H106&lt;&gt;"""",IF(REGEXMATCH($H106,""50( ?['fF]([oO]{2})?[tT]?)?( ?[eE][rR]{2}[oO][rR])""),HYPERLINK(""https://www.munzee.com/map/?sandbox=1&amp;lat=""&amp;$D106&amp;""&amp;lon=""&amp;$E106&amp;""&amp;name=""&amp;SUBSTITUTE($A106,""#"",""%23""),""SANDBOX"""&amp;"),HYPERLINK(""https://www.munzee.com/m/""&amp;$H106&amp;""/deploys/0/type/""&amp;IFNA(VLOOKUP($G106,IMPORTRANGE(""https://docs.google.com/spreadsheets/d/1DliIGyDywdzxhd4svtjaewR0p9Y5UBTMNMQ2PcXsqss"",""type data!E2:F""),2,FALSE),$G106)&amp;""/"",$H106)),""""))"),"")</f>
        <v/>
      </c>
      <c r="K106" s="5" t="b">
        <v>0</v>
      </c>
      <c r="L106" s="7"/>
      <c r="M106" s="7"/>
    </row>
    <row r="107">
      <c r="A107" s="3" t="s">
        <v>185</v>
      </c>
      <c r="B107" s="3">
        <v>7.0</v>
      </c>
      <c r="C107" s="3">
        <v>23.0</v>
      </c>
      <c r="D107" s="4">
        <v>49.1889470941408</v>
      </c>
      <c r="E107" s="4">
        <v>-2.0914693061084</v>
      </c>
      <c r="F107" s="3" t="s">
        <v>69</v>
      </c>
      <c r="G107" s="3" t="s">
        <v>70</v>
      </c>
      <c r="H107" s="5"/>
      <c r="I107" s="5"/>
      <c r="J107" s="7" t="str">
        <f>IFERROR(__xludf.DUMMYFUNCTION("IF(AND(REGEXMATCH($H107,""50( ?['fF]([oO]{2})?[tT]?)?( ?[eE][rR]{2}[oO][rR])"")=FALSE,$H107&lt;&gt;"""",$I107&lt;&gt;""""),HYPERLINK(""https://www.munzee.com/m/""&amp;$H107&amp;""/""&amp;$I107&amp;""/map/?lat=""&amp;$D107&amp;""&amp;lon=""&amp;$E107&amp;""&amp;type=""&amp;$G107&amp;""&amp;name=""&amp;SUBSTITUTE($A107,""#"&amp;""",""%23""),$H107&amp;""/""&amp;$I107),IF($H107&lt;&gt;"""",IF(REGEXMATCH($H107,""50( ?['fF]([oO]{2})?[tT]?)?( ?[eE][rR]{2}[oO][rR])""),HYPERLINK(""https://www.munzee.com/map/?sandbox=1&amp;lat=""&amp;$D107&amp;""&amp;lon=""&amp;$E107&amp;""&amp;name=""&amp;SUBSTITUTE($A107,""#"",""%23""),""SANDBOX"""&amp;"),HYPERLINK(""https://www.munzee.com/m/""&amp;$H107&amp;""/deploys/0/type/""&amp;IFNA(VLOOKUP($G107,IMPORTRANGE(""https://docs.google.com/spreadsheets/d/1DliIGyDywdzxhd4svtjaewR0p9Y5UBTMNMQ2PcXsqss"",""type data!E2:F""),2,FALSE),$G107)&amp;""/"",$H107)),""""))"),"")</f>
        <v/>
      </c>
      <c r="K107" s="5" t="b">
        <v>0</v>
      </c>
      <c r="L107" s="7"/>
      <c r="M107" s="7"/>
    </row>
    <row r="108">
      <c r="A108" s="3" t="s">
        <v>186</v>
      </c>
      <c r="B108" s="3">
        <v>7.0</v>
      </c>
      <c r="C108" s="3">
        <v>24.0</v>
      </c>
      <c r="D108" s="4">
        <v>49.1888454612638</v>
      </c>
      <c r="E108" s="4">
        <v>-2.0913138015886</v>
      </c>
      <c r="F108" s="3" t="s">
        <v>127</v>
      </c>
      <c r="G108" s="3" t="s">
        <v>128</v>
      </c>
      <c r="H108" s="5"/>
      <c r="I108" s="5"/>
      <c r="J108" s="7" t="str">
        <f>IFERROR(__xludf.DUMMYFUNCTION("IF(AND(REGEXMATCH($H108,""50( ?['fF]([oO]{2})?[tT]?)?( ?[eE][rR]{2}[oO][rR])"")=FALSE,$H108&lt;&gt;"""",$I108&lt;&gt;""""),HYPERLINK(""https://www.munzee.com/m/""&amp;$H108&amp;""/""&amp;$I108&amp;""/map/?lat=""&amp;$D108&amp;""&amp;lon=""&amp;$E108&amp;""&amp;type=""&amp;$G108&amp;""&amp;name=""&amp;SUBSTITUTE($A108,""#"&amp;""",""%23""),$H108&amp;""/""&amp;$I108),IF($H108&lt;&gt;"""",IF(REGEXMATCH($H108,""50( ?['fF]([oO]{2})?[tT]?)?( ?[eE][rR]{2}[oO][rR])""),HYPERLINK(""https://www.munzee.com/map/?sandbox=1&amp;lat=""&amp;$D108&amp;""&amp;lon=""&amp;$E108&amp;""&amp;name=""&amp;SUBSTITUTE($A108,""#"",""%23""),""SANDBOX"""&amp;"),HYPERLINK(""https://www.munzee.com/m/""&amp;$H108&amp;""/deploys/0/type/""&amp;IFNA(VLOOKUP($G108,IMPORTRANGE(""https://docs.google.com/spreadsheets/d/1DliIGyDywdzxhd4svtjaewR0p9Y5UBTMNMQ2PcXsqss"",""type data!E2:F""),2,FALSE),$G108)&amp;""/"",$H108)),""""))"),"")</f>
        <v/>
      </c>
      <c r="K108" s="5" t="b">
        <v>0</v>
      </c>
      <c r="L108" s="7"/>
      <c r="M108" s="7"/>
    </row>
    <row r="109">
      <c r="A109" s="3" t="s">
        <v>187</v>
      </c>
      <c r="B109" s="3">
        <v>8.0</v>
      </c>
      <c r="C109" s="3">
        <v>1.0</v>
      </c>
      <c r="D109" s="4">
        <v>49.1910813845587</v>
      </c>
      <c r="E109" s="4">
        <v>-2.0950460068561</v>
      </c>
      <c r="F109" s="3" t="s">
        <v>14</v>
      </c>
      <c r="G109" s="3" t="s">
        <v>15</v>
      </c>
      <c r="H109" s="5" t="s">
        <v>55</v>
      </c>
      <c r="I109" s="5">
        <v>582.0</v>
      </c>
      <c r="J109" s="6" t="str">
        <f>IFERROR(__xludf.DUMMYFUNCTION("IF(AND(REGEXMATCH($H109,""50( ?['fF]([oO]{2})?[tT]?)?( ?[eE][rR]{2}[oO][rR])"")=FALSE,$H109&lt;&gt;"""",$I109&lt;&gt;""""),HYPERLINK(""https://www.munzee.com/m/""&amp;$H109&amp;""/""&amp;$I109&amp;""/map/?lat=""&amp;$D109&amp;""&amp;lon=""&amp;$E109&amp;""&amp;type=""&amp;$G109&amp;""&amp;name=""&amp;SUBSTITUTE($A109,""#"&amp;""",""%23""),$H109&amp;""/""&amp;$I109),IF($H109&lt;&gt;"""",IF(REGEXMATCH($H109,""50( ?['fF]([oO]{2})?[tT]?)?( ?[eE][rR]{2}[oO][rR])""),HYPERLINK(""https://www.munzee.com/map/?sandbox=1&amp;lat=""&amp;$D109&amp;""&amp;lon=""&amp;$E109&amp;""&amp;name=""&amp;SUBSTITUTE($A109,""#"",""%23""),""SANDBOX"""&amp;"),HYPERLINK(""https://www.munzee.com/m/""&amp;$H109&amp;""/deploys/0/type/""&amp;IFNA(VLOOKUP($G109,IMPORTRANGE(""https://docs.google.com/spreadsheets/d/1DliIGyDywdzxhd4svtjaewR0p9Y5UBTMNMQ2PcXsqss"",""type data!E2:F""),2,FALSE),$G109)&amp;""/"",$H109)),""""))"),"Miaiow/582")</f>
        <v>Miaiow/582</v>
      </c>
      <c r="K109" s="5" t="b">
        <v>1</v>
      </c>
      <c r="L109" s="7"/>
      <c r="M109" s="7"/>
    </row>
    <row r="110">
      <c r="A110" s="3" t="s">
        <v>188</v>
      </c>
      <c r="B110" s="3">
        <v>8.0</v>
      </c>
      <c r="C110" s="3">
        <v>2.0</v>
      </c>
      <c r="D110" s="4">
        <v>49.1909797516816</v>
      </c>
      <c r="E110" s="4">
        <v>-2.0948904956279</v>
      </c>
      <c r="F110" s="3" t="s">
        <v>39</v>
      </c>
      <c r="G110" s="3" t="s">
        <v>40</v>
      </c>
      <c r="H110" s="5" t="s">
        <v>189</v>
      </c>
      <c r="I110" s="16">
        <v>334.0</v>
      </c>
      <c r="J110" s="6" t="str">
        <f>IFERROR(__xludf.DUMMYFUNCTION("IF(AND(REGEXMATCH($H110,""50( ?['fF]([oO]{2})?[tT]?)?( ?[eE][rR]{2}[oO][rR])"")=FALSE,$H110&lt;&gt;"""",$I110&lt;&gt;""""),HYPERLINK(""https://www.munzee.com/m/""&amp;$H110&amp;""/""&amp;$I110&amp;""/map/?lat=""&amp;$D110&amp;""&amp;lon=""&amp;$E110&amp;""&amp;type=""&amp;$G110&amp;""&amp;name=""&amp;SUBSTITUTE($A110,""#"&amp;""",""%23""),$H110&amp;""/""&amp;$I110),IF($H110&lt;&gt;"""",IF(REGEXMATCH($H110,""50( ?['fF]([oO]{2})?[tT]?)?( ?[eE][rR]{2}[oO][rR])""),HYPERLINK(""https://www.munzee.com/map/?sandbox=1&amp;lat=""&amp;$D110&amp;""&amp;lon=""&amp;$E110&amp;""&amp;name=""&amp;SUBSTITUTE($A110,""#"",""%23""),""SANDBOX"""&amp;"),HYPERLINK(""https://www.munzee.com/m/""&amp;$H110&amp;""/deploys/0/type/""&amp;IFNA(VLOOKUP($G110,IMPORTRANGE(""https://docs.google.com/spreadsheets/d/1DliIGyDywdzxhd4svtjaewR0p9Y5UBTMNMQ2PcXsqss"",""type data!E2:F""),2,FALSE),$G110)&amp;""/"",$H110)),""""))"),"ArchieRuby/334")</f>
        <v>ArchieRuby/334</v>
      </c>
      <c r="K110" s="5" t="b">
        <v>1</v>
      </c>
      <c r="L110" s="7"/>
      <c r="M110" s="7"/>
    </row>
    <row r="111">
      <c r="A111" s="3" t="s">
        <v>190</v>
      </c>
      <c r="B111" s="3">
        <v>8.0</v>
      </c>
      <c r="C111" s="3">
        <v>3.0</v>
      </c>
      <c r="D111" s="4">
        <v>49.1908781188046</v>
      </c>
      <c r="E111" s="4">
        <v>-2.094734984719</v>
      </c>
      <c r="F111" s="3" t="s">
        <v>39</v>
      </c>
      <c r="G111" s="3" t="s">
        <v>40</v>
      </c>
      <c r="H111" s="5" t="s">
        <v>191</v>
      </c>
      <c r="I111" s="5">
        <v>1115.0</v>
      </c>
      <c r="J111" s="6" t="str">
        <f>IFERROR(__xludf.DUMMYFUNCTION("IF(AND(REGEXMATCH($H111,""50( ?['fF]([oO]{2})?[tT]?)?( ?[eE][rR]{2}[oO][rR])"")=FALSE,$H111&lt;&gt;"""",$I111&lt;&gt;""""),HYPERLINK(""https://www.munzee.com/m/""&amp;$H111&amp;""/""&amp;$I111&amp;""/map/?lat=""&amp;$D111&amp;""&amp;lon=""&amp;$E111&amp;""&amp;type=""&amp;$G111&amp;""&amp;name=""&amp;SUBSTITUTE($A111,""#"&amp;""",""%23""),$H111&amp;""/""&amp;$I111),IF($H111&lt;&gt;"""",IF(REGEXMATCH($H111,""50( ?['fF]([oO]{2})?[tT]?)?( ?[eE][rR]{2}[oO][rR])""),HYPERLINK(""https://www.munzee.com/map/?sandbox=1&amp;lat=""&amp;$D111&amp;""&amp;lon=""&amp;$E111&amp;""&amp;name=""&amp;SUBSTITUTE($A111,""#"",""%23""),""SANDBOX"""&amp;"),HYPERLINK(""https://www.munzee.com/m/""&amp;$H111&amp;""/deploys/0/type/""&amp;IFNA(VLOOKUP($G111,IMPORTRANGE(""https://docs.google.com/spreadsheets/d/1DliIGyDywdzxhd4svtjaewR0p9Y5UBTMNMQ2PcXsqss"",""type data!E2:F""),2,FALSE),$G111)&amp;""/"",$H111)),""""))"),"walktohere/1115")</f>
        <v>walktohere/1115</v>
      </c>
      <c r="K111" s="5" t="b">
        <v>1</v>
      </c>
      <c r="L111" s="7"/>
      <c r="M111" s="7"/>
    </row>
    <row r="112">
      <c r="A112" s="3" t="s">
        <v>192</v>
      </c>
      <c r="B112" s="3">
        <v>8.0</v>
      </c>
      <c r="C112" s="3">
        <v>4.0</v>
      </c>
      <c r="D112" s="4">
        <v>49.1907764859275</v>
      </c>
      <c r="E112" s="4">
        <v>-2.0945794741297</v>
      </c>
      <c r="F112" s="3" t="s">
        <v>69</v>
      </c>
      <c r="G112" s="3" t="s">
        <v>70</v>
      </c>
      <c r="H112" s="5"/>
      <c r="I112" s="5"/>
      <c r="J112" s="7" t="str">
        <f>IFERROR(__xludf.DUMMYFUNCTION("IF(AND(REGEXMATCH($H112,""50( ?['fF]([oO]{2})?[tT]?)?( ?[eE][rR]{2}[oO][rR])"")=FALSE,$H112&lt;&gt;"""",$I112&lt;&gt;""""),HYPERLINK(""https://www.munzee.com/m/""&amp;$H112&amp;""/""&amp;$I112&amp;""/map/?lat=""&amp;$D112&amp;""&amp;lon=""&amp;$E112&amp;""&amp;type=""&amp;$G112&amp;""&amp;name=""&amp;SUBSTITUTE($A112,""#"&amp;""",""%23""),$H112&amp;""/""&amp;$I112),IF($H112&lt;&gt;"""",IF(REGEXMATCH($H112,""50( ?['fF]([oO]{2})?[tT]?)?( ?[eE][rR]{2}[oO][rR])""),HYPERLINK(""https://www.munzee.com/map/?sandbox=1&amp;lat=""&amp;$D112&amp;""&amp;lon=""&amp;$E112&amp;""&amp;name=""&amp;SUBSTITUTE($A112,""#"",""%23""),""SANDBOX"""&amp;"),HYPERLINK(""https://www.munzee.com/m/""&amp;$H112&amp;""/deploys/0/type/""&amp;IFNA(VLOOKUP($G112,IMPORTRANGE(""https://docs.google.com/spreadsheets/d/1DliIGyDywdzxhd4svtjaewR0p9Y5UBTMNMQ2PcXsqss"",""type data!E2:F""),2,FALSE),$G112)&amp;""/"",$H112)),""""))"),"")</f>
        <v/>
      </c>
      <c r="K112" s="5" t="b">
        <v>0</v>
      </c>
      <c r="L112" s="7"/>
      <c r="M112" s="7"/>
    </row>
    <row r="113">
      <c r="A113" s="3" t="s">
        <v>193</v>
      </c>
      <c r="B113" s="3">
        <v>8.0</v>
      </c>
      <c r="C113" s="3">
        <v>5.0</v>
      </c>
      <c r="D113" s="4">
        <v>49.1906748530505</v>
      </c>
      <c r="E113" s="4">
        <v>-2.0944239638598</v>
      </c>
      <c r="F113" s="3" t="s">
        <v>69</v>
      </c>
      <c r="G113" s="3" t="s">
        <v>70</v>
      </c>
      <c r="H113" s="5"/>
      <c r="I113" s="5"/>
      <c r="J113" s="7" t="str">
        <f>IFERROR(__xludf.DUMMYFUNCTION("IF(AND(REGEXMATCH($H113,""50( ?['fF]([oO]{2})?[tT]?)?( ?[eE][rR]{2}[oO][rR])"")=FALSE,$H113&lt;&gt;"""",$I113&lt;&gt;""""),HYPERLINK(""https://www.munzee.com/m/""&amp;$H113&amp;""/""&amp;$I113&amp;""/map/?lat=""&amp;$D113&amp;""&amp;lon=""&amp;$E113&amp;""&amp;type=""&amp;$G113&amp;""&amp;name=""&amp;SUBSTITUTE($A113,""#"&amp;""",""%23""),$H113&amp;""/""&amp;$I113),IF($H113&lt;&gt;"""",IF(REGEXMATCH($H113,""50( ?['fF]([oO]{2})?[tT]?)?( ?[eE][rR]{2}[oO][rR])""),HYPERLINK(""https://www.munzee.com/map/?sandbox=1&amp;lat=""&amp;$D113&amp;""&amp;lon=""&amp;$E113&amp;""&amp;name=""&amp;SUBSTITUTE($A113,""#"",""%23""),""SANDBOX"""&amp;"),HYPERLINK(""https://www.munzee.com/m/""&amp;$H113&amp;""/deploys/0/type/""&amp;IFNA(VLOOKUP($G113,IMPORTRANGE(""https://docs.google.com/spreadsheets/d/1DliIGyDywdzxhd4svtjaewR0p9Y5UBTMNMQ2PcXsqss"",""type data!E2:F""),2,FALSE),$G113)&amp;""/"",$H113)),""""))"),"")</f>
        <v/>
      </c>
      <c r="K113" s="5" t="b">
        <v>0</v>
      </c>
      <c r="L113" s="7"/>
      <c r="M113" s="7"/>
    </row>
    <row r="114">
      <c r="A114" s="3" t="s">
        <v>194</v>
      </c>
      <c r="B114" s="3">
        <v>8.0</v>
      </c>
      <c r="C114" s="3">
        <v>6.0</v>
      </c>
      <c r="D114" s="4">
        <v>49.1905732201735</v>
      </c>
      <c r="E114" s="4">
        <v>-2.0942684539093</v>
      </c>
      <c r="F114" s="3" t="s">
        <v>69</v>
      </c>
      <c r="G114" s="3" t="s">
        <v>70</v>
      </c>
      <c r="H114" s="5"/>
      <c r="I114" s="5"/>
      <c r="J114" s="7" t="str">
        <f>IFERROR(__xludf.DUMMYFUNCTION("IF(AND(REGEXMATCH($H114,""50( ?['fF]([oO]{2})?[tT]?)?( ?[eE][rR]{2}[oO][rR])"")=FALSE,$H114&lt;&gt;"""",$I114&lt;&gt;""""),HYPERLINK(""https://www.munzee.com/m/""&amp;$H114&amp;""/""&amp;$I114&amp;""/map/?lat=""&amp;$D114&amp;""&amp;lon=""&amp;$E114&amp;""&amp;type=""&amp;$G114&amp;""&amp;name=""&amp;SUBSTITUTE($A114,""#"&amp;""",""%23""),$H114&amp;""/""&amp;$I114),IF($H114&lt;&gt;"""",IF(REGEXMATCH($H114,""50( ?['fF]([oO]{2})?[tT]?)?( ?[eE][rR]{2}[oO][rR])""),HYPERLINK(""https://www.munzee.com/map/?sandbox=1&amp;lat=""&amp;$D114&amp;""&amp;lon=""&amp;$E114&amp;""&amp;name=""&amp;SUBSTITUTE($A114,""#"",""%23""),""SANDBOX"""&amp;"),HYPERLINK(""https://www.munzee.com/m/""&amp;$H114&amp;""/deploys/0/type/""&amp;IFNA(VLOOKUP($G114,IMPORTRANGE(""https://docs.google.com/spreadsheets/d/1DliIGyDywdzxhd4svtjaewR0p9Y5UBTMNMQ2PcXsqss"",""type data!E2:F""),2,FALSE),$G114)&amp;""/"",$H114)),""""))"),"")</f>
        <v/>
      </c>
      <c r="K114" s="5" t="b">
        <v>0</v>
      </c>
      <c r="L114" s="7"/>
      <c r="M114" s="7"/>
    </row>
    <row r="115">
      <c r="A115" s="3" t="s">
        <v>195</v>
      </c>
      <c r="B115" s="3">
        <v>8.0</v>
      </c>
      <c r="C115" s="3">
        <v>7.0</v>
      </c>
      <c r="D115" s="4">
        <v>49.1904715872964</v>
      </c>
      <c r="E115" s="4">
        <v>-2.0941129442784</v>
      </c>
      <c r="F115" s="3" t="s">
        <v>127</v>
      </c>
      <c r="G115" s="3" t="s">
        <v>128</v>
      </c>
      <c r="H115" s="5" t="s">
        <v>196</v>
      </c>
      <c r="I115" s="5">
        <v>1582.0</v>
      </c>
      <c r="J115" s="6" t="str">
        <f>IFERROR(__xludf.DUMMYFUNCTION("IF(AND(REGEXMATCH($H115,""50( ?['fF]([oO]{2})?[tT]?)?( ?[eE][rR]{2}[oO][rR])"")=FALSE,$H115&lt;&gt;"""",$I115&lt;&gt;""""),HYPERLINK(""https://www.munzee.com/m/""&amp;$H115&amp;""/""&amp;$I115&amp;""/map/?lat=""&amp;$D115&amp;""&amp;lon=""&amp;$E115&amp;""&amp;type=""&amp;$G115&amp;""&amp;name=""&amp;SUBSTITUTE($A115,""#"&amp;""",""%23""),$H115&amp;""/""&amp;$I115),IF($H115&lt;&gt;"""",IF(REGEXMATCH($H115,""50( ?['fF]([oO]{2})?[tT]?)?( ?[eE][rR]{2}[oO][rR])""),HYPERLINK(""https://www.munzee.com/map/?sandbox=1&amp;lat=""&amp;$D115&amp;""&amp;lon=""&amp;$E115&amp;""&amp;name=""&amp;SUBSTITUTE($A115,""#"",""%23""),""SANDBOX"""&amp;"),HYPERLINK(""https://www.munzee.com/m/""&amp;$H115&amp;""/deploys/0/type/""&amp;IFNA(VLOOKUP($G115,IMPORTRANGE(""https://docs.google.com/spreadsheets/d/1DliIGyDywdzxhd4svtjaewR0p9Y5UBTMNMQ2PcXsqss"",""type data!E2:F""),2,FALSE),$G115)&amp;""/"",$H115)),""""))"),"Moppett85 /1582")</f>
        <v>Moppett85 /1582</v>
      </c>
      <c r="K115" s="5" t="b">
        <v>1</v>
      </c>
      <c r="L115" s="7"/>
      <c r="M115" s="7"/>
    </row>
    <row r="116">
      <c r="A116" s="3" t="s">
        <v>197</v>
      </c>
      <c r="B116" s="3">
        <v>8.0</v>
      </c>
      <c r="C116" s="3">
        <v>8.0</v>
      </c>
      <c r="D116" s="4">
        <v>49.1903699544194</v>
      </c>
      <c r="E116" s="4">
        <v>-2.093957434967</v>
      </c>
      <c r="F116" s="3" t="s">
        <v>155</v>
      </c>
      <c r="G116" s="3" t="s">
        <v>156</v>
      </c>
      <c r="H116" s="5" t="s">
        <v>198</v>
      </c>
      <c r="I116" s="5">
        <v>1775.0</v>
      </c>
      <c r="J116" s="6" t="str">
        <f>IFERROR(__xludf.DUMMYFUNCTION("IF(AND(REGEXMATCH($H116,""50( ?['fF]([oO]{2})?[tT]?)?( ?[eE][rR]{2}[oO][rR])"")=FALSE,$H116&lt;&gt;"""",$I116&lt;&gt;""""),HYPERLINK(""https://www.munzee.com/m/""&amp;$H116&amp;""/""&amp;$I116&amp;""/map/?lat=""&amp;$D116&amp;""&amp;lon=""&amp;$E116&amp;""&amp;type=""&amp;$G116&amp;""&amp;name=""&amp;SUBSTITUTE($A116,""#"&amp;""",""%23""),$H116&amp;""/""&amp;$I116),IF($H116&lt;&gt;"""",IF(REGEXMATCH($H116,""50( ?['fF]([oO]{2})?[tT]?)?( ?[eE][rR]{2}[oO][rR])""),HYPERLINK(""https://www.munzee.com/map/?sandbox=1&amp;lat=""&amp;$D116&amp;""&amp;lon=""&amp;$E116&amp;""&amp;name=""&amp;SUBSTITUTE($A116,""#"",""%23""),""SANDBOX"""&amp;"),HYPERLINK(""https://www.munzee.com/m/""&amp;$H116&amp;""/deploys/0/type/""&amp;IFNA(VLOOKUP($G116,IMPORTRANGE(""https://docs.google.com/spreadsheets/d/1DliIGyDywdzxhd4svtjaewR0p9Y5UBTMNMQ2PcXsqss"",""type data!E2:F""),2,FALSE),$G116)&amp;""/"",$H116)),""""))"),"Pippy44 /1775")</f>
        <v>Pippy44 /1775</v>
      </c>
      <c r="K116" s="5" t="b">
        <v>0</v>
      </c>
      <c r="L116" s="7"/>
      <c r="M116" s="7"/>
    </row>
    <row r="117">
      <c r="A117" s="3" t="s">
        <v>199</v>
      </c>
      <c r="B117" s="3">
        <v>8.0</v>
      </c>
      <c r="C117" s="3">
        <v>11.0</v>
      </c>
      <c r="D117" s="4">
        <v>49.1900650557883</v>
      </c>
      <c r="E117" s="4">
        <v>-2.0934909089495</v>
      </c>
      <c r="F117" s="3" t="s">
        <v>200</v>
      </c>
      <c r="G117" s="3" t="s">
        <v>201</v>
      </c>
      <c r="H117" s="5"/>
      <c r="I117" s="5"/>
      <c r="J117" s="7" t="str">
        <f>IFERROR(__xludf.DUMMYFUNCTION("IF(AND(REGEXMATCH($H117,""50( ?['fF]([oO]{2})?[tT]?)?( ?[eE][rR]{2}[oO][rR])"")=FALSE,$H117&lt;&gt;"""",$I117&lt;&gt;""""),HYPERLINK(""https://www.munzee.com/m/""&amp;$H117&amp;""/""&amp;$I117&amp;""/map/?lat=""&amp;$D117&amp;""&amp;lon=""&amp;$E117&amp;""&amp;type=""&amp;$G117&amp;""&amp;name=""&amp;SUBSTITUTE($A117,""#"&amp;""",""%23""),$H117&amp;""/""&amp;$I117),IF($H117&lt;&gt;"""",IF(REGEXMATCH($H117,""50( ?['fF]([oO]{2})?[tT]?)?( ?[eE][rR]{2}[oO][rR])""),HYPERLINK(""https://www.munzee.com/map/?sandbox=1&amp;lat=""&amp;$D117&amp;""&amp;lon=""&amp;$E117&amp;""&amp;name=""&amp;SUBSTITUTE($A117,""#"",""%23""),""SANDBOX"""&amp;"),HYPERLINK(""https://www.munzee.com/m/""&amp;$H117&amp;""/deploys/0/type/""&amp;IFNA(VLOOKUP($G117,IMPORTRANGE(""https://docs.google.com/spreadsheets/d/1DliIGyDywdzxhd4svtjaewR0p9Y5UBTMNMQ2PcXsqss"",""type data!E2:F""),2,FALSE),$G117)&amp;""/"",$H117)),""""))"),"")</f>
        <v/>
      </c>
      <c r="K117" s="5" t="b">
        <v>0</v>
      </c>
      <c r="L117" s="7"/>
      <c r="M117" s="7"/>
    </row>
    <row r="118">
      <c r="A118" s="3" t="s">
        <v>202</v>
      </c>
      <c r="B118" s="3">
        <v>8.0</v>
      </c>
      <c r="C118" s="3">
        <v>12.0</v>
      </c>
      <c r="D118" s="4">
        <v>49.1899634229112</v>
      </c>
      <c r="E118" s="4">
        <v>-2.093335400916</v>
      </c>
      <c r="F118" s="3" t="s">
        <v>122</v>
      </c>
      <c r="G118" s="3" t="s">
        <v>123</v>
      </c>
      <c r="H118" s="5"/>
      <c r="I118" s="5"/>
      <c r="J118" s="7" t="str">
        <f>IFERROR(__xludf.DUMMYFUNCTION("IF(AND(REGEXMATCH($H118,""50( ?['fF]([oO]{2})?[tT]?)?( ?[eE][rR]{2}[oO][rR])"")=FALSE,$H118&lt;&gt;"""",$I118&lt;&gt;""""),HYPERLINK(""https://www.munzee.com/m/""&amp;$H118&amp;""/""&amp;$I118&amp;""/map/?lat=""&amp;$D118&amp;""&amp;lon=""&amp;$E118&amp;""&amp;type=""&amp;$G118&amp;""&amp;name=""&amp;SUBSTITUTE($A118,""#"&amp;""",""%23""),$H118&amp;""/""&amp;$I118),IF($H118&lt;&gt;"""",IF(REGEXMATCH($H118,""50( ?['fF]([oO]{2})?[tT]?)?( ?[eE][rR]{2}[oO][rR])""),HYPERLINK(""https://www.munzee.com/map/?sandbox=1&amp;lat=""&amp;$D118&amp;""&amp;lon=""&amp;$E118&amp;""&amp;name=""&amp;SUBSTITUTE($A118,""#"",""%23""),""SANDBOX"""&amp;"),HYPERLINK(""https://www.munzee.com/m/""&amp;$H118&amp;""/deploys/0/type/""&amp;IFNA(VLOOKUP($G118,IMPORTRANGE(""https://docs.google.com/spreadsheets/d/1DliIGyDywdzxhd4svtjaewR0p9Y5UBTMNMQ2PcXsqss"",""type data!E2:F""),2,FALSE),$G118)&amp;""/"",$H118)),""""))"),"")</f>
        <v/>
      </c>
      <c r="K118" s="5" t="b">
        <v>0</v>
      </c>
      <c r="L118" s="7"/>
      <c r="M118" s="7"/>
    </row>
    <row r="119">
      <c r="A119" s="3" t="s">
        <v>203</v>
      </c>
      <c r="B119" s="3">
        <v>8.0</v>
      </c>
      <c r="C119" s="3">
        <v>13.0</v>
      </c>
      <c r="D119" s="4">
        <v>49.1898617900342</v>
      </c>
      <c r="E119" s="4">
        <v>-2.0931798932018</v>
      </c>
      <c r="F119" s="3" t="s">
        <v>204</v>
      </c>
      <c r="G119" s="3" t="s">
        <v>205</v>
      </c>
      <c r="H119" s="5" t="s">
        <v>47</v>
      </c>
      <c r="I119" s="5">
        <v>6486.0</v>
      </c>
      <c r="J119" s="6" t="str">
        <f>IFERROR(__xludf.DUMMYFUNCTION("IF(AND(REGEXMATCH($H119,""50( ?['fF]([oO]{2})?[tT]?)?( ?[eE][rR]{2}[oO][rR])"")=FALSE,$H119&lt;&gt;"""",$I119&lt;&gt;""""),HYPERLINK(""https://www.munzee.com/m/""&amp;$H119&amp;""/""&amp;$I119&amp;""/map/?lat=""&amp;$D119&amp;""&amp;lon=""&amp;$E119&amp;""&amp;type=""&amp;$G119&amp;""&amp;name=""&amp;SUBSTITUTE($A119,""#"&amp;""",""%23""),$H119&amp;""/""&amp;$I119),IF($H119&lt;&gt;"""",IF(REGEXMATCH($H119,""50( ?['fF]([oO]{2})?[tT]?)?( ?[eE][rR]{2}[oO][rR])""),HYPERLINK(""https://www.munzee.com/map/?sandbox=1&amp;lat=""&amp;$D119&amp;""&amp;lon=""&amp;$E119&amp;""&amp;name=""&amp;SUBSTITUTE($A119,""#"",""%23""),""SANDBOX"""&amp;"),HYPERLINK(""https://www.munzee.com/m/""&amp;$H119&amp;""/deploys/0/type/""&amp;IFNA(VLOOKUP($G119,IMPORTRANGE(""https://docs.google.com/spreadsheets/d/1DliIGyDywdzxhd4svtjaewR0p9Y5UBTMNMQ2PcXsqss"",""type data!E2:F""),2,FALSE),$G119)&amp;""/"",$H119)),""""))"),"MsGiggler/6486")</f>
        <v>MsGiggler/6486</v>
      </c>
      <c r="K119" s="5" t="b">
        <v>1</v>
      </c>
      <c r="M119" s="7"/>
    </row>
    <row r="120">
      <c r="A120" s="3" t="s">
        <v>206</v>
      </c>
      <c r="B120" s="3">
        <v>8.0</v>
      </c>
      <c r="C120" s="3">
        <v>14.0</v>
      </c>
      <c r="D120" s="4">
        <v>49.1897601571571</v>
      </c>
      <c r="E120" s="4">
        <v>-2.093024385807</v>
      </c>
      <c r="F120" s="3" t="s">
        <v>207</v>
      </c>
      <c r="G120" s="3" t="s">
        <v>208</v>
      </c>
      <c r="H120" s="5" t="s">
        <v>209</v>
      </c>
      <c r="I120" s="17">
        <v>5775.0</v>
      </c>
      <c r="J120" s="6" t="str">
        <f>IFERROR(__xludf.DUMMYFUNCTION("IF(AND(REGEXMATCH($H120,""50( ?['fF]([oO]{2})?[tT]?)?( ?[eE][rR]{2}[oO][rR])"")=FALSE,$H120&lt;&gt;"""",$I120&lt;&gt;""""),HYPERLINK(""https://www.munzee.com/m/""&amp;$H120&amp;""/""&amp;$I120&amp;""/map/?lat=""&amp;$D120&amp;""&amp;lon=""&amp;$E120&amp;""&amp;type=""&amp;$G120&amp;""&amp;name=""&amp;SUBSTITUTE($A120,""#"&amp;""",""%23""),$H120&amp;""/""&amp;$I120),IF($H120&lt;&gt;"""",IF(REGEXMATCH($H120,""50( ?['fF]([oO]{2})?[tT]?)?( ?[eE][rR]{2}[oO][rR])""),HYPERLINK(""https://www.munzee.com/map/?sandbox=1&amp;lat=""&amp;$D120&amp;""&amp;lon=""&amp;$E120&amp;""&amp;name=""&amp;SUBSTITUTE($A120,""#"",""%23""),""SANDBOX"""&amp;"),HYPERLINK(""https://www.munzee.com/m/""&amp;$H120&amp;""/deploys/0/type/""&amp;IFNA(VLOOKUP($G120,IMPORTRANGE(""https://docs.google.com/spreadsheets/d/1DliIGyDywdzxhd4svtjaewR0p9Y5UBTMNMQ2PcXsqss"",""type data!E2:F""),2,FALSE),$G120)&amp;""/"",$H120)),""""))"),"wrose/5775")</f>
        <v>wrose/5775</v>
      </c>
      <c r="K120" s="5" t="b">
        <v>1</v>
      </c>
      <c r="L120" s="7"/>
      <c r="M120" s="7"/>
    </row>
    <row r="121">
      <c r="A121" s="3" t="s">
        <v>210</v>
      </c>
      <c r="B121" s="3">
        <v>8.0</v>
      </c>
      <c r="C121" s="3">
        <v>19.0</v>
      </c>
      <c r="D121" s="4">
        <v>49.1892519927719</v>
      </c>
      <c r="E121" s="4">
        <v>-2.0922468536251</v>
      </c>
      <c r="F121" s="3" t="s">
        <v>151</v>
      </c>
      <c r="G121" s="3" t="s">
        <v>152</v>
      </c>
      <c r="H121" s="5" t="s">
        <v>60</v>
      </c>
      <c r="I121" s="5">
        <v>1497.0</v>
      </c>
      <c r="J121" s="6" t="str">
        <f>IFERROR(__xludf.DUMMYFUNCTION("IF(AND(REGEXMATCH($H121,""50( ?['fF]([oO]{2})?[tT]?)?( ?[eE][rR]{2}[oO][rR])"")=FALSE,$H121&lt;&gt;"""",$I121&lt;&gt;""""),HYPERLINK(""https://www.munzee.com/m/""&amp;$H121&amp;""/""&amp;$I121&amp;""/map/?lat=""&amp;$D121&amp;""&amp;lon=""&amp;$E121&amp;""&amp;type=""&amp;$G121&amp;""&amp;name=""&amp;SUBSTITUTE($A121,""#"&amp;""",""%23""),$H121&amp;""/""&amp;$I121),IF($H121&lt;&gt;"""",IF(REGEXMATCH($H121,""50( ?['fF]([oO]{2})?[tT]?)?( ?[eE][rR]{2}[oO][rR])""),HYPERLINK(""https://www.munzee.com/map/?sandbox=1&amp;lat=""&amp;$D121&amp;""&amp;lon=""&amp;$E121&amp;""&amp;name=""&amp;SUBSTITUTE($A121,""#"",""%23""),""SANDBOX"""&amp;"),HYPERLINK(""https://www.munzee.com/m/""&amp;$H121&amp;""/deploys/0/type/""&amp;IFNA(VLOOKUP($G121,IMPORTRANGE(""https://docs.google.com/spreadsheets/d/1DliIGyDywdzxhd4svtjaewR0p9Y5UBTMNMQ2PcXsqss"",""type data!E2:F""),2,FALSE),$G121)&amp;""/"",$H121)),""""))"),"pippy44 /1497")</f>
        <v>pippy44 /1497</v>
      </c>
      <c r="K121" s="5" t="b">
        <v>0</v>
      </c>
      <c r="L121" s="7"/>
      <c r="M121" s="7"/>
    </row>
    <row r="122">
      <c r="A122" s="3" t="s">
        <v>211</v>
      </c>
      <c r="B122" s="3">
        <v>8.0</v>
      </c>
      <c r="C122" s="3">
        <v>20.0</v>
      </c>
      <c r="D122" s="4">
        <v>49.1891503598949</v>
      </c>
      <c r="E122" s="4">
        <v>-2.0920913481471</v>
      </c>
      <c r="F122" s="3" t="s">
        <v>204</v>
      </c>
      <c r="G122" s="3" t="s">
        <v>205</v>
      </c>
      <c r="H122" s="5" t="s">
        <v>212</v>
      </c>
      <c r="I122" s="5">
        <v>8835.0</v>
      </c>
      <c r="J122" s="6" t="str">
        <f>IFERROR(__xludf.DUMMYFUNCTION("IF(AND(REGEXMATCH($H122,""50( ?['fF]([oO]{2})?[tT]?)?( ?[eE][rR]{2}[oO][rR])"")=FALSE,$H122&lt;&gt;"""",$I122&lt;&gt;""""),HYPERLINK(""https://www.munzee.com/m/""&amp;$H122&amp;""/""&amp;$I122&amp;""/map/?lat=""&amp;$D122&amp;""&amp;lon=""&amp;$E122&amp;""&amp;type=""&amp;$G122&amp;""&amp;name=""&amp;SUBSTITUTE($A122,""#"&amp;""",""%23""),$H122&amp;""/""&amp;$I122),IF($H122&lt;&gt;"""",IF(REGEXMATCH($H122,""50( ?['fF]([oO]{2})?[tT]?)?( ?[eE][rR]{2}[oO][rR])""),HYPERLINK(""https://www.munzee.com/map/?sandbox=1&amp;lat=""&amp;$D122&amp;""&amp;lon=""&amp;$E122&amp;""&amp;name=""&amp;SUBSTITUTE($A122,""#"",""%23""),""SANDBOX"""&amp;"),HYPERLINK(""https://www.munzee.com/m/""&amp;$H122&amp;""/deploys/0/type/""&amp;IFNA(VLOOKUP($G122,IMPORTRANGE(""https://docs.google.com/spreadsheets/d/1DliIGyDywdzxhd4svtjaewR0p9Y5UBTMNMQ2PcXsqss"",""type data!E2:F""),2,FALSE),$G122)&amp;""/"",$H122)),""""))"),"mobility/8835")</f>
        <v>mobility/8835</v>
      </c>
      <c r="K122" s="5" t="b">
        <v>1</v>
      </c>
      <c r="L122" s="7"/>
      <c r="M122" s="7"/>
    </row>
    <row r="123">
      <c r="A123" s="3" t="s">
        <v>213</v>
      </c>
      <c r="B123" s="3">
        <v>8.0</v>
      </c>
      <c r="C123" s="3">
        <v>21.0</v>
      </c>
      <c r="D123" s="4">
        <v>49.1890487270179</v>
      </c>
      <c r="E123" s="4">
        <v>-2.0919358429885</v>
      </c>
      <c r="F123" s="3" t="s">
        <v>122</v>
      </c>
      <c r="G123" s="3" t="s">
        <v>123</v>
      </c>
      <c r="H123" s="5"/>
      <c r="I123" s="5"/>
      <c r="J123" s="7" t="str">
        <f>IFERROR(__xludf.DUMMYFUNCTION("IF(AND(REGEXMATCH($H123,""50( ?['fF]([oO]{2})?[tT]?)?( ?[eE][rR]{2}[oO][rR])"")=FALSE,$H123&lt;&gt;"""",$I123&lt;&gt;""""),HYPERLINK(""https://www.munzee.com/m/""&amp;$H123&amp;""/""&amp;$I123&amp;""/map/?lat=""&amp;$D123&amp;""&amp;lon=""&amp;$E123&amp;""&amp;type=""&amp;$G123&amp;""&amp;name=""&amp;SUBSTITUTE($A123,""#"&amp;""",""%23""),$H123&amp;""/""&amp;$I123),IF($H123&lt;&gt;"""",IF(REGEXMATCH($H123,""50( ?['fF]([oO]{2})?[tT]?)?( ?[eE][rR]{2}[oO][rR])""),HYPERLINK(""https://www.munzee.com/map/?sandbox=1&amp;lat=""&amp;$D123&amp;""&amp;lon=""&amp;$E123&amp;""&amp;name=""&amp;SUBSTITUTE($A123,""#"",""%23""),""SANDBOX"""&amp;"),HYPERLINK(""https://www.munzee.com/m/""&amp;$H123&amp;""/deploys/0/type/""&amp;IFNA(VLOOKUP($G123,IMPORTRANGE(""https://docs.google.com/spreadsheets/d/1DliIGyDywdzxhd4svtjaewR0p9Y5UBTMNMQ2PcXsqss"",""type data!E2:F""),2,FALSE),$G123)&amp;""/"",$H123)),""""))"),"")</f>
        <v/>
      </c>
      <c r="K123" s="5" t="b">
        <v>0</v>
      </c>
      <c r="L123" s="7"/>
      <c r="M123" s="7"/>
    </row>
    <row r="124">
      <c r="A124" s="3" t="s">
        <v>214</v>
      </c>
      <c r="B124" s="3">
        <v>8.0</v>
      </c>
      <c r="C124" s="3">
        <v>22.0</v>
      </c>
      <c r="D124" s="4">
        <v>49.1889470941408</v>
      </c>
      <c r="E124" s="4">
        <v>-2.0917803381494</v>
      </c>
      <c r="F124" s="3" t="s">
        <v>122</v>
      </c>
      <c r="G124" s="3" t="s">
        <v>123</v>
      </c>
      <c r="H124" s="5"/>
      <c r="I124" s="5"/>
      <c r="J124" s="7" t="str">
        <f>IFERROR(__xludf.DUMMYFUNCTION("IF(AND(REGEXMATCH($H124,""50( ?['fF]([oO]{2})?[tT]?)?( ?[eE][rR]{2}[oO][rR])"")=FALSE,$H124&lt;&gt;"""",$I124&lt;&gt;""""),HYPERLINK(""https://www.munzee.com/m/""&amp;$H124&amp;""/""&amp;$I124&amp;""/map/?lat=""&amp;$D124&amp;""&amp;lon=""&amp;$E124&amp;""&amp;type=""&amp;$G124&amp;""&amp;name=""&amp;SUBSTITUTE($A124,""#"&amp;""",""%23""),$H124&amp;""/""&amp;$I124),IF($H124&lt;&gt;"""",IF(REGEXMATCH($H124,""50( ?['fF]([oO]{2})?[tT]?)?( ?[eE][rR]{2}[oO][rR])""),HYPERLINK(""https://www.munzee.com/map/?sandbox=1&amp;lat=""&amp;$D124&amp;""&amp;lon=""&amp;$E124&amp;""&amp;name=""&amp;SUBSTITUTE($A124,""#"",""%23""),""SANDBOX"""&amp;"),HYPERLINK(""https://www.munzee.com/m/""&amp;$H124&amp;""/deploys/0/type/""&amp;IFNA(VLOOKUP($G124,IMPORTRANGE(""https://docs.google.com/spreadsheets/d/1DliIGyDywdzxhd4svtjaewR0p9Y5UBTMNMQ2PcXsqss"",""type data!E2:F""),2,FALSE),$G124)&amp;""/"",$H124)),""""))"),"")</f>
        <v/>
      </c>
      <c r="K124" s="5" t="b">
        <v>0</v>
      </c>
      <c r="L124" s="7"/>
      <c r="M124" s="7"/>
    </row>
    <row r="125">
      <c r="A125" s="3" t="s">
        <v>215</v>
      </c>
      <c r="B125" s="3">
        <v>8.0</v>
      </c>
      <c r="C125" s="3">
        <v>23.0</v>
      </c>
      <c r="D125" s="4">
        <v>49.1888454612638</v>
      </c>
      <c r="E125" s="4">
        <v>-2.0916248336297</v>
      </c>
      <c r="F125" s="3" t="s">
        <v>151</v>
      </c>
      <c r="G125" s="3" t="s">
        <v>152</v>
      </c>
      <c r="H125" s="5" t="s">
        <v>216</v>
      </c>
      <c r="I125" s="5">
        <v>1688.0</v>
      </c>
      <c r="J125" s="6" t="str">
        <f>IFERROR(__xludf.DUMMYFUNCTION("IF(AND(REGEXMATCH($H125,""50( ?['fF]([oO]{2})?[tT]?)?( ?[eE][rR]{2}[oO][rR])"")=FALSE,$H125&lt;&gt;"""",$I125&lt;&gt;""""),HYPERLINK(""https://www.munzee.com/m/""&amp;$H125&amp;""/""&amp;$I125&amp;""/map/?lat=""&amp;$D125&amp;""&amp;lon=""&amp;$E125&amp;""&amp;type=""&amp;$G125&amp;""&amp;name=""&amp;SUBSTITUTE($A125,""#"&amp;""",""%23""),$H125&amp;""/""&amp;$I125),IF($H125&lt;&gt;"""",IF(REGEXMATCH($H125,""50( ?['fF]([oO]{2})?[tT]?)?( ?[eE][rR]{2}[oO][rR])""),HYPERLINK(""https://www.munzee.com/map/?sandbox=1&amp;lat=""&amp;$D125&amp;""&amp;lon=""&amp;$E125&amp;""&amp;name=""&amp;SUBSTITUTE($A125,""#"",""%23""),""SANDBOX"""&amp;"),HYPERLINK(""https://www.munzee.com/m/""&amp;$H125&amp;""/deploys/0/type/""&amp;IFNA(VLOOKUP($G125,IMPORTRANGE(""https://docs.google.com/spreadsheets/d/1DliIGyDywdzxhd4svtjaewR0p9Y5UBTMNMQ2PcXsqss"",""type data!E2:F""),2,FALSE),$G125)&amp;""/"",$H125)),""""))"),"johnsjen/1688")</f>
        <v>johnsjen/1688</v>
      </c>
      <c r="K125" s="5" t="b">
        <v>1</v>
      </c>
      <c r="L125" s="7"/>
      <c r="M125" s="7"/>
    </row>
    <row r="126">
      <c r="A126" s="3" t="s">
        <v>217</v>
      </c>
      <c r="B126" s="3">
        <v>9.0</v>
      </c>
      <c r="C126" s="3">
        <v>1.0</v>
      </c>
      <c r="D126" s="4">
        <v>49.1909797516816</v>
      </c>
      <c r="E126" s="4">
        <v>-2.09520152703</v>
      </c>
      <c r="F126" s="3" t="s">
        <v>49</v>
      </c>
      <c r="G126" s="3" t="s">
        <v>50</v>
      </c>
      <c r="H126" s="5"/>
      <c r="I126" s="5"/>
      <c r="J126" s="7" t="str">
        <f>IFERROR(__xludf.DUMMYFUNCTION("IF(AND(REGEXMATCH($H126,""50( ?['fF]([oO]{2})?[tT]?)?( ?[eE][rR]{2}[oO][rR])"")=FALSE,$H126&lt;&gt;"""",$I126&lt;&gt;""""),HYPERLINK(""https://www.munzee.com/m/""&amp;$H126&amp;""/""&amp;$I126&amp;""/map/?lat=""&amp;$D126&amp;""&amp;lon=""&amp;$E126&amp;""&amp;type=""&amp;$G126&amp;""&amp;name=""&amp;SUBSTITUTE($A126,""#"&amp;""",""%23""),$H126&amp;""/""&amp;$I126),IF($H126&lt;&gt;"""",IF(REGEXMATCH($H126,""50( ?['fF]([oO]{2})?[tT]?)?( ?[eE][rR]{2}[oO][rR])""),HYPERLINK(""https://www.munzee.com/map/?sandbox=1&amp;lat=""&amp;$D126&amp;""&amp;lon=""&amp;$E126&amp;""&amp;name=""&amp;SUBSTITUTE($A126,""#"",""%23""),""SANDBOX"""&amp;"),HYPERLINK(""https://www.munzee.com/m/""&amp;$H126&amp;""/deploys/0/type/""&amp;IFNA(VLOOKUP($G126,IMPORTRANGE(""https://docs.google.com/spreadsheets/d/1DliIGyDywdzxhd4svtjaewR0p9Y5UBTMNMQ2PcXsqss"",""type data!E2:F""),2,FALSE),$G126)&amp;""/"",$H126)),""""))"),"")</f>
        <v/>
      </c>
      <c r="K126" s="5" t="b">
        <v>0</v>
      </c>
      <c r="L126" s="7"/>
      <c r="M126" s="7"/>
    </row>
    <row r="127">
      <c r="A127" s="3" t="s">
        <v>218</v>
      </c>
      <c r="B127" s="3">
        <v>9.0</v>
      </c>
      <c r="C127" s="3">
        <v>2.0</v>
      </c>
      <c r="D127" s="4">
        <v>49.1908781188046</v>
      </c>
      <c r="E127" s="4">
        <v>-2.0950460161212</v>
      </c>
      <c r="F127" s="3" t="s">
        <v>39</v>
      </c>
      <c r="G127" s="3" t="s">
        <v>40</v>
      </c>
      <c r="H127" s="5" t="s">
        <v>160</v>
      </c>
      <c r="I127" s="5">
        <v>5909.0</v>
      </c>
      <c r="J127" s="6" t="str">
        <f>IFERROR(__xludf.DUMMYFUNCTION("IF(AND(REGEXMATCH($H127,""50( ?['fF]([oO]{2})?[tT]?)?( ?[eE][rR]{2}[oO][rR])"")=FALSE,$H127&lt;&gt;"""",$I127&lt;&gt;""""),HYPERLINK(""https://www.munzee.com/m/""&amp;$H127&amp;""/""&amp;$I127&amp;""/map/?lat=""&amp;$D127&amp;""&amp;lon=""&amp;$E127&amp;""&amp;type=""&amp;$G127&amp;""&amp;name=""&amp;SUBSTITUTE($A127,""#"&amp;""",""%23""),$H127&amp;""/""&amp;$I127),IF($H127&lt;&gt;"""",IF(REGEXMATCH($H127,""50( ?['fF]([oO]{2})?[tT]?)?( ?[eE][rR]{2}[oO][rR])""),HYPERLINK(""https://www.munzee.com/map/?sandbox=1&amp;lat=""&amp;$D127&amp;""&amp;lon=""&amp;$E127&amp;""&amp;name=""&amp;SUBSTITUTE($A127,""#"",""%23""),""SANDBOX"""&amp;"),HYPERLINK(""https://www.munzee.com/m/""&amp;$H127&amp;""/deploys/0/type/""&amp;IFNA(VLOOKUP($G127,IMPORTRANGE(""https://docs.google.com/spreadsheets/d/1DliIGyDywdzxhd4svtjaewR0p9Y5UBTMNMQ2PcXsqss"",""type data!E2:F""),2,FALSE),$G127)&amp;""/"",$H127)),""""))"),"123xilef/5909")</f>
        <v>123xilef/5909</v>
      </c>
      <c r="K127" s="5" t="b">
        <v>1</v>
      </c>
      <c r="L127" s="5"/>
      <c r="M127" s="7"/>
    </row>
    <row r="128">
      <c r="A128" s="3" t="s">
        <v>219</v>
      </c>
      <c r="B128" s="3">
        <v>9.0</v>
      </c>
      <c r="C128" s="3">
        <v>3.0</v>
      </c>
      <c r="D128" s="4">
        <v>49.1907764859275</v>
      </c>
      <c r="E128" s="4">
        <v>-2.0948905055318</v>
      </c>
      <c r="F128" s="3" t="s">
        <v>69</v>
      </c>
      <c r="G128" s="3" t="s">
        <v>70</v>
      </c>
      <c r="H128" s="5"/>
      <c r="I128" s="5"/>
      <c r="J128" s="7" t="str">
        <f>IFERROR(__xludf.DUMMYFUNCTION("IF(AND(REGEXMATCH($H128,""50( ?['fF]([oO]{2})?[tT]?)?( ?[eE][rR]{2}[oO][rR])"")=FALSE,$H128&lt;&gt;"""",$I128&lt;&gt;""""),HYPERLINK(""https://www.munzee.com/m/""&amp;$H128&amp;""/""&amp;$I128&amp;""/map/?lat=""&amp;$D128&amp;""&amp;lon=""&amp;$E128&amp;""&amp;type=""&amp;$G128&amp;""&amp;name=""&amp;SUBSTITUTE($A128,""#"&amp;""",""%23""),$H128&amp;""/""&amp;$I128),IF($H128&lt;&gt;"""",IF(REGEXMATCH($H128,""50( ?['fF]([oO]{2})?[tT]?)?( ?[eE][rR]{2}[oO][rR])""),HYPERLINK(""https://www.munzee.com/map/?sandbox=1&amp;lat=""&amp;$D128&amp;""&amp;lon=""&amp;$E128&amp;""&amp;name=""&amp;SUBSTITUTE($A128,""#"",""%23""),""SANDBOX"""&amp;"),HYPERLINK(""https://www.munzee.com/m/""&amp;$H128&amp;""/deploys/0/type/""&amp;IFNA(VLOOKUP($G128,IMPORTRANGE(""https://docs.google.com/spreadsheets/d/1DliIGyDywdzxhd4svtjaewR0p9Y5UBTMNMQ2PcXsqss"",""type data!E2:F""),2,FALSE),$G128)&amp;""/"",$H128)),""""))"),"")</f>
        <v/>
      </c>
      <c r="K128" s="5" t="b">
        <v>0</v>
      </c>
      <c r="L128" s="7"/>
      <c r="M128" s="7"/>
    </row>
    <row r="129">
      <c r="A129" s="3" t="s">
        <v>220</v>
      </c>
      <c r="B129" s="3">
        <v>9.0</v>
      </c>
      <c r="C129" s="3">
        <v>4.0</v>
      </c>
      <c r="D129" s="4">
        <v>49.1906748530505</v>
      </c>
      <c r="E129" s="4">
        <v>-2.0947349952619</v>
      </c>
      <c r="F129" s="3" t="s">
        <v>69</v>
      </c>
      <c r="G129" s="3" t="s">
        <v>70</v>
      </c>
      <c r="H129" s="5"/>
      <c r="I129" s="5"/>
      <c r="J129" s="7" t="str">
        <f>IFERROR(__xludf.DUMMYFUNCTION("IF(AND(REGEXMATCH($H129,""50( ?['fF]([oO]{2})?[tT]?)?( ?[eE][rR]{2}[oO][rR])"")=FALSE,$H129&lt;&gt;"""",$I129&lt;&gt;""""),HYPERLINK(""https://www.munzee.com/m/""&amp;$H129&amp;""/""&amp;$I129&amp;""/map/?lat=""&amp;$D129&amp;""&amp;lon=""&amp;$E129&amp;""&amp;type=""&amp;$G129&amp;""&amp;name=""&amp;SUBSTITUTE($A129,""#"&amp;""",""%23""),$H129&amp;""/""&amp;$I129),IF($H129&lt;&gt;"""",IF(REGEXMATCH($H129,""50( ?['fF]([oO]{2})?[tT]?)?( ?[eE][rR]{2}[oO][rR])""),HYPERLINK(""https://www.munzee.com/map/?sandbox=1&amp;lat=""&amp;$D129&amp;""&amp;lon=""&amp;$E129&amp;""&amp;name=""&amp;SUBSTITUTE($A129,""#"",""%23""),""SANDBOX"""&amp;"),HYPERLINK(""https://www.munzee.com/m/""&amp;$H129&amp;""/deploys/0/type/""&amp;IFNA(VLOOKUP($G129,IMPORTRANGE(""https://docs.google.com/spreadsheets/d/1DliIGyDywdzxhd4svtjaewR0p9Y5UBTMNMQ2PcXsqss"",""type data!E2:F""),2,FALSE),$G129)&amp;""/"",$H129)),""""))"),"")</f>
        <v/>
      </c>
      <c r="K129" s="5" t="b">
        <v>0</v>
      </c>
      <c r="L129" s="7"/>
      <c r="M129" s="7"/>
    </row>
    <row r="130">
      <c r="A130" s="3" t="s">
        <v>221</v>
      </c>
      <c r="B130" s="3">
        <v>9.0</v>
      </c>
      <c r="C130" s="3">
        <v>5.0</v>
      </c>
      <c r="D130" s="4">
        <v>49.1905732201735</v>
      </c>
      <c r="E130" s="4">
        <v>-2.0945794853114</v>
      </c>
      <c r="F130" s="3" t="s">
        <v>69</v>
      </c>
      <c r="G130" s="3" t="s">
        <v>70</v>
      </c>
      <c r="H130" s="5"/>
      <c r="I130" s="5"/>
      <c r="J130" s="7" t="str">
        <f>IFERROR(__xludf.DUMMYFUNCTION("IF(AND(REGEXMATCH($H130,""50( ?['fF]([oO]{2})?[tT]?)?( ?[eE][rR]{2}[oO][rR])"")=FALSE,$H130&lt;&gt;"""",$I130&lt;&gt;""""),HYPERLINK(""https://www.munzee.com/m/""&amp;$H130&amp;""/""&amp;$I130&amp;""/map/?lat=""&amp;$D130&amp;""&amp;lon=""&amp;$E130&amp;""&amp;type=""&amp;$G130&amp;""&amp;name=""&amp;SUBSTITUTE($A130,""#"&amp;""",""%23""),$H130&amp;""/""&amp;$I130),IF($H130&lt;&gt;"""",IF(REGEXMATCH($H130,""50( ?['fF]([oO]{2})?[tT]?)?( ?[eE][rR]{2}[oO][rR])""),HYPERLINK(""https://www.munzee.com/map/?sandbox=1&amp;lat=""&amp;$D130&amp;""&amp;lon=""&amp;$E130&amp;""&amp;name=""&amp;SUBSTITUTE($A130,""#"",""%23""),""SANDBOX"""&amp;"),HYPERLINK(""https://www.munzee.com/m/""&amp;$H130&amp;""/deploys/0/type/""&amp;IFNA(VLOOKUP($G130,IMPORTRANGE(""https://docs.google.com/spreadsheets/d/1DliIGyDywdzxhd4svtjaewR0p9Y5UBTMNMQ2PcXsqss"",""type data!E2:F""),2,FALSE),$G130)&amp;""/"",$H130)),""""))"),"")</f>
        <v/>
      </c>
      <c r="K130" s="5" t="b">
        <v>0</v>
      </c>
      <c r="L130" s="7"/>
      <c r="M130" s="7"/>
    </row>
    <row r="131">
      <c r="A131" s="3" t="s">
        <v>222</v>
      </c>
      <c r="B131" s="3">
        <v>9.0</v>
      </c>
      <c r="C131" s="3">
        <v>6.0</v>
      </c>
      <c r="D131" s="4">
        <v>49.1904715872964</v>
      </c>
      <c r="E131" s="4">
        <v>-2.0944239756806</v>
      </c>
      <c r="F131" s="3" t="s">
        <v>122</v>
      </c>
      <c r="G131" s="3" t="s">
        <v>123</v>
      </c>
      <c r="H131" s="5"/>
      <c r="I131" s="5"/>
      <c r="J131" s="7" t="str">
        <f>IFERROR(__xludf.DUMMYFUNCTION("IF(AND(REGEXMATCH($H131,""50( ?['fF]([oO]{2})?[tT]?)?( ?[eE][rR]{2}[oO][rR])"")=FALSE,$H131&lt;&gt;"""",$I131&lt;&gt;""""),HYPERLINK(""https://www.munzee.com/m/""&amp;$H131&amp;""/""&amp;$I131&amp;""/map/?lat=""&amp;$D131&amp;""&amp;lon=""&amp;$E131&amp;""&amp;type=""&amp;$G131&amp;""&amp;name=""&amp;SUBSTITUTE($A131,""#"&amp;""",""%23""),$H131&amp;""/""&amp;$I131),IF($H131&lt;&gt;"""",IF(REGEXMATCH($H131,""50( ?['fF]([oO]{2})?[tT]?)?( ?[eE][rR]{2}[oO][rR])""),HYPERLINK(""https://www.munzee.com/map/?sandbox=1&amp;lat=""&amp;$D131&amp;""&amp;lon=""&amp;$E131&amp;""&amp;name=""&amp;SUBSTITUTE($A131,""#"",""%23""),""SANDBOX"""&amp;"),HYPERLINK(""https://www.munzee.com/m/""&amp;$H131&amp;""/deploys/0/type/""&amp;IFNA(VLOOKUP($G131,IMPORTRANGE(""https://docs.google.com/spreadsheets/d/1DliIGyDywdzxhd4svtjaewR0p9Y5UBTMNMQ2PcXsqss"",""type data!E2:F""),2,FALSE),$G131)&amp;""/"",$H131)),""""))"),"")</f>
        <v/>
      </c>
      <c r="K131" s="5" t="b">
        <v>0</v>
      </c>
      <c r="L131" s="7"/>
      <c r="M131" s="7"/>
    </row>
    <row r="132">
      <c r="A132" s="3" t="s">
        <v>223</v>
      </c>
      <c r="B132" s="3">
        <v>9.0</v>
      </c>
      <c r="C132" s="3">
        <v>7.0</v>
      </c>
      <c r="D132" s="4">
        <v>49.1903699544194</v>
      </c>
      <c r="E132" s="4">
        <v>-2.0942684663692</v>
      </c>
      <c r="F132" s="3" t="s">
        <v>151</v>
      </c>
      <c r="G132" s="3" t="s">
        <v>152</v>
      </c>
      <c r="H132" s="5"/>
      <c r="I132" s="5"/>
      <c r="J132" s="7" t="str">
        <f>IFERROR(__xludf.DUMMYFUNCTION("IF(AND(REGEXMATCH($H132,""50( ?['fF]([oO]{2})?[tT]?)?( ?[eE][rR]{2}[oO][rR])"")=FALSE,$H132&lt;&gt;"""",$I132&lt;&gt;""""),HYPERLINK(""https://www.munzee.com/m/""&amp;$H132&amp;""/""&amp;$I132&amp;""/map/?lat=""&amp;$D132&amp;""&amp;lon=""&amp;$E132&amp;""&amp;type=""&amp;$G132&amp;""&amp;name=""&amp;SUBSTITUTE($A132,""#"&amp;""",""%23""),$H132&amp;""/""&amp;$I132),IF($H132&lt;&gt;"""",IF(REGEXMATCH($H132,""50( ?['fF]([oO]{2})?[tT]?)?( ?[eE][rR]{2}[oO][rR])""),HYPERLINK(""https://www.munzee.com/map/?sandbox=1&amp;lat=""&amp;$D132&amp;""&amp;lon=""&amp;$E132&amp;""&amp;name=""&amp;SUBSTITUTE($A132,""#"",""%23""),""SANDBOX"""&amp;"),HYPERLINK(""https://www.munzee.com/m/""&amp;$H132&amp;""/deploys/0/type/""&amp;IFNA(VLOOKUP($G132,IMPORTRANGE(""https://docs.google.com/spreadsheets/d/1DliIGyDywdzxhd4svtjaewR0p9Y5UBTMNMQ2PcXsqss"",""type data!E2:F""),2,FALSE),$G132)&amp;""/"",$H132)),""""))"),"")</f>
        <v/>
      </c>
      <c r="K132" s="5" t="b">
        <v>0</v>
      </c>
      <c r="L132" s="7"/>
      <c r="M132" s="7"/>
    </row>
    <row r="133">
      <c r="A133" s="3" t="s">
        <v>224</v>
      </c>
      <c r="B133" s="3">
        <v>9.0</v>
      </c>
      <c r="C133" s="3">
        <v>8.0</v>
      </c>
      <c r="D133" s="4">
        <v>49.1902683215423</v>
      </c>
      <c r="E133" s="4">
        <v>-2.0941129573772</v>
      </c>
      <c r="F133" s="3" t="s">
        <v>151</v>
      </c>
      <c r="G133" s="3" t="s">
        <v>152</v>
      </c>
      <c r="H133" s="5"/>
      <c r="I133" s="5"/>
      <c r="J133" s="7" t="str">
        <f>IFERROR(__xludf.DUMMYFUNCTION("IF(AND(REGEXMATCH($H133,""50( ?['fF]([oO]{2})?[tT]?)?( ?[eE][rR]{2}[oO][rR])"")=FALSE,$H133&lt;&gt;"""",$I133&lt;&gt;""""),HYPERLINK(""https://www.munzee.com/m/""&amp;$H133&amp;""/""&amp;$I133&amp;""/map/?lat=""&amp;$D133&amp;""&amp;lon=""&amp;$E133&amp;""&amp;type=""&amp;$G133&amp;""&amp;name=""&amp;SUBSTITUTE($A133,""#"&amp;""",""%23""),$H133&amp;""/""&amp;$I133),IF($H133&lt;&gt;"""",IF(REGEXMATCH($H133,""50( ?['fF]([oO]{2})?[tT]?)?( ?[eE][rR]{2}[oO][rR])""),HYPERLINK(""https://www.munzee.com/map/?sandbox=1&amp;lat=""&amp;$D133&amp;""&amp;lon=""&amp;$E133&amp;""&amp;name=""&amp;SUBSTITUTE($A133,""#"",""%23""),""SANDBOX"""&amp;"),HYPERLINK(""https://www.munzee.com/m/""&amp;$H133&amp;""/deploys/0/type/""&amp;IFNA(VLOOKUP($G133,IMPORTRANGE(""https://docs.google.com/spreadsheets/d/1DliIGyDywdzxhd4svtjaewR0p9Y5UBTMNMQ2PcXsqss"",""type data!E2:F""),2,FALSE),$G133)&amp;""/"",$H133)),""""))"),"")</f>
        <v/>
      </c>
      <c r="K133" s="5" t="b">
        <v>0</v>
      </c>
      <c r="L133" s="7"/>
      <c r="M133" s="7"/>
    </row>
    <row r="134">
      <c r="A134" s="3" t="s">
        <v>225</v>
      </c>
      <c r="B134" s="3">
        <v>9.0</v>
      </c>
      <c r="C134" s="3">
        <v>12.0</v>
      </c>
      <c r="D134" s="4">
        <v>49.1898617900342</v>
      </c>
      <c r="E134" s="4">
        <v>-2.0934909246039</v>
      </c>
      <c r="F134" s="3" t="s">
        <v>226</v>
      </c>
      <c r="G134" s="3" t="s">
        <v>227</v>
      </c>
      <c r="H134" s="5"/>
      <c r="I134" s="5"/>
      <c r="J134" s="7" t="str">
        <f>IFERROR(__xludf.DUMMYFUNCTION("IF(AND(REGEXMATCH($H134,""50( ?['fF]([oO]{2})?[tT]?)?( ?[eE][rR]{2}[oO][rR])"")=FALSE,$H134&lt;&gt;"""",$I134&lt;&gt;""""),HYPERLINK(""https://www.munzee.com/m/""&amp;$H134&amp;""/""&amp;$I134&amp;""/map/?lat=""&amp;$D134&amp;""&amp;lon=""&amp;$E134&amp;""&amp;type=""&amp;$G134&amp;""&amp;name=""&amp;SUBSTITUTE($A134,""#"&amp;""",""%23""),$H134&amp;""/""&amp;$I134),IF($H134&lt;&gt;"""",IF(REGEXMATCH($H134,""50( ?['fF]([oO]{2})?[tT]?)?( ?[eE][rR]{2}[oO][rR])""),HYPERLINK(""https://www.munzee.com/map/?sandbox=1&amp;lat=""&amp;$D134&amp;""&amp;lon=""&amp;$E134&amp;""&amp;name=""&amp;SUBSTITUTE($A134,""#"",""%23""),""SANDBOX"""&amp;"),HYPERLINK(""https://www.munzee.com/m/""&amp;$H134&amp;""/deploys/0/type/""&amp;IFNA(VLOOKUP($G134,IMPORTRANGE(""https://docs.google.com/spreadsheets/d/1DliIGyDywdzxhd4svtjaewR0p9Y5UBTMNMQ2PcXsqss"",""type data!E2:F""),2,FALSE),$G134)&amp;""/"",$H134)),""""))"),"")</f>
        <v/>
      </c>
      <c r="K134" s="5" t="b">
        <v>0</v>
      </c>
      <c r="L134" s="7"/>
      <c r="M134" s="7"/>
    </row>
    <row r="135">
      <c r="A135" s="3" t="s">
        <v>228</v>
      </c>
      <c r="B135" s="3">
        <v>9.0</v>
      </c>
      <c r="C135" s="3">
        <v>20.0</v>
      </c>
      <c r="D135" s="4">
        <v>49.1890487270179</v>
      </c>
      <c r="E135" s="4">
        <v>-2.0922468743906</v>
      </c>
      <c r="F135" s="3" t="s">
        <v>204</v>
      </c>
      <c r="G135" s="3" t="s">
        <v>205</v>
      </c>
      <c r="H135" s="5" t="s">
        <v>229</v>
      </c>
      <c r="I135" s="5">
        <v>1041.0</v>
      </c>
      <c r="J135" s="6" t="str">
        <f>IFERROR(__xludf.DUMMYFUNCTION("IF(AND(REGEXMATCH($H135,""50( ?['fF]([oO]{2})?[tT]?)?( ?[eE][rR]{2}[oO][rR])"")=FALSE,$H135&lt;&gt;"""",$I135&lt;&gt;""""),HYPERLINK(""https://www.munzee.com/m/""&amp;$H135&amp;""/""&amp;$I135&amp;""/map/?lat=""&amp;$D135&amp;""&amp;lon=""&amp;$E135&amp;""&amp;type=""&amp;$G135&amp;""&amp;name=""&amp;SUBSTITUTE($A135,""#"&amp;""",""%23""),$H135&amp;""/""&amp;$I135),IF($H135&lt;&gt;"""",IF(REGEXMATCH($H135,""50( ?['fF]([oO]{2})?[tT]?)?( ?[eE][rR]{2}[oO][rR])""),HYPERLINK(""https://www.munzee.com/map/?sandbox=1&amp;lat=""&amp;$D135&amp;""&amp;lon=""&amp;$E135&amp;""&amp;name=""&amp;SUBSTITUTE($A135,""#"",""%23""),""SANDBOX"""&amp;"),HYPERLINK(""https://www.munzee.com/m/""&amp;$H135&amp;""/deploys/0/type/""&amp;IFNA(VLOOKUP($G135,IMPORTRANGE(""https://docs.google.com/spreadsheets/d/1DliIGyDywdzxhd4svtjaewR0p9Y5UBTMNMQ2PcXsqss"",""type data!E2:F""),2,FALSE),$G135)&amp;""/"",$H135)),""""))"),"Littlemonsters77/1041")</f>
        <v>Littlemonsters77/1041</v>
      </c>
      <c r="K135" s="5" t="b">
        <v>1</v>
      </c>
      <c r="L135" s="7"/>
      <c r="M135" s="7"/>
    </row>
    <row r="136">
      <c r="A136" s="3" t="s">
        <v>230</v>
      </c>
      <c r="B136" s="3">
        <v>9.0</v>
      </c>
      <c r="C136" s="3">
        <v>21.0</v>
      </c>
      <c r="D136" s="4">
        <v>49.1889470941408</v>
      </c>
      <c r="E136" s="4">
        <v>-2.0920913695516</v>
      </c>
      <c r="F136" s="3" t="s">
        <v>204</v>
      </c>
      <c r="G136" s="3" t="s">
        <v>205</v>
      </c>
      <c r="H136" s="5" t="s">
        <v>231</v>
      </c>
      <c r="I136" s="5">
        <v>1001.0</v>
      </c>
      <c r="J136" s="6" t="str">
        <f>IFERROR(__xludf.DUMMYFUNCTION("IF(AND(REGEXMATCH($H136,""50( ?['fF]([oO]{2})?[tT]?)?( ?[eE][rR]{2}[oO][rR])"")=FALSE,$H136&lt;&gt;"""",$I136&lt;&gt;""""),HYPERLINK(""https://www.munzee.com/m/""&amp;$H136&amp;""/""&amp;$I136&amp;""/map/?lat=""&amp;$D136&amp;""&amp;lon=""&amp;$E136&amp;""&amp;type=""&amp;$G136&amp;""&amp;name=""&amp;SUBSTITUTE($A136,""#"&amp;""",""%23""),$H136&amp;""/""&amp;$I136),IF($H136&lt;&gt;"""",IF(REGEXMATCH($H136,""50( ?['fF]([oO]{2})?[tT]?)?( ?[eE][rR]{2}[oO][rR])""),HYPERLINK(""https://www.munzee.com/map/?sandbox=1&amp;lat=""&amp;$D136&amp;""&amp;lon=""&amp;$E136&amp;""&amp;name=""&amp;SUBSTITUTE($A136,""#"",""%23""),""SANDBOX"""&amp;"),HYPERLINK(""https://www.munzee.com/m/""&amp;$H136&amp;""/deploys/0/type/""&amp;IFNA(VLOOKUP($G136,IMPORTRANGE(""https://docs.google.com/spreadsheets/d/1DliIGyDywdzxhd4svtjaewR0p9Y5UBTMNMQ2PcXsqss"",""type data!E2:F""),2,FALSE),$G136)&amp;""/"",$H136)),""""))"),"Frostbyte13/1001")</f>
        <v>Frostbyte13/1001</v>
      </c>
      <c r="K136" s="5" t="b">
        <v>1</v>
      </c>
      <c r="L136" s="7"/>
      <c r="M136" s="7"/>
    </row>
    <row r="137">
      <c r="A137" s="3" t="s">
        <v>232</v>
      </c>
      <c r="B137" s="3">
        <v>9.0</v>
      </c>
      <c r="C137" s="3">
        <v>22.0</v>
      </c>
      <c r="D137" s="4">
        <v>49.1888454612638</v>
      </c>
      <c r="E137" s="4">
        <v>-2.0919358650318</v>
      </c>
      <c r="F137" s="3" t="s">
        <v>204</v>
      </c>
      <c r="G137" s="3" t="s">
        <v>205</v>
      </c>
      <c r="H137" s="5" t="s">
        <v>233</v>
      </c>
      <c r="I137" s="5">
        <v>22096.0</v>
      </c>
      <c r="J137" s="6" t="str">
        <f>IFERROR(__xludf.DUMMYFUNCTION("IF(AND(REGEXMATCH($H137,""50( ?['fF]([oO]{2})?[tT]?)?( ?[eE][rR]{2}[oO][rR])"")=FALSE,$H137&lt;&gt;"""",$I137&lt;&gt;""""),HYPERLINK(""https://www.munzee.com/m/""&amp;$H137&amp;""/""&amp;$I137&amp;""/map/?lat=""&amp;$D137&amp;""&amp;lon=""&amp;$E137&amp;""&amp;type=""&amp;$G137&amp;""&amp;name=""&amp;SUBSTITUTE($A137,""#"&amp;""",""%23""),$H137&amp;""/""&amp;$I137),IF($H137&lt;&gt;"""",IF(REGEXMATCH($H137,""50( ?['fF]([oO]{2})?[tT]?)?( ?[eE][rR]{2}[oO][rR])""),HYPERLINK(""https://www.munzee.com/map/?sandbox=1&amp;lat=""&amp;$D137&amp;""&amp;lon=""&amp;$E137&amp;""&amp;name=""&amp;SUBSTITUTE($A137,""#"",""%23""),""SANDBOX"""&amp;"),HYPERLINK(""https://www.munzee.com/m/""&amp;$H137&amp;""/deploys/0/type/""&amp;IFNA(VLOOKUP($G137,IMPORTRANGE(""https://docs.google.com/spreadsheets/d/1DliIGyDywdzxhd4svtjaewR0p9Y5UBTMNMQ2PcXsqss"",""type data!E2:F""),2,FALSE),$G137)&amp;""/"",$H137)),""""))"),"squirreledaway/22096")</f>
        <v>squirreledaway/22096</v>
      </c>
      <c r="K137" s="5" t="b">
        <v>0</v>
      </c>
      <c r="L137" s="7"/>
      <c r="M137" s="7"/>
    </row>
    <row r="138">
      <c r="A138" s="3" t="s">
        <v>234</v>
      </c>
      <c r="B138" s="3">
        <v>9.0</v>
      </c>
      <c r="C138" s="3">
        <v>23.0</v>
      </c>
      <c r="D138" s="4">
        <v>49.1887438283868</v>
      </c>
      <c r="E138" s="4">
        <v>-2.0917803608315</v>
      </c>
      <c r="F138" s="3" t="s">
        <v>151</v>
      </c>
      <c r="G138" s="3" t="s">
        <v>152</v>
      </c>
      <c r="H138" s="5"/>
      <c r="I138" s="5"/>
      <c r="J138" s="7" t="str">
        <f>IFERROR(__xludf.DUMMYFUNCTION("IF(AND(REGEXMATCH($H138,""50( ?['fF]([oO]{2})?[tT]?)?( ?[eE][rR]{2}[oO][rR])"")=FALSE,$H138&lt;&gt;"""",$I138&lt;&gt;""""),HYPERLINK(""https://www.munzee.com/m/""&amp;$H138&amp;""/""&amp;$I138&amp;""/map/?lat=""&amp;$D138&amp;""&amp;lon=""&amp;$E138&amp;""&amp;type=""&amp;$G138&amp;""&amp;name=""&amp;SUBSTITUTE($A138,""#"&amp;""",""%23""),$H138&amp;""/""&amp;$I138),IF($H138&lt;&gt;"""",IF(REGEXMATCH($H138,""50( ?['fF]([oO]{2})?[tT]?)?( ?[eE][rR]{2}[oO][rR])""),HYPERLINK(""https://www.munzee.com/map/?sandbox=1&amp;lat=""&amp;$D138&amp;""&amp;lon=""&amp;$E138&amp;""&amp;name=""&amp;SUBSTITUTE($A138,""#"",""%23""),""SANDBOX"""&amp;"),HYPERLINK(""https://www.munzee.com/m/""&amp;$H138&amp;""/deploys/0/type/""&amp;IFNA(VLOOKUP($G138,IMPORTRANGE(""https://docs.google.com/spreadsheets/d/1DliIGyDywdzxhd4svtjaewR0p9Y5UBTMNMQ2PcXsqss"",""type data!E2:F""),2,FALSE),$G138)&amp;""/"",$H138)),""""))"),"")</f>
        <v/>
      </c>
      <c r="K138" s="5" t="b">
        <v>0</v>
      </c>
      <c r="L138" s="7"/>
      <c r="M138" s="7"/>
    </row>
    <row r="139">
      <c r="A139" s="3" t="s">
        <v>235</v>
      </c>
      <c r="B139" s="3">
        <v>9.0</v>
      </c>
      <c r="C139" s="3">
        <v>26.0</v>
      </c>
      <c r="D139" s="4">
        <v>49.1884389297557</v>
      </c>
      <c r="E139" s="4">
        <v>-2.0913138501473</v>
      </c>
      <c r="F139" s="3" t="s">
        <v>155</v>
      </c>
      <c r="G139" s="3" t="s">
        <v>156</v>
      </c>
      <c r="H139" s="5"/>
      <c r="I139" s="5"/>
      <c r="J139" s="7" t="str">
        <f>IFERROR(__xludf.DUMMYFUNCTION("IF(AND(REGEXMATCH($H139,""50( ?['fF]([oO]{2})?[tT]?)?( ?[eE][rR]{2}[oO][rR])"")=FALSE,$H139&lt;&gt;"""",$I139&lt;&gt;""""),HYPERLINK(""https://www.munzee.com/m/""&amp;$H139&amp;""/""&amp;$I139&amp;""/map/?lat=""&amp;$D139&amp;""&amp;lon=""&amp;$E139&amp;""&amp;type=""&amp;$G139&amp;""&amp;name=""&amp;SUBSTITUTE($A139,""#"&amp;""",""%23""),$H139&amp;""/""&amp;$I139),IF($H139&lt;&gt;"""",IF(REGEXMATCH($H139,""50( ?['fF]([oO]{2})?[tT]?)?( ?[eE][rR]{2}[oO][rR])""),HYPERLINK(""https://www.munzee.com/map/?sandbox=1&amp;lat=""&amp;$D139&amp;""&amp;lon=""&amp;$E139&amp;""&amp;name=""&amp;SUBSTITUTE($A139,""#"",""%23""),""SANDBOX"""&amp;"),HYPERLINK(""https://www.munzee.com/m/""&amp;$H139&amp;""/deploys/0/type/""&amp;IFNA(VLOOKUP($G139,IMPORTRANGE(""https://docs.google.com/spreadsheets/d/1DliIGyDywdzxhd4svtjaewR0p9Y5UBTMNMQ2PcXsqss"",""type data!E2:F""),2,FALSE),$G139)&amp;""/"",$H139)),""""))"),"")</f>
        <v/>
      </c>
      <c r="K139" s="5" t="b">
        <v>0</v>
      </c>
      <c r="L139" s="7"/>
      <c r="M139" s="7"/>
    </row>
    <row r="140">
      <c r="A140" s="3" t="s">
        <v>236</v>
      </c>
      <c r="B140" s="3">
        <v>9.0</v>
      </c>
      <c r="C140" s="3">
        <v>27.0</v>
      </c>
      <c r="D140" s="4">
        <v>49.1883372968786</v>
      </c>
      <c r="E140" s="4">
        <v>-2.0911583472248</v>
      </c>
      <c r="F140" s="3" t="s">
        <v>127</v>
      </c>
      <c r="G140" s="3" t="s">
        <v>128</v>
      </c>
      <c r="H140" s="5"/>
      <c r="I140" s="5"/>
      <c r="J140" s="7" t="str">
        <f>IFERROR(__xludf.DUMMYFUNCTION("IF(AND(REGEXMATCH($H140,""50( ?['fF]([oO]{2})?[tT]?)?( ?[eE][rR]{2}[oO][rR])"")=FALSE,$H140&lt;&gt;"""",$I140&lt;&gt;""""),HYPERLINK(""https://www.munzee.com/m/""&amp;$H140&amp;""/""&amp;$I140&amp;""/map/?lat=""&amp;$D140&amp;""&amp;lon=""&amp;$E140&amp;""&amp;type=""&amp;$G140&amp;""&amp;name=""&amp;SUBSTITUTE($A140,""#"&amp;""",""%23""),$H140&amp;""/""&amp;$I140),IF($H140&lt;&gt;"""",IF(REGEXMATCH($H140,""50( ?['fF]([oO]{2})?[tT]?)?( ?[eE][rR]{2}[oO][rR])""),HYPERLINK(""https://www.munzee.com/map/?sandbox=1&amp;lat=""&amp;$D140&amp;""&amp;lon=""&amp;$E140&amp;""&amp;name=""&amp;SUBSTITUTE($A140,""#"",""%23""),""SANDBOX"""&amp;"),HYPERLINK(""https://www.munzee.com/m/""&amp;$H140&amp;""/deploys/0/type/""&amp;IFNA(VLOOKUP($G140,IMPORTRANGE(""https://docs.google.com/spreadsheets/d/1DliIGyDywdzxhd4svtjaewR0p9Y5UBTMNMQ2PcXsqss"",""type data!E2:F""),2,FALSE),$G140)&amp;""/"",$H140)),""""))"),"")</f>
        <v/>
      </c>
      <c r="K140" s="5" t="b">
        <v>0</v>
      </c>
      <c r="L140" s="7"/>
      <c r="M140" s="7"/>
    </row>
    <row r="141">
      <c r="A141" s="3" t="s">
        <v>237</v>
      </c>
      <c r="B141" s="3">
        <v>9.0</v>
      </c>
      <c r="C141" s="3">
        <v>28.0</v>
      </c>
      <c r="D141" s="4">
        <v>49.1882356640016</v>
      </c>
      <c r="E141" s="4">
        <v>-2.0910028446217</v>
      </c>
      <c r="F141" s="3" t="s">
        <v>14</v>
      </c>
      <c r="G141" s="3" t="s">
        <v>15</v>
      </c>
      <c r="H141" s="5"/>
      <c r="I141" s="5"/>
      <c r="J141" s="7" t="str">
        <f>IFERROR(__xludf.DUMMYFUNCTION("IF(AND(REGEXMATCH($H141,""50( ?['fF]([oO]{2})?[tT]?)?( ?[eE][rR]{2}[oO][rR])"")=FALSE,$H141&lt;&gt;"""",$I141&lt;&gt;""""),HYPERLINK(""https://www.munzee.com/m/""&amp;$H141&amp;""/""&amp;$I141&amp;""/map/?lat=""&amp;$D141&amp;""&amp;lon=""&amp;$E141&amp;""&amp;type=""&amp;$G141&amp;""&amp;name=""&amp;SUBSTITUTE($A141,""#"&amp;""",""%23""),$H141&amp;""/""&amp;$I141),IF($H141&lt;&gt;"""",IF(REGEXMATCH($H141,""50( ?['fF]([oO]{2})?[tT]?)?( ?[eE][rR]{2}[oO][rR])""),HYPERLINK(""https://www.munzee.com/map/?sandbox=1&amp;lat=""&amp;$D141&amp;""&amp;lon=""&amp;$E141&amp;""&amp;name=""&amp;SUBSTITUTE($A141,""#"",""%23""),""SANDBOX"""&amp;"),HYPERLINK(""https://www.munzee.com/m/""&amp;$H141&amp;""/deploys/0/type/""&amp;IFNA(VLOOKUP($G141,IMPORTRANGE(""https://docs.google.com/spreadsheets/d/1DliIGyDywdzxhd4svtjaewR0p9Y5UBTMNMQ2PcXsqss"",""type data!E2:F""),2,FALSE),$G141)&amp;""/"",$H141)),""""))"),"")</f>
        <v/>
      </c>
      <c r="K141" s="5" t="b">
        <v>0</v>
      </c>
      <c r="L141" s="7"/>
      <c r="M141" s="7"/>
    </row>
    <row r="142">
      <c r="A142" s="3" t="s">
        <v>238</v>
      </c>
      <c r="B142" s="3">
        <v>9.0</v>
      </c>
      <c r="C142" s="3">
        <v>29.0</v>
      </c>
      <c r="D142" s="4">
        <v>49.1881340311246</v>
      </c>
      <c r="E142" s="4">
        <v>-2.0908473423381</v>
      </c>
      <c r="F142" s="3" t="s">
        <v>14</v>
      </c>
      <c r="G142" s="3" t="s">
        <v>15</v>
      </c>
      <c r="H142" s="5" t="s">
        <v>239</v>
      </c>
      <c r="I142" s="5">
        <v>5841.0</v>
      </c>
      <c r="J142" s="6" t="str">
        <f>IFERROR(__xludf.DUMMYFUNCTION("IF(AND(REGEXMATCH($H142,""50( ?['fF]([oO]{2})?[tT]?)?( ?[eE][rR]{2}[oO][rR])"")=FALSE,$H142&lt;&gt;"""",$I142&lt;&gt;""""),HYPERLINK(""https://www.munzee.com/m/""&amp;$H142&amp;""/""&amp;$I142&amp;""/map/?lat=""&amp;$D142&amp;""&amp;lon=""&amp;$E142&amp;""&amp;type=""&amp;$G142&amp;""&amp;name=""&amp;SUBSTITUTE($A142,""#"&amp;""",""%23""),$H142&amp;""/""&amp;$I142),IF($H142&lt;&gt;"""",IF(REGEXMATCH($H142,""50( ?['fF]([oO]{2})?[tT]?)?( ?[eE][rR]{2}[oO][rR])""),HYPERLINK(""https://www.munzee.com/map/?sandbox=1&amp;lat=""&amp;$D142&amp;""&amp;lon=""&amp;$E142&amp;""&amp;name=""&amp;SUBSTITUTE($A142,""#"",""%23""),""SANDBOX"""&amp;"),HYPERLINK(""https://www.munzee.com/m/""&amp;$H142&amp;""/deploys/0/type/""&amp;IFNA(VLOOKUP($G142,IMPORTRANGE(""https://docs.google.com/spreadsheets/d/1DliIGyDywdzxhd4svtjaewR0p9Y5UBTMNMQ2PcXsqss"",""type data!E2:F""),2,FALSE),$G142)&amp;""/"",$H142)),""""))"),"katinka3/5841")</f>
        <v>katinka3/5841</v>
      </c>
      <c r="K142" s="5" t="b">
        <v>1</v>
      </c>
      <c r="L142" s="7"/>
      <c r="M142" s="7"/>
    </row>
    <row r="143">
      <c r="A143" s="3" t="s">
        <v>240</v>
      </c>
      <c r="B143" s="3">
        <v>10.0</v>
      </c>
      <c r="C143" s="3">
        <v>1.0</v>
      </c>
      <c r="D143" s="4">
        <v>49.1908781188046</v>
      </c>
      <c r="E143" s="4">
        <v>-2.0953570468844</v>
      </c>
      <c r="F143" s="3" t="s">
        <v>49</v>
      </c>
      <c r="G143" s="3" t="s">
        <v>50</v>
      </c>
      <c r="H143" s="5"/>
      <c r="I143" s="5"/>
      <c r="J143" s="7" t="str">
        <f>IFERROR(__xludf.DUMMYFUNCTION("IF(AND(REGEXMATCH($H143,""50( ?['fF]([oO]{2})?[tT]?)?( ?[eE][rR]{2}[oO][rR])"")=FALSE,$H143&lt;&gt;"""",$I143&lt;&gt;""""),HYPERLINK(""https://www.munzee.com/m/""&amp;$H143&amp;""/""&amp;$I143&amp;""/map/?lat=""&amp;$D143&amp;""&amp;lon=""&amp;$E143&amp;""&amp;type=""&amp;$G143&amp;""&amp;name=""&amp;SUBSTITUTE($A143,""#"&amp;""",""%23""),$H143&amp;""/""&amp;$I143),IF($H143&lt;&gt;"""",IF(REGEXMATCH($H143,""50( ?['fF]([oO]{2})?[tT]?)?( ?[eE][rR]{2}[oO][rR])""),HYPERLINK(""https://www.munzee.com/map/?sandbox=1&amp;lat=""&amp;$D143&amp;""&amp;lon=""&amp;$E143&amp;""&amp;name=""&amp;SUBSTITUTE($A143,""#"",""%23""),""SANDBOX"""&amp;"),HYPERLINK(""https://www.munzee.com/m/""&amp;$H143&amp;""/deploys/0/type/""&amp;IFNA(VLOOKUP($G143,IMPORTRANGE(""https://docs.google.com/spreadsheets/d/1DliIGyDywdzxhd4svtjaewR0p9Y5UBTMNMQ2PcXsqss"",""type data!E2:F""),2,FALSE),$G143)&amp;""/"",$H143)),""""))"),"")</f>
        <v/>
      </c>
      <c r="K143" s="5" t="b">
        <v>0</v>
      </c>
      <c r="L143" s="7"/>
      <c r="M143" s="7"/>
    </row>
    <row r="144">
      <c r="A144" s="3" t="s">
        <v>241</v>
      </c>
      <c r="B144" s="3">
        <v>10.0</v>
      </c>
      <c r="C144" s="3">
        <v>2.0</v>
      </c>
      <c r="D144" s="4">
        <v>49.1907764859275</v>
      </c>
      <c r="E144" s="4">
        <v>-2.095201536295</v>
      </c>
      <c r="F144" s="3" t="s">
        <v>69</v>
      </c>
      <c r="G144" s="3" t="s">
        <v>70</v>
      </c>
      <c r="H144" s="5"/>
      <c r="I144" s="5"/>
      <c r="J144" s="7" t="str">
        <f>IFERROR(__xludf.DUMMYFUNCTION("IF(AND(REGEXMATCH($H144,""50( ?['fF]([oO]{2})?[tT]?)?( ?[eE][rR]{2}[oO][rR])"")=FALSE,$H144&lt;&gt;"""",$I144&lt;&gt;""""),HYPERLINK(""https://www.munzee.com/m/""&amp;$H144&amp;""/""&amp;$I144&amp;""/map/?lat=""&amp;$D144&amp;""&amp;lon=""&amp;$E144&amp;""&amp;type=""&amp;$G144&amp;""&amp;name=""&amp;SUBSTITUTE($A144,""#"&amp;""",""%23""),$H144&amp;""/""&amp;$I144),IF($H144&lt;&gt;"""",IF(REGEXMATCH($H144,""50( ?['fF]([oO]{2})?[tT]?)?( ?[eE][rR]{2}[oO][rR])""),HYPERLINK(""https://www.munzee.com/map/?sandbox=1&amp;lat=""&amp;$D144&amp;""&amp;lon=""&amp;$E144&amp;""&amp;name=""&amp;SUBSTITUTE($A144,""#"",""%23""),""SANDBOX"""&amp;"),HYPERLINK(""https://www.munzee.com/m/""&amp;$H144&amp;""/deploys/0/type/""&amp;IFNA(VLOOKUP($G144,IMPORTRANGE(""https://docs.google.com/spreadsheets/d/1DliIGyDywdzxhd4svtjaewR0p9Y5UBTMNMQ2PcXsqss"",""type data!E2:F""),2,FALSE),$G144)&amp;""/"",$H144)),""""))"),"")</f>
        <v/>
      </c>
      <c r="K144" s="5" t="b">
        <v>0</v>
      </c>
      <c r="L144" s="7"/>
      <c r="M144" s="7"/>
    </row>
    <row r="145">
      <c r="A145" s="3" t="s">
        <v>242</v>
      </c>
      <c r="B145" s="3">
        <v>10.0</v>
      </c>
      <c r="C145" s="3">
        <v>3.0</v>
      </c>
      <c r="D145" s="4">
        <v>49.1906748530505</v>
      </c>
      <c r="E145" s="4">
        <v>-2.0950460260251</v>
      </c>
      <c r="F145" s="3" t="s">
        <v>69</v>
      </c>
      <c r="G145" s="3" t="s">
        <v>70</v>
      </c>
      <c r="H145" s="5"/>
      <c r="I145" s="5"/>
      <c r="J145" s="7" t="str">
        <f>IFERROR(__xludf.DUMMYFUNCTION("IF(AND(REGEXMATCH($H145,""50( ?['fF]([oO]{2})?[tT]?)?( ?[eE][rR]{2}[oO][rR])"")=FALSE,$H145&lt;&gt;"""",$I145&lt;&gt;""""),HYPERLINK(""https://www.munzee.com/m/""&amp;$H145&amp;""/""&amp;$I145&amp;""/map/?lat=""&amp;$D145&amp;""&amp;lon=""&amp;$E145&amp;""&amp;type=""&amp;$G145&amp;""&amp;name=""&amp;SUBSTITUTE($A145,""#"&amp;""",""%23""),$H145&amp;""/""&amp;$I145),IF($H145&lt;&gt;"""",IF(REGEXMATCH($H145,""50( ?['fF]([oO]{2})?[tT]?)?( ?[eE][rR]{2}[oO][rR])""),HYPERLINK(""https://www.munzee.com/map/?sandbox=1&amp;lat=""&amp;$D145&amp;""&amp;lon=""&amp;$E145&amp;""&amp;name=""&amp;SUBSTITUTE($A145,""#"",""%23""),""SANDBOX"""&amp;"),HYPERLINK(""https://www.munzee.com/m/""&amp;$H145&amp;""/deploys/0/type/""&amp;IFNA(VLOOKUP($G145,IMPORTRANGE(""https://docs.google.com/spreadsheets/d/1DliIGyDywdzxhd4svtjaewR0p9Y5UBTMNMQ2PcXsqss"",""type data!E2:F""),2,FALSE),$G145)&amp;""/"",$H145)),""""))"),"")</f>
        <v/>
      </c>
      <c r="K145" s="5" t="b">
        <v>0</v>
      </c>
      <c r="L145" s="7"/>
      <c r="M145" s="7"/>
    </row>
    <row r="146">
      <c r="A146" s="3" t="s">
        <v>243</v>
      </c>
      <c r="B146" s="3">
        <v>10.0</v>
      </c>
      <c r="C146" s="3">
        <v>4.0</v>
      </c>
      <c r="D146" s="4">
        <v>49.1905732201735</v>
      </c>
      <c r="E146" s="4">
        <v>-2.0948905160747</v>
      </c>
      <c r="F146" s="3" t="s">
        <v>119</v>
      </c>
      <c r="G146" s="3" t="s">
        <v>120</v>
      </c>
      <c r="H146" s="5" t="s">
        <v>244</v>
      </c>
      <c r="I146" s="5">
        <v>2635.0</v>
      </c>
      <c r="J146" s="6" t="str">
        <f>IFERROR(__xludf.DUMMYFUNCTION("IF(AND(REGEXMATCH($H146,""50( ?['fF]([oO]{2})?[tT]?)?( ?[eE][rR]{2}[oO][rR])"")=FALSE,$H146&lt;&gt;"""",$I146&lt;&gt;""""),HYPERLINK(""https://www.munzee.com/m/""&amp;$H146&amp;""/""&amp;$I146&amp;""/map/?lat=""&amp;$D146&amp;""&amp;lon=""&amp;$E146&amp;""&amp;type=""&amp;$G146&amp;""&amp;name=""&amp;SUBSTITUTE($A146,""#"&amp;""",""%23""),$H146&amp;""/""&amp;$I146),IF($H146&lt;&gt;"""",IF(REGEXMATCH($H146,""50( ?['fF]([oO]{2})?[tT]?)?( ?[eE][rR]{2}[oO][rR])""),HYPERLINK(""https://www.munzee.com/map/?sandbox=1&amp;lat=""&amp;$D146&amp;""&amp;lon=""&amp;$E146&amp;""&amp;name=""&amp;SUBSTITUTE($A146,""#"",""%23""),""SANDBOX"""&amp;"),HYPERLINK(""https://www.munzee.com/m/""&amp;$H146&amp;""/deploys/0/type/""&amp;IFNA(VLOOKUP($G146,IMPORTRANGE(""https://docs.google.com/spreadsheets/d/1DliIGyDywdzxhd4svtjaewR0p9Y5UBTMNMQ2PcXsqss"",""type data!E2:F""),2,FALSE),$G146)&amp;""/"",$H146)),""""))"),"babyw/2635")</f>
        <v>babyw/2635</v>
      </c>
      <c r="K146" s="5" t="b">
        <v>1</v>
      </c>
      <c r="L146" s="7"/>
      <c r="M146" s="7"/>
    </row>
    <row r="147">
      <c r="A147" s="3" t="s">
        <v>245</v>
      </c>
      <c r="B147" s="3">
        <v>10.0</v>
      </c>
      <c r="C147" s="3">
        <v>5.0</v>
      </c>
      <c r="D147" s="4">
        <v>49.1904715872964</v>
      </c>
      <c r="E147" s="4">
        <v>-2.0947350064438</v>
      </c>
      <c r="F147" s="3" t="s">
        <v>122</v>
      </c>
      <c r="G147" s="3" t="s">
        <v>123</v>
      </c>
      <c r="H147" s="5"/>
      <c r="I147" s="5"/>
      <c r="J147" s="7" t="str">
        <f>IFERROR(__xludf.DUMMYFUNCTION("IF(AND(REGEXMATCH($H147,""50( ?['fF]([oO]{2})?[tT]?)?( ?[eE][rR]{2}[oO][rR])"")=FALSE,$H147&lt;&gt;"""",$I147&lt;&gt;""""),HYPERLINK(""https://www.munzee.com/m/""&amp;$H147&amp;""/""&amp;$I147&amp;""/map/?lat=""&amp;$D147&amp;""&amp;lon=""&amp;$E147&amp;""&amp;type=""&amp;$G147&amp;""&amp;name=""&amp;SUBSTITUTE($A147,""#"&amp;""",""%23""),$H147&amp;""/""&amp;$I147),IF($H147&lt;&gt;"""",IF(REGEXMATCH($H147,""50( ?['fF]([oO]{2})?[tT]?)?( ?[eE][rR]{2}[oO][rR])""),HYPERLINK(""https://www.munzee.com/map/?sandbox=1&amp;lat=""&amp;$D147&amp;""&amp;lon=""&amp;$E147&amp;""&amp;name=""&amp;SUBSTITUTE($A147,""#"",""%23""),""SANDBOX"""&amp;"),HYPERLINK(""https://www.munzee.com/m/""&amp;$H147&amp;""/deploys/0/type/""&amp;IFNA(VLOOKUP($G147,IMPORTRANGE(""https://docs.google.com/spreadsheets/d/1DliIGyDywdzxhd4svtjaewR0p9Y5UBTMNMQ2PcXsqss"",""type data!E2:F""),2,FALSE),$G147)&amp;""/"",$H147)),""""))"),"")</f>
        <v/>
      </c>
      <c r="K147" s="5" t="b">
        <v>0</v>
      </c>
      <c r="L147" s="7"/>
      <c r="M147" s="7"/>
    </row>
    <row r="148">
      <c r="A148" s="3" t="s">
        <v>246</v>
      </c>
      <c r="B148" s="3">
        <v>10.0</v>
      </c>
      <c r="C148" s="3">
        <v>6.0</v>
      </c>
      <c r="D148" s="4">
        <v>49.1903699544194</v>
      </c>
      <c r="E148" s="4">
        <v>-2.0945794971324</v>
      </c>
      <c r="F148" s="3" t="s">
        <v>122</v>
      </c>
      <c r="G148" s="3" t="s">
        <v>123</v>
      </c>
      <c r="H148" s="5"/>
      <c r="I148" s="5"/>
      <c r="J148" s="7" t="str">
        <f>IFERROR(__xludf.DUMMYFUNCTION("IF(AND(REGEXMATCH($H148,""50( ?['fF]([oO]{2})?[tT]?)?( ?[eE][rR]{2}[oO][rR])"")=FALSE,$H148&lt;&gt;"""",$I148&lt;&gt;""""),HYPERLINK(""https://www.munzee.com/m/""&amp;$H148&amp;""/""&amp;$I148&amp;""/map/?lat=""&amp;$D148&amp;""&amp;lon=""&amp;$E148&amp;""&amp;type=""&amp;$G148&amp;""&amp;name=""&amp;SUBSTITUTE($A148,""#"&amp;""",""%23""),$H148&amp;""/""&amp;$I148),IF($H148&lt;&gt;"""",IF(REGEXMATCH($H148,""50( ?['fF]([oO]{2})?[tT]?)?( ?[eE][rR]{2}[oO][rR])""),HYPERLINK(""https://www.munzee.com/map/?sandbox=1&amp;lat=""&amp;$D148&amp;""&amp;lon=""&amp;$E148&amp;""&amp;name=""&amp;SUBSTITUTE($A148,""#"",""%23""),""SANDBOX"""&amp;"),HYPERLINK(""https://www.munzee.com/m/""&amp;$H148&amp;""/deploys/0/type/""&amp;IFNA(VLOOKUP($G148,IMPORTRANGE(""https://docs.google.com/spreadsheets/d/1DliIGyDywdzxhd4svtjaewR0p9Y5UBTMNMQ2PcXsqss"",""type data!E2:F""),2,FALSE),$G148)&amp;""/"",$H148)),""""))"),"")</f>
        <v/>
      </c>
      <c r="K148" s="5" t="b">
        <v>0</v>
      </c>
      <c r="L148" s="7"/>
      <c r="M148" s="7"/>
    </row>
    <row r="149">
      <c r="A149" s="3" t="s">
        <v>247</v>
      </c>
      <c r="B149" s="3">
        <v>10.0</v>
      </c>
      <c r="C149" s="3">
        <v>7.0</v>
      </c>
      <c r="D149" s="4">
        <v>49.1902683215423</v>
      </c>
      <c r="E149" s="4">
        <v>-2.0944239881404</v>
      </c>
      <c r="F149" s="3" t="s">
        <v>122</v>
      </c>
      <c r="G149" s="3" t="s">
        <v>123</v>
      </c>
      <c r="H149" s="5"/>
      <c r="I149" s="5"/>
      <c r="J149" s="7" t="str">
        <f>IFERROR(__xludf.DUMMYFUNCTION("IF(AND(REGEXMATCH($H149,""50( ?['fF]([oO]{2})?[tT]?)?( ?[eE][rR]{2}[oO][rR])"")=FALSE,$H149&lt;&gt;"""",$I149&lt;&gt;""""),HYPERLINK(""https://www.munzee.com/m/""&amp;$H149&amp;""/""&amp;$I149&amp;""/map/?lat=""&amp;$D149&amp;""&amp;lon=""&amp;$E149&amp;""&amp;type=""&amp;$G149&amp;""&amp;name=""&amp;SUBSTITUTE($A149,""#"&amp;""",""%23""),$H149&amp;""/""&amp;$I149),IF($H149&lt;&gt;"""",IF(REGEXMATCH($H149,""50( ?['fF]([oO]{2})?[tT]?)?( ?[eE][rR]{2}[oO][rR])""),HYPERLINK(""https://www.munzee.com/map/?sandbox=1&amp;lat=""&amp;$D149&amp;""&amp;lon=""&amp;$E149&amp;""&amp;name=""&amp;SUBSTITUTE($A149,""#"",""%23""),""SANDBOX"""&amp;"),HYPERLINK(""https://www.munzee.com/m/""&amp;$H149&amp;""/deploys/0/type/""&amp;IFNA(VLOOKUP($G149,IMPORTRANGE(""https://docs.google.com/spreadsheets/d/1DliIGyDywdzxhd4svtjaewR0p9Y5UBTMNMQ2PcXsqss"",""type data!E2:F""),2,FALSE),$G149)&amp;""/"",$H149)),""""))"),"")</f>
        <v/>
      </c>
      <c r="K149" s="5" t="b">
        <v>0</v>
      </c>
      <c r="L149" s="7"/>
      <c r="M149" s="7"/>
    </row>
    <row r="150">
      <c r="A150" s="3" t="s">
        <v>248</v>
      </c>
      <c r="B150" s="3">
        <v>10.0</v>
      </c>
      <c r="C150" s="3">
        <v>8.0</v>
      </c>
      <c r="D150" s="4">
        <v>49.1901666886653</v>
      </c>
      <c r="E150" s="4">
        <v>-2.0942684794679</v>
      </c>
      <c r="F150" s="3" t="s">
        <v>151</v>
      </c>
      <c r="G150" s="3" t="s">
        <v>152</v>
      </c>
      <c r="H150" s="5"/>
      <c r="I150" s="5"/>
      <c r="J150" s="7" t="str">
        <f>IFERROR(__xludf.DUMMYFUNCTION("IF(AND(REGEXMATCH($H150,""50( ?['fF]([oO]{2})?[tT]?)?( ?[eE][rR]{2}[oO][rR])"")=FALSE,$H150&lt;&gt;"""",$I150&lt;&gt;""""),HYPERLINK(""https://www.munzee.com/m/""&amp;$H150&amp;""/""&amp;$I150&amp;""/map/?lat=""&amp;$D150&amp;""&amp;lon=""&amp;$E150&amp;""&amp;type=""&amp;$G150&amp;""&amp;name=""&amp;SUBSTITUTE($A150,""#"&amp;""",""%23""),$H150&amp;""/""&amp;$I150),IF($H150&lt;&gt;"""",IF(REGEXMATCH($H150,""50( ?['fF]([oO]{2})?[tT]?)?( ?[eE][rR]{2}[oO][rR])""),HYPERLINK(""https://www.munzee.com/map/?sandbox=1&amp;lat=""&amp;$D150&amp;""&amp;lon=""&amp;$E150&amp;""&amp;name=""&amp;SUBSTITUTE($A150,""#"",""%23""),""SANDBOX"""&amp;"),HYPERLINK(""https://www.munzee.com/m/""&amp;$H150&amp;""/deploys/0/type/""&amp;IFNA(VLOOKUP($G150,IMPORTRANGE(""https://docs.google.com/spreadsheets/d/1DliIGyDywdzxhd4svtjaewR0p9Y5UBTMNMQ2PcXsqss"",""type data!E2:F""),2,FALSE),$G150)&amp;""/"",$H150)),""""))"),"")</f>
        <v/>
      </c>
      <c r="K150" s="5" t="b">
        <v>0</v>
      </c>
      <c r="L150" s="7"/>
      <c r="M150" s="7"/>
    </row>
    <row r="151">
      <c r="A151" s="3" t="s">
        <v>249</v>
      </c>
      <c r="B151" s="3">
        <v>10.0</v>
      </c>
      <c r="C151" s="3">
        <v>16.0</v>
      </c>
      <c r="D151" s="4">
        <v>49.189353625649</v>
      </c>
      <c r="E151" s="4">
        <v>-2.0930244215879</v>
      </c>
      <c r="F151" s="3" t="s">
        <v>250</v>
      </c>
      <c r="G151" s="3" t="s">
        <v>251</v>
      </c>
      <c r="H151" s="5" t="s">
        <v>252</v>
      </c>
      <c r="I151" s="5">
        <v>4993.0</v>
      </c>
      <c r="J151" s="6" t="str">
        <f>IFERROR(__xludf.DUMMYFUNCTION("IF(AND(REGEXMATCH($H151,""50( ?['fF]([oO]{2})?[tT]?)?( ?[eE][rR]{2}[oO][rR])"")=FALSE,$H151&lt;&gt;"""",$I151&lt;&gt;""""),HYPERLINK(""https://www.munzee.com/m/""&amp;$H151&amp;""/""&amp;$I151&amp;""/map/?lat=""&amp;$D151&amp;""&amp;lon=""&amp;$E151&amp;""&amp;type=""&amp;$G151&amp;""&amp;name=""&amp;SUBSTITUTE($A151,""#"&amp;""",""%23""),$H151&amp;""/""&amp;$I151),IF($H151&lt;&gt;"""",IF(REGEXMATCH($H151,""50( ?['fF]([oO]{2})?[tT]?)?( ?[eE][rR]{2}[oO][rR])""),HYPERLINK(""https://www.munzee.com/map/?sandbox=1&amp;lat=""&amp;$D151&amp;""&amp;lon=""&amp;$E151&amp;""&amp;name=""&amp;SUBSTITUTE($A151,""#"",""%23""),""SANDBOX"""&amp;"),HYPERLINK(""https://www.munzee.com/m/""&amp;$H151&amp;""/deploys/0/type/""&amp;IFNA(VLOOKUP($G151,IMPORTRANGE(""https://docs.google.com/spreadsheets/d/1DliIGyDywdzxhd4svtjaewR0p9Y5UBTMNMQ2PcXsqss"",""type data!E2:F""),2,FALSE),$G151)&amp;""/"",$H151)),""""))"),"FindersGirl/4993")</f>
        <v>FindersGirl/4993</v>
      </c>
      <c r="K151" s="5" t="b">
        <v>1</v>
      </c>
      <c r="L151" s="7"/>
      <c r="M151" s="7"/>
    </row>
    <row r="152">
      <c r="A152" s="3" t="s">
        <v>253</v>
      </c>
      <c r="B152" s="3">
        <v>10.0</v>
      </c>
      <c r="C152" s="3">
        <v>25.0</v>
      </c>
      <c r="D152" s="4">
        <v>49.1884389297557</v>
      </c>
      <c r="E152" s="4">
        <v>-2.0916248809106</v>
      </c>
      <c r="F152" s="3" t="s">
        <v>151</v>
      </c>
      <c r="G152" s="3" t="s">
        <v>152</v>
      </c>
      <c r="H152" s="5" t="s">
        <v>60</v>
      </c>
      <c r="I152" s="5">
        <v>1444.0</v>
      </c>
      <c r="J152" s="6" t="str">
        <f>IFERROR(__xludf.DUMMYFUNCTION("IF(AND(REGEXMATCH($H152,""50( ?['fF]([oO]{2})?[tT]?)?( ?[eE][rR]{2}[oO][rR])"")=FALSE,$H152&lt;&gt;"""",$I152&lt;&gt;""""),HYPERLINK(""https://www.munzee.com/m/""&amp;$H152&amp;""/""&amp;$I152&amp;""/map/?lat=""&amp;$D152&amp;""&amp;lon=""&amp;$E152&amp;""&amp;type=""&amp;$G152&amp;""&amp;name=""&amp;SUBSTITUTE($A152,""#"&amp;""",""%23""),$H152&amp;""/""&amp;$I152),IF($H152&lt;&gt;"""",IF(REGEXMATCH($H152,""50( ?['fF]([oO]{2})?[tT]?)?( ?[eE][rR]{2}[oO][rR])""),HYPERLINK(""https://www.munzee.com/map/?sandbox=1&amp;lat=""&amp;$D152&amp;""&amp;lon=""&amp;$E152&amp;""&amp;name=""&amp;SUBSTITUTE($A152,""#"",""%23""),""SANDBOX"""&amp;"),HYPERLINK(""https://www.munzee.com/m/""&amp;$H152&amp;""/deploys/0/type/""&amp;IFNA(VLOOKUP($G152,IMPORTRANGE(""https://docs.google.com/spreadsheets/d/1DliIGyDywdzxhd4svtjaewR0p9Y5UBTMNMQ2PcXsqss"",""type data!E2:F""),2,FALSE),$G152)&amp;""/"",$H152)),""""))"),"pippy44 /1444")</f>
        <v>pippy44 /1444</v>
      </c>
      <c r="K152" s="5" t="b">
        <v>0</v>
      </c>
      <c r="L152" s="7"/>
      <c r="M152" s="7"/>
    </row>
    <row r="153">
      <c r="A153" s="3" t="s">
        <v>254</v>
      </c>
      <c r="B153" s="3">
        <v>10.0</v>
      </c>
      <c r="C153" s="3">
        <v>26.0</v>
      </c>
      <c r="D153" s="4">
        <v>49.1883372968786</v>
      </c>
      <c r="E153" s="4">
        <v>-2.091469377988</v>
      </c>
      <c r="F153" s="3" t="s">
        <v>200</v>
      </c>
      <c r="G153" s="3" t="s">
        <v>201</v>
      </c>
      <c r="H153" s="5" t="s">
        <v>140</v>
      </c>
      <c r="I153" s="9">
        <v>1968.0</v>
      </c>
      <c r="J153" s="6" t="str">
        <f>IFERROR(__xludf.DUMMYFUNCTION("IF(AND(REGEXMATCH($H153,""50( ?['fF]([oO]{2})?[tT]?)?( ?[eE][rR]{2}[oO][rR])"")=FALSE,$H153&lt;&gt;"""",$I153&lt;&gt;""""),HYPERLINK(""https://www.munzee.com/m/""&amp;$H153&amp;""/""&amp;$I153&amp;""/map/?lat=""&amp;$D153&amp;""&amp;lon=""&amp;$E153&amp;""&amp;type=""&amp;$G153&amp;""&amp;name=""&amp;SUBSTITUTE($A153,""#"&amp;""",""%23""),$H153&amp;""/""&amp;$I153),IF($H153&lt;&gt;"""",IF(REGEXMATCH($H153,""50( ?['fF]([oO]{2})?[tT]?)?( ?[eE][rR]{2}[oO][rR])""),HYPERLINK(""https://www.munzee.com/map/?sandbox=1&amp;lat=""&amp;$D153&amp;""&amp;lon=""&amp;$E153&amp;""&amp;name=""&amp;SUBSTITUTE($A153,""#"",""%23""),""SANDBOX"""&amp;"),HYPERLINK(""https://www.munzee.com/m/""&amp;$H153&amp;""/deploys/0/type/""&amp;IFNA(VLOOKUP($G153,IMPORTRANGE(""https://docs.google.com/spreadsheets/d/1DliIGyDywdzxhd4svtjaewR0p9Y5UBTMNMQ2PcXsqss"",""type data!E2:F""),2,FALSE),$G153)&amp;""/"",$H153)),""""))"),"cpmunz/1968")</f>
        <v>cpmunz/1968</v>
      </c>
      <c r="K153" s="5" t="b">
        <v>1</v>
      </c>
      <c r="L153" s="7"/>
      <c r="M153" s="7"/>
    </row>
    <row r="154">
      <c r="A154" s="3" t="s">
        <v>255</v>
      </c>
      <c r="B154" s="3">
        <v>10.0</v>
      </c>
      <c r="C154" s="3">
        <v>27.0</v>
      </c>
      <c r="D154" s="4">
        <v>49.1882356640016</v>
      </c>
      <c r="E154" s="4">
        <v>-2.0913138753849</v>
      </c>
      <c r="F154" s="3" t="s">
        <v>39</v>
      </c>
      <c r="G154" s="3" t="s">
        <v>40</v>
      </c>
      <c r="H154" s="5" t="s">
        <v>191</v>
      </c>
      <c r="I154" s="5">
        <v>1107.0</v>
      </c>
      <c r="J154" s="6" t="str">
        <f>IFERROR(__xludf.DUMMYFUNCTION("IF(AND(REGEXMATCH($H154,""50( ?['fF]([oO]{2})?[tT]?)?( ?[eE][rR]{2}[oO][rR])"")=FALSE,$H154&lt;&gt;"""",$I154&lt;&gt;""""),HYPERLINK(""https://www.munzee.com/m/""&amp;$H154&amp;""/""&amp;$I154&amp;""/map/?lat=""&amp;$D154&amp;""&amp;lon=""&amp;$E154&amp;""&amp;type=""&amp;$G154&amp;""&amp;name=""&amp;SUBSTITUTE($A154,""#"&amp;""",""%23""),$H154&amp;""/""&amp;$I154),IF($H154&lt;&gt;"""",IF(REGEXMATCH($H154,""50( ?['fF]([oO]{2})?[tT]?)?( ?[eE][rR]{2}[oO][rR])""),HYPERLINK(""https://www.munzee.com/map/?sandbox=1&amp;lat=""&amp;$D154&amp;""&amp;lon=""&amp;$E154&amp;""&amp;name=""&amp;SUBSTITUTE($A154,""#"",""%23""),""SANDBOX"""&amp;"),HYPERLINK(""https://www.munzee.com/m/""&amp;$H154&amp;""/deploys/0/type/""&amp;IFNA(VLOOKUP($G154,IMPORTRANGE(""https://docs.google.com/spreadsheets/d/1DliIGyDywdzxhd4svtjaewR0p9Y5UBTMNMQ2PcXsqss"",""type data!E2:F""),2,FALSE),$G154)&amp;""/"",$H154)),""""))"),"walktohere/1107")</f>
        <v>walktohere/1107</v>
      </c>
      <c r="K154" s="5" t="b">
        <v>1</v>
      </c>
      <c r="L154" s="7"/>
      <c r="M154" s="7"/>
    </row>
    <row r="155">
      <c r="A155" s="3" t="s">
        <v>256</v>
      </c>
      <c r="B155" s="3">
        <v>10.0</v>
      </c>
      <c r="C155" s="3">
        <v>28.0</v>
      </c>
      <c r="D155" s="4">
        <v>49.1881340311246</v>
      </c>
      <c r="E155" s="4">
        <v>-2.0911583731013</v>
      </c>
      <c r="F155" s="3" t="s">
        <v>39</v>
      </c>
      <c r="G155" s="3" t="s">
        <v>40</v>
      </c>
      <c r="H155" s="5" t="s">
        <v>257</v>
      </c>
      <c r="I155" s="5">
        <v>2608.0</v>
      </c>
      <c r="J155" s="6" t="str">
        <f>IFERROR(__xludf.DUMMYFUNCTION("IF(AND(REGEXMATCH($H155,""50( ?['fF]([oO]{2})?[tT]?)?( ?[eE][rR]{2}[oO][rR])"")=FALSE,$H155&lt;&gt;"""",$I155&lt;&gt;""""),HYPERLINK(""https://www.munzee.com/m/""&amp;$H155&amp;""/""&amp;$I155&amp;""/map/?lat=""&amp;$D155&amp;""&amp;lon=""&amp;$E155&amp;""&amp;type=""&amp;$G155&amp;""&amp;name=""&amp;SUBSTITUTE($A155,""#"&amp;""",""%23""),$H155&amp;""/""&amp;$I155),IF($H155&lt;&gt;"""",IF(REGEXMATCH($H155,""50( ?['fF]([oO]{2})?[tT]?)?( ?[eE][rR]{2}[oO][rR])""),HYPERLINK(""https://www.munzee.com/map/?sandbox=1&amp;lat=""&amp;$D155&amp;""&amp;lon=""&amp;$E155&amp;""&amp;name=""&amp;SUBSTITUTE($A155,""#"",""%23""),""SANDBOX"""&amp;"),HYPERLINK(""https://www.munzee.com/m/""&amp;$H155&amp;""/deploys/0/type/""&amp;IFNA(VLOOKUP($G155,IMPORTRANGE(""https://docs.google.com/spreadsheets/d/1DliIGyDywdzxhd4svtjaewR0p9Y5UBTMNMQ2PcXsqss"",""type data!E2:F""),2,FALSE),$G155)&amp;""/"",$H155)),""""))"),"Alzarius/2608")</f>
        <v>Alzarius/2608</v>
      </c>
      <c r="K155" s="5" t="b">
        <v>1</v>
      </c>
      <c r="L155" s="5"/>
      <c r="M155" s="7"/>
    </row>
    <row r="156">
      <c r="A156" s="3" t="s">
        <v>258</v>
      </c>
      <c r="B156" s="3">
        <v>10.0</v>
      </c>
      <c r="C156" s="3">
        <v>29.0</v>
      </c>
      <c r="D156" s="4">
        <v>49.1880323982475</v>
      </c>
      <c r="E156" s="4">
        <v>-2.091002871137</v>
      </c>
      <c r="F156" s="3" t="s">
        <v>14</v>
      </c>
      <c r="G156" s="3" t="s">
        <v>15</v>
      </c>
      <c r="H156" s="5"/>
      <c r="I156" s="5"/>
      <c r="J156" s="7" t="str">
        <f>IFERROR(__xludf.DUMMYFUNCTION("IF(AND(REGEXMATCH($H156,""50( ?['fF]([oO]{2})?[tT]?)?( ?[eE][rR]{2}[oO][rR])"")=FALSE,$H156&lt;&gt;"""",$I156&lt;&gt;""""),HYPERLINK(""https://www.munzee.com/m/""&amp;$H156&amp;""/""&amp;$I156&amp;""/map/?lat=""&amp;$D156&amp;""&amp;lon=""&amp;$E156&amp;""&amp;type=""&amp;$G156&amp;""&amp;name=""&amp;SUBSTITUTE($A156,""#"&amp;""",""%23""),$H156&amp;""/""&amp;$I156),IF($H156&lt;&gt;"""",IF(REGEXMATCH($H156,""50( ?['fF]([oO]{2})?[tT]?)?( ?[eE][rR]{2}[oO][rR])""),HYPERLINK(""https://www.munzee.com/map/?sandbox=1&amp;lat=""&amp;$D156&amp;""&amp;lon=""&amp;$E156&amp;""&amp;name=""&amp;SUBSTITUTE($A156,""#"",""%23""),""SANDBOX"""&amp;"),HYPERLINK(""https://www.munzee.com/m/""&amp;$H156&amp;""/deploys/0/type/""&amp;IFNA(VLOOKUP($G156,IMPORTRANGE(""https://docs.google.com/spreadsheets/d/1DliIGyDywdzxhd4svtjaewR0p9Y5UBTMNMQ2PcXsqss"",""type data!E2:F""),2,FALSE),$G156)&amp;""/"",$H156)),""""))"),"")</f>
        <v/>
      </c>
      <c r="K156" s="5" t="b">
        <v>0</v>
      </c>
      <c r="L156" s="7"/>
      <c r="M156" s="7"/>
    </row>
    <row r="157">
      <c r="A157" s="3" t="s">
        <v>259</v>
      </c>
      <c r="B157" s="3">
        <v>10.0</v>
      </c>
      <c r="C157" s="3">
        <v>30.0</v>
      </c>
      <c r="D157" s="4">
        <v>49.1879307653705</v>
      </c>
      <c r="E157" s="4">
        <v>-2.0908473694922</v>
      </c>
      <c r="F157" s="3" t="s">
        <v>49</v>
      </c>
      <c r="G157" s="3" t="s">
        <v>50</v>
      </c>
      <c r="H157" s="5"/>
      <c r="I157" s="5"/>
      <c r="J157" s="7" t="str">
        <f>IFERROR(__xludf.DUMMYFUNCTION("IF(AND(REGEXMATCH($H157,""50( ?['fF]([oO]{2})?[tT]?)?( ?[eE][rR]{2}[oO][rR])"")=FALSE,$H157&lt;&gt;"""",$I157&lt;&gt;""""),HYPERLINK(""https://www.munzee.com/m/""&amp;$H157&amp;""/""&amp;$I157&amp;""/map/?lat=""&amp;$D157&amp;""&amp;lon=""&amp;$E157&amp;""&amp;type=""&amp;$G157&amp;""&amp;name=""&amp;SUBSTITUTE($A157,""#"&amp;""",""%23""),$H157&amp;""/""&amp;$I157),IF($H157&lt;&gt;"""",IF(REGEXMATCH($H157,""50( ?['fF]([oO]{2})?[tT]?)?( ?[eE][rR]{2}[oO][rR])""),HYPERLINK(""https://www.munzee.com/map/?sandbox=1&amp;lat=""&amp;$D157&amp;""&amp;lon=""&amp;$E157&amp;""&amp;name=""&amp;SUBSTITUTE($A157,""#"",""%23""),""SANDBOX"""&amp;"),HYPERLINK(""https://www.munzee.com/m/""&amp;$H157&amp;""/deploys/0/type/""&amp;IFNA(VLOOKUP($G157,IMPORTRANGE(""https://docs.google.com/spreadsheets/d/1DliIGyDywdzxhd4svtjaewR0p9Y5UBTMNMQ2PcXsqss"",""type data!E2:F""),2,FALSE),$G157)&amp;""/"",$H157)),""""))"),"")</f>
        <v/>
      </c>
      <c r="K157" s="5" t="b">
        <v>0</v>
      </c>
      <c r="L157" s="7"/>
      <c r="M157" s="7"/>
    </row>
    <row r="158">
      <c r="A158" s="3" t="s">
        <v>260</v>
      </c>
      <c r="B158" s="3">
        <v>11.0</v>
      </c>
      <c r="C158" s="3">
        <v>1.0</v>
      </c>
      <c r="D158" s="4">
        <v>49.1907764859275</v>
      </c>
      <c r="E158" s="4">
        <v>-2.0955125664191</v>
      </c>
      <c r="F158" s="3" t="s">
        <v>49</v>
      </c>
      <c r="G158" s="3" t="s">
        <v>50</v>
      </c>
      <c r="H158" s="5"/>
      <c r="I158" s="5"/>
      <c r="J158" s="7" t="str">
        <f>IFERROR(__xludf.DUMMYFUNCTION("IF(AND(REGEXMATCH($H158,""50( ?['fF]([oO]{2})?[tT]?)?( ?[eE][rR]{2}[oO][rR])"")=FALSE,$H158&lt;&gt;"""",$I158&lt;&gt;""""),HYPERLINK(""https://www.munzee.com/m/""&amp;$H158&amp;""/""&amp;$I158&amp;""/map/?lat=""&amp;$D158&amp;""&amp;lon=""&amp;$E158&amp;""&amp;type=""&amp;$G158&amp;""&amp;name=""&amp;SUBSTITUTE($A158,""#"&amp;""",""%23""),$H158&amp;""/""&amp;$I158),IF($H158&lt;&gt;"""",IF(REGEXMATCH($H158,""50( ?['fF]([oO]{2})?[tT]?)?( ?[eE][rR]{2}[oO][rR])""),HYPERLINK(""https://www.munzee.com/map/?sandbox=1&amp;lat=""&amp;$D158&amp;""&amp;lon=""&amp;$E158&amp;""&amp;name=""&amp;SUBSTITUTE($A158,""#"",""%23""),""SANDBOX"""&amp;"),HYPERLINK(""https://www.munzee.com/m/""&amp;$H158&amp;""/deploys/0/type/""&amp;IFNA(VLOOKUP($G158,IMPORTRANGE(""https://docs.google.com/spreadsheets/d/1DliIGyDywdzxhd4svtjaewR0p9Y5UBTMNMQ2PcXsqss"",""type data!E2:F""),2,FALSE),$G158)&amp;""/"",$H158)),""""))"),"")</f>
        <v/>
      </c>
      <c r="K158" s="5" t="b">
        <v>0</v>
      </c>
      <c r="L158" s="7"/>
      <c r="M158" s="7"/>
    </row>
    <row r="159">
      <c r="A159" s="3" t="s">
        <v>261</v>
      </c>
      <c r="B159" s="3">
        <v>11.0</v>
      </c>
      <c r="C159" s="3">
        <v>2.0</v>
      </c>
      <c r="D159" s="4">
        <v>49.1906748530505</v>
      </c>
      <c r="E159" s="4">
        <v>-2.0953570561492</v>
      </c>
      <c r="F159" s="3" t="s">
        <v>69</v>
      </c>
      <c r="G159" s="3" t="s">
        <v>70</v>
      </c>
      <c r="H159" s="5"/>
      <c r="I159" s="5"/>
      <c r="J159" s="7" t="str">
        <f>IFERROR(__xludf.DUMMYFUNCTION("IF(AND(REGEXMATCH($H159,""50( ?['fF]([oO]{2})?[tT]?)?( ?[eE][rR]{2}[oO][rR])"")=FALSE,$H159&lt;&gt;"""",$I159&lt;&gt;""""),HYPERLINK(""https://www.munzee.com/m/""&amp;$H159&amp;""/""&amp;$I159&amp;""/map/?lat=""&amp;$D159&amp;""&amp;lon=""&amp;$E159&amp;""&amp;type=""&amp;$G159&amp;""&amp;name=""&amp;SUBSTITUTE($A159,""#"&amp;""",""%23""),$H159&amp;""/""&amp;$I159),IF($H159&lt;&gt;"""",IF(REGEXMATCH($H159,""50( ?['fF]([oO]{2})?[tT]?)?( ?[eE][rR]{2}[oO][rR])""),HYPERLINK(""https://www.munzee.com/map/?sandbox=1&amp;lat=""&amp;$D159&amp;""&amp;lon=""&amp;$E159&amp;""&amp;name=""&amp;SUBSTITUTE($A159,""#"",""%23""),""SANDBOX"""&amp;"),HYPERLINK(""https://www.munzee.com/m/""&amp;$H159&amp;""/deploys/0/type/""&amp;IFNA(VLOOKUP($G159,IMPORTRANGE(""https://docs.google.com/spreadsheets/d/1DliIGyDywdzxhd4svtjaewR0p9Y5UBTMNMQ2PcXsqss"",""type data!E2:F""),2,FALSE),$G159)&amp;""/"",$H159)),""""))"),"")</f>
        <v/>
      </c>
      <c r="K159" s="5" t="b">
        <v>0</v>
      </c>
      <c r="L159" s="7"/>
      <c r="M159" s="7"/>
    </row>
    <row r="160">
      <c r="A160" s="3" t="s">
        <v>262</v>
      </c>
      <c r="B160" s="3">
        <v>11.0</v>
      </c>
      <c r="C160" s="3">
        <v>3.0</v>
      </c>
      <c r="D160" s="4">
        <v>49.1905732201735</v>
      </c>
      <c r="E160" s="4">
        <v>-2.0952015461987</v>
      </c>
      <c r="F160" s="3" t="s">
        <v>69</v>
      </c>
      <c r="G160" s="3" t="s">
        <v>70</v>
      </c>
      <c r="H160" s="5"/>
      <c r="I160" s="5"/>
      <c r="J160" s="7" t="str">
        <f>IFERROR(__xludf.DUMMYFUNCTION("IF(AND(REGEXMATCH($H160,""50( ?['fF]([oO]{2})?[tT]?)?( ?[eE][rR]{2}[oO][rR])"")=FALSE,$H160&lt;&gt;"""",$I160&lt;&gt;""""),HYPERLINK(""https://www.munzee.com/m/""&amp;$H160&amp;""/""&amp;$I160&amp;""/map/?lat=""&amp;$D160&amp;""&amp;lon=""&amp;$E160&amp;""&amp;type=""&amp;$G160&amp;""&amp;name=""&amp;SUBSTITUTE($A160,""#"&amp;""",""%23""),$H160&amp;""/""&amp;$I160),IF($H160&lt;&gt;"""",IF(REGEXMATCH($H160,""50( ?['fF]([oO]{2})?[tT]?)?( ?[eE][rR]{2}[oO][rR])""),HYPERLINK(""https://www.munzee.com/map/?sandbox=1&amp;lat=""&amp;$D160&amp;""&amp;lon=""&amp;$E160&amp;""&amp;name=""&amp;SUBSTITUTE($A160,""#"",""%23""),""SANDBOX"""&amp;"),HYPERLINK(""https://www.munzee.com/m/""&amp;$H160&amp;""/deploys/0/type/""&amp;IFNA(VLOOKUP($G160,IMPORTRANGE(""https://docs.google.com/spreadsheets/d/1DliIGyDywdzxhd4svtjaewR0p9Y5UBTMNMQ2PcXsqss"",""type data!E2:F""),2,FALSE),$G160)&amp;""/"",$H160)),""""))"),"")</f>
        <v/>
      </c>
      <c r="K160" s="5" t="b">
        <v>0</v>
      </c>
      <c r="L160" s="7"/>
      <c r="M160" s="7"/>
    </row>
    <row r="161">
      <c r="A161" s="3" t="s">
        <v>263</v>
      </c>
      <c r="B161" s="3">
        <v>11.0</v>
      </c>
      <c r="C161" s="3">
        <v>4.0</v>
      </c>
      <c r="D161" s="4">
        <v>49.1904715872964</v>
      </c>
      <c r="E161" s="4">
        <v>-2.0950460365679</v>
      </c>
      <c r="F161" s="3" t="s">
        <v>122</v>
      </c>
      <c r="G161" s="3" t="s">
        <v>123</v>
      </c>
      <c r="H161" s="5"/>
      <c r="I161" s="5"/>
      <c r="J161" s="7" t="str">
        <f>IFERROR(__xludf.DUMMYFUNCTION("IF(AND(REGEXMATCH($H161,""50( ?['fF]([oO]{2})?[tT]?)?( ?[eE][rR]{2}[oO][rR])"")=FALSE,$H161&lt;&gt;"""",$I161&lt;&gt;""""),HYPERLINK(""https://www.munzee.com/m/""&amp;$H161&amp;""/""&amp;$I161&amp;""/map/?lat=""&amp;$D161&amp;""&amp;lon=""&amp;$E161&amp;""&amp;type=""&amp;$G161&amp;""&amp;name=""&amp;SUBSTITUTE($A161,""#"&amp;""",""%23""),$H161&amp;""/""&amp;$I161),IF($H161&lt;&gt;"""",IF(REGEXMATCH($H161,""50( ?['fF]([oO]{2})?[tT]?)?( ?[eE][rR]{2}[oO][rR])""),HYPERLINK(""https://www.munzee.com/map/?sandbox=1&amp;lat=""&amp;$D161&amp;""&amp;lon=""&amp;$E161&amp;""&amp;name=""&amp;SUBSTITUTE($A161,""#"",""%23""),""SANDBOX"""&amp;"),HYPERLINK(""https://www.munzee.com/m/""&amp;$H161&amp;""/deploys/0/type/""&amp;IFNA(VLOOKUP($G161,IMPORTRANGE(""https://docs.google.com/spreadsheets/d/1DliIGyDywdzxhd4svtjaewR0p9Y5UBTMNMQ2PcXsqss"",""type data!E2:F""),2,FALSE),$G161)&amp;""/"",$H161)),""""))"),"")</f>
        <v/>
      </c>
      <c r="K161" s="5" t="b">
        <v>0</v>
      </c>
      <c r="L161" s="7"/>
      <c r="M161" s="7"/>
    </row>
    <row r="162">
      <c r="A162" s="3" t="s">
        <v>264</v>
      </c>
      <c r="B162" s="3">
        <v>11.0</v>
      </c>
      <c r="C162" s="3">
        <v>5.0</v>
      </c>
      <c r="D162" s="4">
        <v>49.1903699544194</v>
      </c>
      <c r="E162" s="4">
        <v>-2.0948905272564</v>
      </c>
      <c r="F162" s="3" t="s">
        <v>122</v>
      </c>
      <c r="G162" s="3" t="s">
        <v>123</v>
      </c>
      <c r="H162" s="5"/>
      <c r="I162" s="5"/>
      <c r="J162" s="7" t="str">
        <f>IFERROR(__xludf.DUMMYFUNCTION("IF(AND(REGEXMATCH($H162,""50( ?['fF]([oO]{2})?[tT]?)?( ?[eE][rR]{2}[oO][rR])"")=FALSE,$H162&lt;&gt;"""",$I162&lt;&gt;""""),HYPERLINK(""https://www.munzee.com/m/""&amp;$H162&amp;""/""&amp;$I162&amp;""/map/?lat=""&amp;$D162&amp;""&amp;lon=""&amp;$E162&amp;""&amp;type=""&amp;$G162&amp;""&amp;name=""&amp;SUBSTITUTE($A162,""#"&amp;""",""%23""),$H162&amp;""/""&amp;$I162),IF($H162&lt;&gt;"""",IF(REGEXMATCH($H162,""50( ?['fF]([oO]{2})?[tT]?)?( ?[eE][rR]{2}[oO][rR])""),HYPERLINK(""https://www.munzee.com/map/?sandbox=1&amp;lat=""&amp;$D162&amp;""&amp;lon=""&amp;$E162&amp;""&amp;name=""&amp;SUBSTITUTE($A162,""#"",""%23""),""SANDBOX"""&amp;"),HYPERLINK(""https://www.munzee.com/m/""&amp;$H162&amp;""/deploys/0/type/""&amp;IFNA(VLOOKUP($G162,IMPORTRANGE(""https://docs.google.com/spreadsheets/d/1DliIGyDywdzxhd4svtjaewR0p9Y5UBTMNMQ2PcXsqss"",""type data!E2:F""),2,FALSE),$G162)&amp;""/"",$H162)),""""))"),"")</f>
        <v/>
      </c>
      <c r="K162" s="5" t="b">
        <v>0</v>
      </c>
      <c r="L162" s="7"/>
      <c r="M162" s="7"/>
    </row>
    <row r="163">
      <c r="A163" s="3" t="s">
        <v>265</v>
      </c>
      <c r="B163" s="3">
        <v>11.0</v>
      </c>
      <c r="C163" s="3">
        <v>6.0</v>
      </c>
      <c r="D163" s="4">
        <v>49.1902683215423</v>
      </c>
      <c r="E163" s="4">
        <v>-2.0947350182645</v>
      </c>
      <c r="F163" s="3" t="s">
        <v>122</v>
      </c>
      <c r="G163" s="3" t="s">
        <v>123</v>
      </c>
      <c r="H163" s="5"/>
      <c r="I163" s="5"/>
      <c r="J163" s="7" t="str">
        <f>IFERROR(__xludf.DUMMYFUNCTION("IF(AND(REGEXMATCH($H163,""50( ?['fF]([oO]{2})?[tT]?)?( ?[eE][rR]{2}[oO][rR])"")=FALSE,$H163&lt;&gt;"""",$I163&lt;&gt;""""),HYPERLINK(""https://www.munzee.com/m/""&amp;$H163&amp;""/""&amp;$I163&amp;""/map/?lat=""&amp;$D163&amp;""&amp;lon=""&amp;$E163&amp;""&amp;type=""&amp;$G163&amp;""&amp;name=""&amp;SUBSTITUTE($A163,""#"&amp;""",""%23""),$H163&amp;""/""&amp;$I163),IF($H163&lt;&gt;"""",IF(REGEXMATCH($H163,""50( ?['fF]([oO]{2})?[tT]?)?( ?[eE][rR]{2}[oO][rR])""),HYPERLINK(""https://www.munzee.com/map/?sandbox=1&amp;lat=""&amp;$D163&amp;""&amp;lon=""&amp;$E163&amp;""&amp;name=""&amp;SUBSTITUTE($A163,""#"",""%23""),""SANDBOX"""&amp;"),HYPERLINK(""https://www.munzee.com/m/""&amp;$H163&amp;""/deploys/0/type/""&amp;IFNA(VLOOKUP($G163,IMPORTRANGE(""https://docs.google.com/spreadsheets/d/1DliIGyDywdzxhd4svtjaewR0p9Y5UBTMNMQ2PcXsqss"",""type data!E2:F""),2,FALSE),$G163)&amp;""/"",$H163)),""""))"),"")</f>
        <v/>
      </c>
      <c r="K163" s="5" t="b">
        <v>0</v>
      </c>
      <c r="L163" s="7"/>
      <c r="M163" s="7"/>
    </row>
    <row r="164">
      <c r="A164" s="3" t="s">
        <v>266</v>
      </c>
      <c r="B164" s="3">
        <v>11.0</v>
      </c>
      <c r="C164" s="3">
        <v>7.0</v>
      </c>
      <c r="D164" s="4">
        <v>49.1901666886653</v>
      </c>
      <c r="E164" s="4">
        <v>-2.094579509592</v>
      </c>
      <c r="F164" s="3" t="s">
        <v>204</v>
      </c>
      <c r="G164" s="3" t="s">
        <v>205</v>
      </c>
      <c r="H164" s="5" t="s">
        <v>267</v>
      </c>
      <c r="I164" s="5">
        <v>531.0</v>
      </c>
      <c r="J164" s="6" t="str">
        <f>IFERROR(__xludf.DUMMYFUNCTION("IF(AND(REGEXMATCH($H164,""50( ?['fF]([oO]{2})?[tT]?)?( ?[eE][rR]{2}[oO][rR])"")=FALSE,$H164&lt;&gt;"""",$I164&lt;&gt;""""),HYPERLINK(""https://www.munzee.com/m/""&amp;$H164&amp;""/""&amp;$I164&amp;""/map/?lat=""&amp;$D164&amp;""&amp;lon=""&amp;$E164&amp;""&amp;type=""&amp;$G164&amp;""&amp;name=""&amp;SUBSTITUTE($A164,""#"&amp;""",""%23""),$H164&amp;""/""&amp;$I164),IF($H164&lt;&gt;"""",IF(REGEXMATCH($H164,""50( ?['fF]([oO]{2})?[tT]?)?( ?[eE][rR]{2}[oO][rR])""),HYPERLINK(""https://www.munzee.com/map/?sandbox=1&amp;lat=""&amp;$D164&amp;""&amp;lon=""&amp;$E164&amp;""&amp;name=""&amp;SUBSTITUTE($A164,""#"",""%23""),""SANDBOX"""&amp;"),HYPERLINK(""https://www.munzee.com/m/""&amp;$H164&amp;""/deploys/0/type/""&amp;IFNA(VLOOKUP($G164,IMPORTRANGE(""https://docs.google.com/spreadsheets/d/1DliIGyDywdzxhd4svtjaewR0p9Y5UBTMNMQ2PcXsqss"",""type data!E2:F""),2,FALSE),$G164)&amp;""/"",$H164)),""""))"),"miaiow/531")</f>
        <v>miaiow/531</v>
      </c>
      <c r="K164" s="5" t="b">
        <v>1</v>
      </c>
      <c r="L164" s="7"/>
      <c r="M164" s="7"/>
    </row>
    <row r="165">
      <c r="A165" s="3" t="s">
        <v>268</v>
      </c>
      <c r="B165" s="3">
        <v>11.0</v>
      </c>
      <c r="C165" s="3">
        <v>8.0</v>
      </c>
      <c r="D165" s="4">
        <v>49.1900650557883</v>
      </c>
      <c r="E165" s="4">
        <v>-2.094424001239</v>
      </c>
      <c r="F165" s="3" t="s">
        <v>269</v>
      </c>
      <c r="G165" s="3" t="s">
        <v>270</v>
      </c>
      <c r="H165" s="5"/>
      <c r="I165" s="5"/>
      <c r="J165" s="7" t="str">
        <f>IFERROR(__xludf.DUMMYFUNCTION("IF(AND(REGEXMATCH($H165,""50( ?['fF]([oO]{2})?[tT]?)?( ?[eE][rR]{2}[oO][rR])"")=FALSE,$H165&lt;&gt;"""",$I165&lt;&gt;""""),HYPERLINK(""https://www.munzee.com/m/""&amp;$H165&amp;""/""&amp;$I165&amp;""/map/?lat=""&amp;$D165&amp;""&amp;lon=""&amp;$E165&amp;""&amp;type=""&amp;$G165&amp;""&amp;name=""&amp;SUBSTITUTE($A165,""#"&amp;""",""%23""),$H165&amp;""/""&amp;$I165),IF($H165&lt;&gt;"""",IF(REGEXMATCH($H165,""50( ?['fF]([oO]{2})?[tT]?)?( ?[eE][rR]{2}[oO][rR])""),HYPERLINK(""https://www.munzee.com/map/?sandbox=1&amp;lat=""&amp;$D165&amp;""&amp;lon=""&amp;$E165&amp;""&amp;name=""&amp;SUBSTITUTE($A165,""#"",""%23""),""SANDBOX"""&amp;"),HYPERLINK(""https://www.munzee.com/m/""&amp;$H165&amp;""/deploys/0/type/""&amp;IFNA(VLOOKUP($G165,IMPORTRANGE(""https://docs.google.com/spreadsheets/d/1DliIGyDywdzxhd4svtjaewR0p9Y5UBTMNMQ2PcXsqss"",""type data!E2:F""),2,FALSE),$G165)&amp;""/"",$H165)),""""))"),"")</f>
        <v/>
      </c>
      <c r="K165" s="5" t="b">
        <v>0</v>
      </c>
      <c r="L165" s="7"/>
      <c r="M165" s="7"/>
    </row>
    <row r="166">
      <c r="A166" s="3" t="s">
        <v>271</v>
      </c>
      <c r="B166" s="3">
        <v>11.0</v>
      </c>
      <c r="C166" s="3">
        <v>13.0</v>
      </c>
      <c r="D166" s="4">
        <v>49.189556891403</v>
      </c>
      <c r="E166" s="4">
        <v>-2.0936464642652</v>
      </c>
      <c r="F166" s="3" t="s">
        <v>250</v>
      </c>
      <c r="G166" s="3" t="s">
        <v>251</v>
      </c>
      <c r="H166" s="5"/>
      <c r="I166" s="5"/>
      <c r="J166" s="7" t="str">
        <f>IFERROR(__xludf.DUMMYFUNCTION("IF(AND(REGEXMATCH($H166,""50( ?['fF]([oO]{2})?[tT]?)?( ?[eE][rR]{2}[oO][rR])"")=FALSE,$H166&lt;&gt;"""",$I166&lt;&gt;""""),HYPERLINK(""https://www.munzee.com/m/""&amp;$H166&amp;""/""&amp;$I166&amp;""/map/?lat=""&amp;$D166&amp;""&amp;lon=""&amp;$E166&amp;""&amp;type=""&amp;$G166&amp;""&amp;name=""&amp;SUBSTITUTE($A166,""#"&amp;""",""%23""),$H166&amp;""/""&amp;$I166),IF($H166&lt;&gt;"""",IF(REGEXMATCH($H166,""50( ?['fF]([oO]{2})?[tT]?)?( ?[eE][rR]{2}[oO][rR])""),HYPERLINK(""https://www.munzee.com/map/?sandbox=1&amp;lat=""&amp;$D166&amp;""&amp;lon=""&amp;$E166&amp;""&amp;name=""&amp;SUBSTITUTE($A166,""#"",""%23""),""SANDBOX"""&amp;"),HYPERLINK(""https://www.munzee.com/m/""&amp;$H166&amp;""/deploys/0/type/""&amp;IFNA(VLOOKUP($G166,IMPORTRANGE(""https://docs.google.com/spreadsheets/d/1DliIGyDywdzxhd4svtjaewR0p9Y5UBTMNMQ2PcXsqss"",""type data!E2:F""),2,FALSE),$G166)&amp;""/"",$H166)),""""))"),"")</f>
        <v/>
      </c>
      <c r="K166" s="5" t="b">
        <v>0</v>
      </c>
      <c r="L166" s="7"/>
      <c r="M166" s="7"/>
    </row>
    <row r="167">
      <c r="A167" s="3" t="s">
        <v>272</v>
      </c>
      <c r="B167" s="3">
        <v>11.0</v>
      </c>
      <c r="C167" s="3">
        <v>14.0</v>
      </c>
      <c r="D167" s="4">
        <v>49.189455258526</v>
      </c>
      <c r="E167" s="4">
        <v>-2.0934909578289</v>
      </c>
      <c r="F167" s="3" t="s">
        <v>250</v>
      </c>
      <c r="G167" s="3" t="s">
        <v>251</v>
      </c>
      <c r="H167" s="5"/>
      <c r="I167" s="5"/>
      <c r="J167" s="7" t="str">
        <f>IFERROR(__xludf.DUMMYFUNCTION("IF(AND(REGEXMATCH($H167,""50( ?['fF]([oO]{2})?[tT]?)?( ?[eE][rR]{2}[oO][rR])"")=FALSE,$H167&lt;&gt;"""",$I167&lt;&gt;""""),HYPERLINK(""https://www.munzee.com/m/""&amp;$H167&amp;""/""&amp;$I167&amp;""/map/?lat=""&amp;$D167&amp;""&amp;lon=""&amp;$E167&amp;""&amp;type=""&amp;$G167&amp;""&amp;name=""&amp;SUBSTITUTE($A167,""#"&amp;""",""%23""),$H167&amp;""/""&amp;$I167),IF($H167&lt;&gt;"""",IF(REGEXMATCH($H167,""50( ?['fF]([oO]{2})?[tT]?)?( ?[eE][rR]{2}[oO][rR])""),HYPERLINK(""https://www.munzee.com/map/?sandbox=1&amp;lat=""&amp;$D167&amp;""&amp;lon=""&amp;$E167&amp;""&amp;name=""&amp;SUBSTITUTE($A167,""#"",""%23""),""SANDBOX"""&amp;"),HYPERLINK(""https://www.munzee.com/m/""&amp;$H167&amp;""/deploys/0/type/""&amp;IFNA(VLOOKUP($G167,IMPORTRANGE(""https://docs.google.com/spreadsheets/d/1DliIGyDywdzxhd4svtjaewR0p9Y5UBTMNMQ2PcXsqss"",""type data!E2:F""),2,FALSE),$G167)&amp;""/"",$H167)),""""))"),"")</f>
        <v/>
      </c>
      <c r="K167" s="5" t="b">
        <v>0</v>
      </c>
      <c r="L167" s="7"/>
      <c r="M167" s="7"/>
    </row>
    <row r="168">
      <c r="A168" s="3" t="s">
        <v>273</v>
      </c>
      <c r="B168" s="3">
        <v>11.0</v>
      </c>
      <c r="C168" s="3">
        <v>15.0</v>
      </c>
      <c r="D168" s="4">
        <v>49.189353625649</v>
      </c>
      <c r="E168" s="4">
        <v>-2.0933354517119</v>
      </c>
      <c r="F168" s="3" t="s">
        <v>204</v>
      </c>
      <c r="G168" s="3" t="s">
        <v>205</v>
      </c>
      <c r="H168" s="5"/>
      <c r="I168" s="5"/>
      <c r="J168" s="7" t="str">
        <f>IFERROR(__xludf.DUMMYFUNCTION("IF(AND(REGEXMATCH($H168,""50( ?['fF]([oO]{2})?[tT]?)?( ?[eE][rR]{2}[oO][rR])"")=FALSE,$H168&lt;&gt;"""",$I168&lt;&gt;""""),HYPERLINK(""https://www.munzee.com/m/""&amp;$H168&amp;""/""&amp;$I168&amp;""/map/?lat=""&amp;$D168&amp;""&amp;lon=""&amp;$E168&amp;""&amp;type=""&amp;$G168&amp;""&amp;name=""&amp;SUBSTITUTE($A168,""#"&amp;""",""%23""),$H168&amp;""/""&amp;$I168),IF($H168&lt;&gt;"""",IF(REGEXMATCH($H168,""50( ?['fF]([oO]{2})?[tT]?)?( ?[eE][rR]{2}[oO][rR])""),HYPERLINK(""https://www.munzee.com/map/?sandbox=1&amp;lat=""&amp;$D168&amp;""&amp;lon=""&amp;$E168&amp;""&amp;name=""&amp;SUBSTITUTE($A168,""#"",""%23""),""SANDBOX"""&amp;"),HYPERLINK(""https://www.munzee.com/m/""&amp;$H168&amp;""/deploys/0/type/""&amp;IFNA(VLOOKUP($G168,IMPORTRANGE(""https://docs.google.com/spreadsheets/d/1DliIGyDywdzxhd4svtjaewR0p9Y5UBTMNMQ2PcXsqss"",""type data!E2:F""),2,FALSE),$G168)&amp;""/"",$H168)),""""))"),"")</f>
        <v/>
      </c>
      <c r="K168" s="5" t="b">
        <v>0</v>
      </c>
      <c r="L168" s="7"/>
      <c r="M168" s="7"/>
    </row>
    <row r="169">
      <c r="A169" s="3" t="s">
        <v>274</v>
      </c>
      <c r="B169" s="3">
        <v>11.0</v>
      </c>
      <c r="C169" s="3">
        <v>16.0</v>
      </c>
      <c r="D169" s="4">
        <v>49.1892519927719</v>
      </c>
      <c r="E169" s="4">
        <v>-2.0931799459145</v>
      </c>
      <c r="F169" s="3" t="s">
        <v>204</v>
      </c>
      <c r="G169" s="3" t="s">
        <v>205</v>
      </c>
      <c r="H169" s="5"/>
      <c r="I169" s="5"/>
      <c r="J169" s="7" t="str">
        <f>IFERROR(__xludf.DUMMYFUNCTION("IF(AND(REGEXMATCH($H169,""50( ?['fF]([oO]{2})?[tT]?)?( ?[eE][rR]{2}[oO][rR])"")=FALSE,$H169&lt;&gt;"""",$I169&lt;&gt;""""),HYPERLINK(""https://www.munzee.com/m/""&amp;$H169&amp;""/""&amp;$I169&amp;""/map/?lat=""&amp;$D169&amp;""&amp;lon=""&amp;$E169&amp;""&amp;type=""&amp;$G169&amp;""&amp;name=""&amp;SUBSTITUTE($A169,""#"&amp;""",""%23""),$H169&amp;""/""&amp;$I169),IF($H169&lt;&gt;"""",IF(REGEXMATCH($H169,""50( ?['fF]([oO]{2})?[tT]?)?( ?[eE][rR]{2}[oO][rR])""),HYPERLINK(""https://www.munzee.com/map/?sandbox=1&amp;lat=""&amp;$D169&amp;""&amp;lon=""&amp;$E169&amp;""&amp;name=""&amp;SUBSTITUTE($A169,""#"",""%23""),""SANDBOX"""&amp;"),HYPERLINK(""https://www.munzee.com/m/""&amp;$H169&amp;""/deploys/0/type/""&amp;IFNA(VLOOKUP($G169,IMPORTRANGE(""https://docs.google.com/spreadsheets/d/1DliIGyDywdzxhd4svtjaewR0p9Y5UBTMNMQ2PcXsqss"",""type data!E2:F""),2,FALSE),$G169)&amp;""/"",$H169)),""""))"),"")</f>
        <v/>
      </c>
      <c r="K169" s="5" t="b">
        <v>0</v>
      </c>
      <c r="L169" s="7"/>
      <c r="M169" s="7"/>
    </row>
    <row r="170">
      <c r="A170" s="3" t="s">
        <v>275</v>
      </c>
      <c r="B170" s="3">
        <v>11.0</v>
      </c>
      <c r="C170" s="3">
        <v>17.0</v>
      </c>
      <c r="D170" s="4">
        <v>49.1891503598949</v>
      </c>
      <c r="E170" s="4">
        <v>-2.0930244404365</v>
      </c>
      <c r="F170" s="3" t="s">
        <v>204</v>
      </c>
      <c r="G170" s="3" t="s">
        <v>205</v>
      </c>
      <c r="H170" s="5"/>
      <c r="I170" s="5"/>
      <c r="J170" s="7" t="str">
        <f>IFERROR(__xludf.DUMMYFUNCTION("IF(AND(REGEXMATCH($H170,""50( ?['fF]([oO]{2})?[tT]?)?( ?[eE][rR]{2}[oO][rR])"")=FALSE,$H170&lt;&gt;"""",$I170&lt;&gt;""""),HYPERLINK(""https://www.munzee.com/m/""&amp;$H170&amp;""/""&amp;$I170&amp;""/map/?lat=""&amp;$D170&amp;""&amp;lon=""&amp;$E170&amp;""&amp;type=""&amp;$G170&amp;""&amp;name=""&amp;SUBSTITUTE($A170,""#"&amp;""",""%23""),$H170&amp;""/""&amp;$I170),IF($H170&lt;&gt;"""",IF(REGEXMATCH($H170,""50( ?['fF]([oO]{2})?[tT]?)?( ?[eE][rR]{2}[oO][rR])""),HYPERLINK(""https://www.munzee.com/map/?sandbox=1&amp;lat=""&amp;$D170&amp;""&amp;lon=""&amp;$E170&amp;""&amp;name=""&amp;SUBSTITUTE($A170,""#"",""%23""),""SANDBOX"""&amp;"),HYPERLINK(""https://www.munzee.com/m/""&amp;$H170&amp;""/deploys/0/type/""&amp;IFNA(VLOOKUP($G170,IMPORTRANGE(""https://docs.google.com/spreadsheets/d/1DliIGyDywdzxhd4svtjaewR0p9Y5UBTMNMQ2PcXsqss"",""type data!E2:F""),2,FALSE),$G170)&amp;""/"",$H170)),""""))"),"")</f>
        <v/>
      </c>
      <c r="K170" s="5" t="b">
        <v>0</v>
      </c>
      <c r="L170" s="7"/>
      <c r="M170" s="7"/>
    </row>
    <row r="171">
      <c r="A171" s="3" t="s">
        <v>276</v>
      </c>
      <c r="B171" s="3">
        <v>11.0</v>
      </c>
      <c r="C171" s="3">
        <v>18.0</v>
      </c>
      <c r="D171" s="4">
        <v>49.1890487270179</v>
      </c>
      <c r="E171" s="4">
        <v>-2.0928689352779</v>
      </c>
      <c r="F171" s="3" t="s">
        <v>250</v>
      </c>
      <c r="G171" s="3" t="s">
        <v>251</v>
      </c>
      <c r="H171" s="5" t="s">
        <v>60</v>
      </c>
      <c r="I171" s="5">
        <v>1496.0</v>
      </c>
      <c r="J171" s="6" t="str">
        <f>IFERROR(__xludf.DUMMYFUNCTION("IF(AND(REGEXMATCH($H171,""50( ?['fF]([oO]{2})?[tT]?)?( ?[eE][rR]{2}[oO][rR])"")=FALSE,$H171&lt;&gt;"""",$I171&lt;&gt;""""),HYPERLINK(""https://www.munzee.com/m/""&amp;$H171&amp;""/""&amp;$I171&amp;""/map/?lat=""&amp;$D171&amp;""&amp;lon=""&amp;$E171&amp;""&amp;type=""&amp;$G171&amp;""&amp;name=""&amp;SUBSTITUTE($A171,""#"&amp;""",""%23""),$H171&amp;""/""&amp;$I171),IF($H171&lt;&gt;"""",IF(REGEXMATCH($H171,""50( ?['fF]([oO]{2})?[tT]?)?( ?[eE][rR]{2}[oO][rR])""),HYPERLINK(""https://www.munzee.com/map/?sandbox=1&amp;lat=""&amp;$D171&amp;""&amp;lon=""&amp;$E171&amp;""&amp;name=""&amp;SUBSTITUTE($A171,""#"",""%23""),""SANDBOX"""&amp;"),HYPERLINK(""https://www.munzee.com/m/""&amp;$H171&amp;""/deploys/0/type/""&amp;IFNA(VLOOKUP($G171,IMPORTRANGE(""https://docs.google.com/spreadsheets/d/1DliIGyDywdzxhd4svtjaewR0p9Y5UBTMNMQ2PcXsqss"",""type data!E2:F""),2,FALSE),$G171)&amp;""/"",$H171)),""""))"),"pippy44 /1496")</f>
        <v>pippy44 /1496</v>
      </c>
      <c r="K171" s="5" t="b">
        <v>0</v>
      </c>
      <c r="L171" s="7"/>
      <c r="M171" s="7"/>
    </row>
    <row r="172">
      <c r="A172" s="3" t="s">
        <v>277</v>
      </c>
      <c r="B172" s="3">
        <v>11.0</v>
      </c>
      <c r="C172" s="3">
        <v>19.0</v>
      </c>
      <c r="D172" s="4">
        <v>49.1889470941408</v>
      </c>
      <c r="E172" s="4">
        <v>-2.0927134304388</v>
      </c>
      <c r="F172" s="3" t="s">
        <v>250</v>
      </c>
      <c r="G172" s="3" t="s">
        <v>251</v>
      </c>
      <c r="H172" s="5"/>
      <c r="I172" s="5"/>
      <c r="J172" s="7" t="str">
        <f>IFERROR(__xludf.DUMMYFUNCTION("IF(AND(REGEXMATCH($H172,""50( ?['fF]([oO]{2})?[tT]?)?( ?[eE][rR]{2}[oO][rR])"")=FALSE,$H172&lt;&gt;"""",$I172&lt;&gt;""""),HYPERLINK(""https://www.munzee.com/m/""&amp;$H172&amp;""/""&amp;$I172&amp;""/map/?lat=""&amp;$D172&amp;""&amp;lon=""&amp;$E172&amp;""&amp;type=""&amp;$G172&amp;""&amp;name=""&amp;SUBSTITUTE($A172,""#"&amp;""",""%23""),$H172&amp;""/""&amp;$I172),IF($H172&lt;&gt;"""",IF(REGEXMATCH($H172,""50( ?['fF]([oO]{2})?[tT]?)?( ?[eE][rR]{2}[oO][rR])""),HYPERLINK(""https://www.munzee.com/map/?sandbox=1&amp;lat=""&amp;$D172&amp;""&amp;lon=""&amp;$E172&amp;""&amp;name=""&amp;SUBSTITUTE($A172,""#"",""%23""),""SANDBOX"""&amp;"),HYPERLINK(""https://www.munzee.com/m/""&amp;$H172&amp;""/deploys/0/type/""&amp;IFNA(VLOOKUP($G172,IMPORTRANGE(""https://docs.google.com/spreadsheets/d/1DliIGyDywdzxhd4svtjaewR0p9Y5UBTMNMQ2PcXsqss"",""type data!E2:F""),2,FALSE),$G172)&amp;""/"",$H172)),""""))"),"")</f>
        <v/>
      </c>
      <c r="K172" s="5" t="b">
        <v>0</v>
      </c>
      <c r="L172" s="7"/>
      <c r="M172" s="7"/>
    </row>
    <row r="173">
      <c r="A173" s="3" t="s">
        <v>278</v>
      </c>
      <c r="B173" s="3">
        <v>11.0</v>
      </c>
      <c r="C173" s="3">
        <v>25.0</v>
      </c>
      <c r="D173" s="4">
        <v>49.1883372968786</v>
      </c>
      <c r="E173" s="4">
        <v>-2.0917804081121</v>
      </c>
      <c r="F173" s="3" t="s">
        <v>207</v>
      </c>
      <c r="G173" s="3" t="s">
        <v>208</v>
      </c>
      <c r="H173" s="5"/>
      <c r="I173" s="5"/>
      <c r="J173" s="7" t="str">
        <f>IFERROR(__xludf.DUMMYFUNCTION("IF(AND(REGEXMATCH($H173,""50( ?['fF]([oO]{2})?[tT]?)?( ?[eE][rR]{2}[oO][rR])"")=FALSE,$H173&lt;&gt;"""",$I173&lt;&gt;""""),HYPERLINK(""https://www.munzee.com/m/""&amp;$H173&amp;""/""&amp;$I173&amp;""/map/?lat=""&amp;$D173&amp;""&amp;lon=""&amp;$E173&amp;""&amp;type=""&amp;$G173&amp;""&amp;name=""&amp;SUBSTITUTE($A173,""#"&amp;""",""%23""),$H173&amp;""/""&amp;$I173),IF($H173&lt;&gt;"""",IF(REGEXMATCH($H173,""50( ?['fF]([oO]{2})?[tT]?)?( ?[eE][rR]{2}[oO][rR])""),HYPERLINK(""https://www.munzee.com/map/?sandbox=1&amp;lat=""&amp;$D173&amp;""&amp;lon=""&amp;$E173&amp;""&amp;name=""&amp;SUBSTITUTE($A173,""#"",""%23""),""SANDBOX"""&amp;"),HYPERLINK(""https://www.munzee.com/m/""&amp;$H173&amp;""/deploys/0/type/""&amp;IFNA(VLOOKUP($G173,IMPORTRANGE(""https://docs.google.com/spreadsheets/d/1DliIGyDywdzxhd4svtjaewR0p9Y5UBTMNMQ2PcXsqss"",""type data!E2:F""),2,FALSE),$G173)&amp;""/"",$H173)),""""))"),"")</f>
        <v/>
      </c>
      <c r="K173" s="5" t="b">
        <v>0</v>
      </c>
      <c r="L173" s="7"/>
      <c r="M173" s="7"/>
    </row>
    <row r="174">
      <c r="A174" s="3" t="s">
        <v>279</v>
      </c>
      <c r="B174" s="3">
        <v>11.0</v>
      </c>
      <c r="C174" s="3">
        <v>26.0</v>
      </c>
      <c r="D174" s="4">
        <v>49.1882356640016</v>
      </c>
      <c r="E174" s="4">
        <v>-2.091624905509</v>
      </c>
      <c r="F174" s="3" t="s">
        <v>122</v>
      </c>
      <c r="G174" s="3" t="s">
        <v>123</v>
      </c>
      <c r="H174" s="5"/>
      <c r="I174" s="5"/>
      <c r="J174" s="7" t="str">
        <f>IFERROR(__xludf.DUMMYFUNCTION("IF(AND(REGEXMATCH($H174,""50( ?['fF]([oO]{2})?[tT]?)?( ?[eE][rR]{2}[oO][rR])"")=FALSE,$H174&lt;&gt;"""",$I174&lt;&gt;""""),HYPERLINK(""https://www.munzee.com/m/""&amp;$H174&amp;""/""&amp;$I174&amp;""/map/?lat=""&amp;$D174&amp;""&amp;lon=""&amp;$E174&amp;""&amp;type=""&amp;$G174&amp;""&amp;name=""&amp;SUBSTITUTE($A174,""#"&amp;""",""%23""),$H174&amp;""/""&amp;$I174),IF($H174&lt;&gt;"""",IF(REGEXMATCH($H174,""50( ?['fF]([oO]{2})?[tT]?)?( ?[eE][rR]{2}[oO][rR])""),HYPERLINK(""https://www.munzee.com/map/?sandbox=1&amp;lat=""&amp;$D174&amp;""&amp;lon=""&amp;$E174&amp;""&amp;name=""&amp;SUBSTITUTE($A174,""#"",""%23""),""SANDBOX"""&amp;"),HYPERLINK(""https://www.munzee.com/m/""&amp;$H174&amp;""/deploys/0/type/""&amp;IFNA(VLOOKUP($G174,IMPORTRANGE(""https://docs.google.com/spreadsheets/d/1DliIGyDywdzxhd4svtjaewR0p9Y5UBTMNMQ2PcXsqss"",""type data!E2:F""),2,FALSE),$G174)&amp;""/"",$H174)),""""))"),"")</f>
        <v/>
      </c>
      <c r="K174" s="5" t="b">
        <v>0</v>
      </c>
      <c r="L174" s="7"/>
      <c r="M174" s="7"/>
    </row>
    <row r="175">
      <c r="A175" s="3" t="s">
        <v>280</v>
      </c>
      <c r="B175" s="3">
        <v>11.0</v>
      </c>
      <c r="C175" s="3">
        <v>27.0</v>
      </c>
      <c r="D175" s="4">
        <v>49.1881340311246</v>
      </c>
      <c r="E175" s="4">
        <v>-2.0914694032253</v>
      </c>
      <c r="F175" s="3" t="s">
        <v>69</v>
      </c>
      <c r="G175" s="3" t="s">
        <v>70</v>
      </c>
      <c r="H175" s="5" t="s">
        <v>281</v>
      </c>
      <c r="I175" s="5">
        <v>4757.0</v>
      </c>
      <c r="J175" s="6" t="str">
        <f>IFERROR(__xludf.DUMMYFUNCTION("IF(AND(REGEXMATCH($H175,""50( ?['fF]([oO]{2})?[tT]?)?( ?[eE][rR]{2}[oO][rR])"")=FALSE,$H175&lt;&gt;"""",$I175&lt;&gt;""""),HYPERLINK(""https://www.munzee.com/m/""&amp;$H175&amp;""/""&amp;$I175&amp;""/map/?lat=""&amp;$D175&amp;""&amp;lon=""&amp;$E175&amp;""&amp;type=""&amp;$G175&amp;""&amp;name=""&amp;SUBSTITUTE($A175,""#"&amp;""",""%23""),$H175&amp;""/""&amp;$I175),IF($H175&lt;&gt;"""",IF(REGEXMATCH($H175,""50( ?['fF]([oO]{2})?[tT]?)?( ?[eE][rR]{2}[oO][rR])""),HYPERLINK(""https://www.munzee.com/map/?sandbox=1&amp;lat=""&amp;$D175&amp;""&amp;lon=""&amp;$E175&amp;""&amp;name=""&amp;SUBSTITUTE($A175,""#"",""%23""),""SANDBOX"""&amp;"),HYPERLINK(""https://www.munzee.com/m/""&amp;$H175&amp;""/deploys/0/type/""&amp;IFNA(VLOOKUP($G175,IMPORTRANGE(""https://docs.google.com/spreadsheets/d/1DliIGyDywdzxhd4svtjaewR0p9Y5UBTMNMQ2PcXsqss"",""type data!E2:F""),2,FALSE),$G175)&amp;""/"",$H175)),""""))"),"wally62/4757")</f>
        <v>wally62/4757</v>
      </c>
      <c r="K175" s="5" t="b">
        <v>1</v>
      </c>
      <c r="L175" s="7"/>
      <c r="M175" s="7"/>
    </row>
    <row r="176">
      <c r="A176" s="3" t="s">
        <v>282</v>
      </c>
      <c r="B176" s="3">
        <v>11.0</v>
      </c>
      <c r="C176" s="3">
        <v>28.0</v>
      </c>
      <c r="D176" s="4">
        <v>49.1880323982475</v>
      </c>
      <c r="E176" s="4">
        <v>-2.0913139012611</v>
      </c>
      <c r="F176" s="3" t="s">
        <v>69</v>
      </c>
      <c r="G176" s="3" t="s">
        <v>70</v>
      </c>
      <c r="H176" s="5" t="s">
        <v>283</v>
      </c>
      <c r="I176" s="5">
        <v>4561.0</v>
      </c>
      <c r="J176" s="6" t="str">
        <f>IFERROR(__xludf.DUMMYFUNCTION("IF(AND(REGEXMATCH($H176,""50( ?['fF]([oO]{2})?[tT]?)?( ?[eE][rR]{2}[oO][rR])"")=FALSE,$H176&lt;&gt;"""",$I176&lt;&gt;""""),HYPERLINK(""https://www.munzee.com/m/""&amp;$H176&amp;""/""&amp;$I176&amp;""/map/?lat=""&amp;$D176&amp;""&amp;lon=""&amp;$E176&amp;""&amp;type=""&amp;$G176&amp;""&amp;name=""&amp;SUBSTITUTE($A176,""#"&amp;""",""%23""),$H176&amp;""/""&amp;$I176),IF($H176&lt;&gt;"""",IF(REGEXMATCH($H176,""50( ?['fF]([oO]{2})?[tT]?)?( ?[eE][rR]{2}[oO][rR])""),HYPERLINK(""https://www.munzee.com/map/?sandbox=1&amp;lat=""&amp;$D176&amp;""&amp;lon=""&amp;$E176&amp;""&amp;name=""&amp;SUBSTITUTE($A176,""#"",""%23""),""SANDBOX"""&amp;"),HYPERLINK(""https://www.munzee.com/m/""&amp;$H176&amp;""/deploys/0/type/""&amp;IFNA(VLOOKUP($G176,IMPORTRANGE(""https://docs.google.com/spreadsheets/d/1DliIGyDywdzxhd4svtjaewR0p9Y5UBTMNMQ2PcXsqss"",""type data!E2:F""),2,FALSE),$G176)&amp;""/"",$H176)),""""))"),"ivwarrior/4561")</f>
        <v>ivwarrior/4561</v>
      </c>
      <c r="K176" s="5" t="b">
        <v>1</v>
      </c>
      <c r="L176" s="7"/>
      <c r="M176" s="7"/>
    </row>
    <row r="177">
      <c r="A177" s="3" t="s">
        <v>284</v>
      </c>
      <c r="B177" s="3">
        <v>11.0</v>
      </c>
      <c r="C177" s="3">
        <v>29.0</v>
      </c>
      <c r="D177" s="4">
        <v>49.1879307653705</v>
      </c>
      <c r="E177" s="4">
        <v>-2.0911583996162</v>
      </c>
      <c r="F177" s="3" t="s">
        <v>39</v>
      </c>
      <c r="G177" s="3" t="s">
        <v>40</v>
      </c>
      <c r="H177" s="5" t="s">
        <v>285</v>
      </c>
      <c r="I177" s="5">
        <v>13054.0</v>
      </c>
      <c r="J177" s="6" t="str">
        <f>IFERROR(__xludf.DUMMYFUNCTION("IF(AND(REGEXMATCH($H177,""50( ?['fF]([oO]{2})?[tT]?)?( ?[eE][rR]{2}[oO][rR])"")=FALSE,$H177&lt;&gt;"""",$I177&lt;&gt;""""),HYPERLINK(""https://www.munzee.com/m/""&amp;$H177&amp;""/""&amp;$I177&amp;""/map/?lat=""&amp;$D177&amp;""&amp;lon=""&amp;$E177&amp;""&amp;type=""&amp;$G177&amp;""&amp;name=""&amp;SUBSTITUTE($A177,""#"&amp;""",""%23""),$H177&amp;""/""&amp;$I177),IF($H177&lt;&gt;"""",IF(REGEXMATCH($H177,""50( ?['fF]([oO]{2})?[tT]?)?( ?[eE][rR]{2}[oO][rR])""),HYPERLINK(""https://www.munzee.com/map/?sandbox=1&amp;lat=""&amp;$D177&amp;""&amp;lon=""&amp;$E177&amp;""&amp;name=""&amp;SUBSTITUTE($A177,""#"",""%23""),""SANDBOX"""&amp;"),HYPERLINK(""https://www.munzee.com/m/""&amp;$H177&amp;""/deploys/0/type/""&amp;IFNA(VLOOKUP($G177,IMPORTRANGE(""https://docs.google.com/spreadsheets/d/1DliIGyDywdzxhd4svtjaewR0p9Y5UBTMNMQ2PcXsqss"",""type data!E2:F""),2,FALSE),$G177)&amp;""/"",$H177)),""""))"),"Attis/13054")</f>
        <v>Attis/13054</v>
      </c>
      <c r="K177" s="5" t="b">
        <v>1</v>
      </c>
      <c r="L177" s="7"/>
      <c r="M177" s="7"/>
    </row>
    <row r="178">
      <c r="A178" s="3" t="s">
        <v>286</v>
      </c>
      <c r="B178" s="3">
        <v>11.0</v>
      </c>
      <c r="C178" s="3">
        <v>30.0</v>
      </c>
      <c r="D178" s="4">
        <v>49.1878291324935</v>
      </c>
      <c r="E178" s="4">
        <v>-2.0910028982908</v>
      </c>
      <c r="F178" s="3" t="s">
        <v>14</v>
      </c>
      <c r="G178" s="3" t="s">
        <v>15</v>
      </c>
      <c r="H178" s="5"/>
      <c r="I178" s="5"/>
      <c r="J178" s="7" t="str">
        <f>IFERROR(__xludf.DUMMYFUNCTION("IF(AND(REGEXMATCH($H178,""50( ?['fF]([oO]{2})?[tT]?)?( ?[eE][rR]{2}[oO][rR])"")=FALSE,$H178&lt;&gt;"""",$I178&lt;&gt;""""),HYPERLINK(""https://www.munzee.com/m/""&amp;$H178&amp;""/""&amp;$I178&amp;""/map/?lat=""&amp;$D178&amp;""&amp;lon=""&amp;$E178&amp;""&amp;type=""&amp;$G178&amp;""&amp;name=""&amp;SUBSTITUTE($A178,""#"&amp;""",""%23""),$H178&amp;""/""&amp;$I178),IF($H178&lt;&gt;"""",IF(REGEXMATCH($H178,""50( ?['fF]([oO]{2})?[tT]?)?( ?[eE][rR]{2}[oO][rR])""),HYPERLINK(""https://www.munzee.com/map/?sandbox=1&amp;lat=""&amp;$D178&amp;""&amp;lon=""&amp;$E178&amp;""&amp;name=""&amp;SUBSTITUTE($A178,""#"",""%23""),""SANDBOX"""&amp;"),HYPERLINK(""https://www.munzee.com/m/""&amp;$H178&amp;""/deploys/0/type/""&amp;IFNA(VLOOKUP($G178,IMPORTRANGE(""https://docs.google.com/spreadsheets/d/1DliIGyDywdzxhd4svtjaewR0p9Y5UBTMNMQ2PcXsqss"",""type data!E2:F""),2,FALSE),$G178)&amp;""/"",$H178)),""""))"),"")</f>
        <v/>
      </c>
      <c r="K178" s="5" t="b">
        <v>0</v>
      </c>
      <c r="L178" s="7"/>
      <c r="M178" s="7"/>
    </row>
    <row r="179">
      <c r="A179" s="3" t="s">
        <v>287</v>
      </c>
      <c r="B179" s="3">
        <v>12.0</v>
      </c>
      <c r="C179" s="3">
        <v>1.0</v>
      </c>
      <c r="D179" s="4">
        <v>49.1906748530505</v>
      </c>
      <c r="E179" s="4">
        <v>-2.0956680856343</v>
      </c>
      <c r="F179" s="3" t="s">
        <v>49</v>
      </c>
      <c r="G179" s="3" t="s">
        <v>50</v>
      </c>
      <c r="H179" s="5"/>
      <c r="I179" s="5"/>
      <c r="J179" s="7" t="str">
        <f>IFERROR(__xludf.DUMMYFUNCTION("IF(AND(REGEXMATCH($H179,""50( ?['fF]([oO]{2})?[tT]?)?( ?[eE][rR]{2}[oO][rR])"")=FALSE,$H179&lt;&gt;"""",$I179&lt;&gt;""""),HYPERLINK(""https://www.munzee.com/m/""&amp;$H179&amp;""/""&amp;$I179&amp;""/map/?lat=""&amp;$D179&amp;""&amp;lon=""&amp;$E179&amp;""&amp;type=""&amp;$G179&amp;""&amp;name=""&amp;SUBSTITUTE($A179,""#"&amp;""",""%23""),$H179&amp;""/""&amp;$I179),IF($H179&lt;&gt;"""",IF(REGEXMATCH($H179,""50( ?['fF]([oO]{2})?[tT]?)?( ?[eE][rR]{2}[oO][rR])""),HYPERLINK(""https://www.munzee.com/map/?sandbox=1&amp;lat=""&amp;$D179&amp;""&amp;lon=""&amp;$E179&amp;""&amp;name=""&amp;SUBSTITUTE($A179,""#"",""%23""),""SANDBOX"""&amp;"),HYPERLINK(""https://www.munzee.com/m/""&amp;$H179&amp;""/deploys/0/type/""&amp;IFNA(VLOOKUP($G179,IMPORTRANGE(""https://docs.google.com/spreadsheets/d/1DliIGyDywdzxhd4svtjaewR0p9Y5UBTMNMQ2PcXsqss"",""type data!E2:F""),2,FALSE),$G179)&amp;""/"",$H179)),""""))"),"")</f>
        <v/>
      </c>
      <c r="K179" s="5" t="b">
        <v>0</v>
      </c>
      <c r="L179" s="7"/>
      <c r="M179" s="7"/>
    </row>
    <row r="180">
      <c r="A180" s="3" t="s">
        <v>288</v>
      </c>
      <c r="B180" s="3">
        <v>12.0</v>
      </c>
      <c r="C180" s="3">
        <v>2.0</v>
      </c>
      <c r="D180" s="4">
        <v>49.1905732201735</v>
      </c>
      <c r="E180" s="4">
        <v>-2.0955125756839</v>
      </c>
      <c r="F180" s="3" t="s">
        <v>69</v>
      </c>
      <c r="G180" s="3" t="s">
        <v>70</v>
      </c>
      <c r="H180" s="5"/>
      <c r="I180" s="5"/>
      <c r="J180" s="7" t="str">
        <f>IFERROR(__xludf.DUMMYFUNCTION("IF(AND(REGEXMATCH($H180,""50( ?['fF]([oO]{2})?[tT]?)?( ?[eE][rR]{2}[oO][rR])"")=FALSE,$H180&lt;&gt;"""",$I180&lt;&gt;""""),HYPERLINK(""https://www.munzee.com/m/""&amp;$H180&amp;""/""&amp;$I180&amp;""/map/?lat=""&amp;$D180&amp;""&amp;lon=""&amp;$E180&amp;""&amp;type=""&amp;$G180&amp;""&amp;name=""&amp;SUBSTITUTE($A180,""#"&amp;""",""%23""),$H180&amp;""/""&amp;$I180),IF($H180&lt;&gt;"""",IF(REGEXMATCH($H180,""50( ?['fF]([oO]{2})?[tT]?)?( ?[eE][rR]{2}[oO][rR])""),HYPERLINK(""https://www.munzee.com/map/?sandbox=1&amp;lat=""&amp;$D180&amp;""&amp;lon=""&amp;$E180&amp;""&amp;name=""&amp;SUBSTITUTE($A180,""#"",""%23""),""SANDBOX"""&amp;"),HYPERLINK(""https://www.munzee.com/m/""&amp;$H180&amp;""/deploys/0/type/""&amp;IFNA(VLOOKUP($G180,IMPORTRANGE(""https://docs.google.com/spreadsheets/d/1DliIGyDywdzxhd4svtjaewR0p9Y5UBTMNMQ2PcXsqss"",""type data!E2:F""),2,FALSE),$G180)&amp;""/"",$H180)),""""))"),"")</f>
        <v/>
      </c>
      <c r="K180" s="5" t="b">
        <v>0</v>
      </c>
      <c r="L180" s="7"/>
      <c r="M180" s="7"/>
    </row>
    <row r="181">
      <c r="A181" s="3" t="s">
        <v>289</v>
      </c>
      <c r="B181" s="3">
        <v>12.0</v>
      </c>
      <c r="C181" s="3">
        <v>3.0</v>
      </c>
      <c r="D181" s="4">
        <v>49.1904715872964</v>
      </c>
      <c r="E181" s="4">
        <v>-2.095357066053</v>
      </c>
      <c r="F181" s="3" t="s">
        <v>69</v>
      </c>
      <c r="G181" s="3" t="s">
        <v>70</v>
      </c>
      <c r="H181" s="5"/>
      <c r="I181" s="5"/>
      <c r="J181" s="7" t="str">
        <f>IFERROR(__xludf.DUMMYFUNCTION("IF(AND(REGEXMATCH($H181,""50( ?['fF]([oO]{2})?[tT]?)?( ?[eE][rR]{2}[oO][rR])"")=FALSE,$H181&lt;&gt;"""",$I181&lt;&gt;""""),HYPERLINK(""https://www.munzee.com/m/""&amp;$H181&amp;""/""&amp;$I181&amp;""/map/?lat=""&amp;$D181&amp;""&amp;lon=""&amp;$E181&amp;""&amp;type=""&amp;$G181&amp;""&amp;name=""&amp;SUBSTITUTE($A181,""#"&amp;""",""%23""),$H181&amp;""/""&amp;$I181),IF($H181&lt;&gt;"""",IF(REGEXMATCH($H181,""50( ?['fF]([oO]{2})?[tT]?)?( ?[eE][rR]{2}[oO][rR])""),HYPERLINK(""https://www.munzee.com/map/?sandbox=1&amp;lat=""&amp;$D181&amp;""&amp;lon=""&amp;$E181&amp;""&amp;name=""&amp;SUBSTITUTE($A181,""#"",""%23""),""SANDBOX"""&amp;"),HYPERLINK(""https://www.munzee.com/m/""&amp;$H181&amp;""/deploys/0/type/""&amp;IFNA(VLOOKUP($G181,IMPORTRANGE(""https://docs.google.com/spreadsheets/d/1DliIGyDywdzxhd4svtjaewR0p9Y5UBTMNMQ2PcXsqss"",""type data!E2:F""),2,FALSE),$G181)&amp;""/"",$H181)),""""))"),"")</f>
        <v/>
      </c>
      <c r="K181" s="5" t="b">
        <v>0</v>
      </c>
      <c r="L181" s="7"/>
      <c r="M181" s="7"/>
    </row>
    <row r="182">
      <c r="A182" s="3" t="s">
        <v>290</v>
      </c>
      <c r="B182" s="3">
        <v>12.0</v>
      </c>
      <c r="C182" s="3">
        <v>4.0</v>
      </c>
      <c r="D182" s="4">
        <v>49.1903699544194</v>
      </c>
      <c r="E182" s="4">
        <v>-2.0952015567416</v>
      </c>
      <c r="F182" s="3" t="s">
        <v>122</v>
      </c>
      <c r="G182" s="3" t="s">
        <v>123</v>
      </c>
      <c r="H182" s="5"/>
      <c r="I182" s="5"/>
      <c r="J182" s="7" t="str">
        <f>IFERROR(__xludf.DUMMYFUNCTION("IF(AND(REGEXMATCH($H182,""50( ?['fF]([oO]{2})?[tT]?)?( ?[eE][rR]{2}[oO][rR])"")=FALSE,$H182&lt;&gt;"""",$I182&lt;&gt;""""),HYPERLINK(""https://www.munzee.com/m/""&amp;$H182&amp;""/""&amp;$I182&amp;""/map/?lat=""&amp;$D182&amp;""&amp;lon=""&amp;$E182&amp;""&amp;type=""&amp;$G182&amp;""&amp;name=""&amp;SUBSTITUTE($A182,""#"&amp;""",""%23""),$H182&amp;""/""&amp;$I182),IF($H182&lt;&gt;"""",IF(REGEXMATCH($H182,""50( ?['fF]([oO]{2})?[tT]?)?( ?[eE][rR]{2}[oO][rR])""),HYPERLINK(""https://www.munzee.com/map/?sandbox=1&amp;lat=""&amp;$D182&amp;""&amp;lon=""&amp;$E182&amp;""&amp;name=""&amp;SUBSTITUTE($A182,""#"",""%23""),""SANDBOX"""&amp;"),HYPERLINK(""https://www.munzee.com/m/""&amp;$H182&amp;""/deploys/0/type/""&amp;IFNA(VLOOKUP($G182,IMPORTRANGE(""https://docs.google.com/spreadsheets/d/1DliIGyDywdzxhd4svtjaewR0p9Y5UBTMNMQ2PcXsqss"",""type data!E2:F""),2,FALSE),$G182)&amp;""/"",$H182)),""""))"),"")</f>
        <v/>
      </c>
      <c r="K182" s="5" t="b">
        <v>0</v>
      </c>
      <c r="L182" s="7"/>
      <c r="M182" s="7"/>
    </row>
    <row r="183">
      <c r="A183" s="3" t="s">
        <v>291</v>
      </c>
      <c r="B183" s="3">
        <v>12.0</v>
      </c>
      <c r="C183" s="3">
        <v>5.0</v>
      </c>
      <c r="D183" s="4">
        <v>49.1902683215423</v>
      </c>
      <c r="E183" s="4">
        <v>-2.0950460477496</v>
      </c>
      <c r="F183" s="3" t="s">
        <v>122</v>
      </c>
      <c r="G183" s="3" t="s">
        <v>123</v>
      </c>
      <c r="H183" s="5"/>
      <c r="I183" s="5"/>
      <c r="J183" s="7" t="str">
        <f>IFERROR(__xludf.DUMMYFUNCTION("IF(AND(REGEXMATCH($H183,""50( ?['fF]([oO]{2})?[tT]?)?( ?[eE][rR]{2}[oO][rR])"")=FALSE,$H183&lt;&gt;"""",$I183&lt;&gt;""""),HYPERLINK(""https://www.munzee.com/m/""&amp;$H183&amp;""/""&amp;$I183&amp;""/map/?lat=""&amp;$D183&amp;""&amp;lon=""&amp;$E183&amp;""&amp;type=""&amp;$G183&amp;""&amp;name=""&amp;SUBSTITUTE($A183,""#"&amp;""",""%23""),$H183&amp;""/""&amp;$I183),IF($H183&lt;&gt;"""",IF(REGEXMATCH($H183,""50( ?['fF]([oO]{2})?[tT]?)?( ?[eE][rR]{2}[oO][rR])""),HYPERLINK(""https://www.munzee.com/map/?sandbox=1&amp;lat=""&amp;$D183&amp;""&amp;lon=""&amp;$E183&amp;""&amp;name=""&amp;SUBSTITUTE($A183,""#"",""%23""),""SANDBOX"""&amp;"),HYPERLINK(""https://www.munzee.com/m/""&amp;$H183&amp;""/deploys/0/type/""&amp;IFNA(VLOOKUP($G183,IMPORTRANGE(""https://docs.google.com/spreadsheets/d/1DliIGyDywdzxhd4svtjaewR0p9Y5UBTMNMQ2PcXsqss"",""type data!E2:F""),2,FALSE),$G183)&amp;""/"",$H183)),""""))"),"")</f>
        <v/>
      </c>
      <c r="K183" s="5" t="b">
        <v>0</v>
      </c>
      <c r="L183" s="7"/>
      <c r="M183" s="7"/>
    </row>
    <row r="184">
      <c r="A184" s="3" t="s">
        <v>292</v>
      </c>
      <c r="B184" s="3">
        <v>12.0</v>
      </c>
      <c r="C184" s="3">
        <v>6.0</v>
      </c>
      <c r="D184" s="4">
        <v>49.1901666886653</v>
      </c>
      <c r="E184" s="4">
        <v>-2.0948905390771</v>
      </c>
      <c r="F184" s="3" t="s">
        <v>122</v>
      </c>
      <c r="G184" s="3" t="s">
        <v>123</v>
      </c>
      <c r="H184" s="5"/>
      <c r="I184" s="5"/>
      <c r="J184" s="7" t="str">
        <f>IFERROR(__xludf.DUMMYFUNCTION("IF(AND(REGEXMATCH($H184,""50( ?['fF]([oO]{2})?[tT]?)?( ?[eE][rR]{2}[oO][rR])"")=FALSE,$H184&lt;&gt;"""",$I184&lt;&gt;""""),HYPERLINK(""https://www.munzee.com/m/""&amp;$H184&amp;""/""&amp;$I184&amp;""/map/?lat=""&amp;$D184&amp;""&amp;lon=""&amp;$E184&amp;""&amp;type=""&amp;$G184&amp;""&amp;name=""&amp;SUBSTITUTE($A184,""#"&amp;""",""%23""),$H184&amp;""/""&amp;$I184),IF($H184&lt;&gt;"""",IF(REGEXMATCH($H184,""50( ?['fF]([oO]{2})?[tT]?)?( ?[eE][rR]{2}[oO][rR])""),HYPERLINK(""https://www.munzee.com/map/?sandbox=1&amp;lat=""&amp;$D184&amp;""&amp;lon=""&amp;$E184&amp;""&amp;name=""&amp;SUBSTITUTE($A184,""#"",""%23""),""SANDBOX"""&amp;"),HYPERLINK(""https://www.munzee.com/m/""&amp;$H184&amp;""/deploys/0/type/""&amp;IFNA(VLOOKUP($G184,IMPORTRANGE(""https://docs.google.com/spreadsheets/d/1DliIGyDywdzxhd4svtjaewR0p9Y5UBTMNMQ2PcXsqss"",""type data!E2:F""),2,FALSE),$G184)&amp;""/"",$H184)),""""))"),"")</f>
        <v/>
      </c>
      <c r="K184" s="5" t="b">
        <v>0</v>
      </c>
      <c r="L184" s="7"/>
      <c r="M184" s="7"/>
    </row>
    <row r="185">
      <c r="A185" s="3" t="s">
        <v>293</v>
      </c>
      <c r="B185" s="3">
        <v>12.0</v>
      </c>
      <c r="C185" s="3">
        <v>7.0</v>
      </c>
      <c r="D185" s="4">
        <v>49.1900650557883</v>
      </c>
      <c r="E185" s="4">
        <v>-2.0947350307241</v>
      </c>
      <c r="F185" s="3" t="s">
        <v>207</v>
      </c>
      <c r="G185" s="3" t="s">
        <v>208</v>
      </c>
      <c r="H185" s="5"/>
      <c r="I185" s="5"/>
      <c r="J185" s="7" t="str">
        <f>IFERROR(__xludf.DUMMYFUNCTION("IF(AND(REGEXMATCH($H185,""50( ?['fF]([oO]{2})?[tT]?)?( ?[eE][rR]{2}[oO][rR])"")=FALSE,$H185&lt;&gt;"""",$I185&lt;&gt;""""),HYPERLINK(""https://www.munzee.com/m/""&amp;$H185&amp;""/""&amp;$I185&amp;""/map/?lat=""&amp;$D185&amp;""&amp;lon=""&amp;$E185&amp;""&amp;type=""&amp;$G185&amp;""&amp;name=""&amp;SUBSTITUTE($A185,""#"&amp;""",""%23""),$H185&amp;""/""&amp;$I185),IF($H185&lt;&gt;"""",IF(REGEXMATCH($H185,""50( ?['fF]([oO]{2})?[tT]?)?( ?[eE][rR]{2}[oO][rR])""),HYPERLINK(""https://www.munzee.com/map/?sandbox=1&amp;lat=""&amp;$D185&amp;""&amp;lon=""&amp;$E185&amp;""&amp;name=""&amp;SUBSTITUTE($A185,""#"",""%23""),""SANDBOX"""&amp;"),HYPERLINK(""https://www.munzee.com/m/""&amp;$H185&amp;""/deploys/0/type/""&amp;IFNA(VLOOKUP($G185,IMPORTRANGE(""https://docs.google.com/spreadsheets/d/1DliIGyDywdzxhd4svtjaewR0p9Y5UBTMNMQ2PcXsqss"",""type data!E2:F""),2,FALSE),$G185)&amp;""/"",$H185)),""""))"),"")</f>
        <v/>
      </c>
      <c r="K185" s="5" t="b">
        <v>0</v>
      </c>
      <c r="L185" s="7"/>
      <c r="M185" s="7"/>
    </row>
    <row r="186">
      <c r="A186" s="3" t="s">
        <v>294</v>
      </c>
      <c r="B186" s="3">
        <v>12.0</v>
      </c>
      <c r="C186" s="3">
        <v>12.0</v>
      </c>
      <c r="D186" s="4">
        <v>49.189556891403</v>
      </c>
      <c r="E186" s="4">
        <v>-2.0939574937504</v>
      </c>
      <c r="F186" s="3" t="s">
        <v>250</v>
      </c>
      <c r="G186" s="3" t="s">
        <v>251</v>
      </c>
      <c r="H186" s="5"/>
      <c r="I186" s="5"/>
      <c r="J186" s="7" t="str">
        <f>IFERROR(__xludf.DUMMYFUNCTION("IF(AND(REGEXMATCH($H186,""50( ?['fF]([oO]{2})?[tT]?)?( ?[eE][rR]{2}[oO][rR])"")=FALSE,$H186&lt;&gt;"""",$I186&lt;&gt;""""),HYPERLINK(""https://www.munzee.com/m/""&amp;$H186&amp;""/""&amp;$I186&amp;""/map/?lat=""&amp;$D186&amp;""&amp;lon=""&amp;$E186&amp;""&amp;type=""&amp;$G186&amp;""&amp;name=""&amp;SUBSTITUTE($A186,""#"&amp;""",""%23""),$H186&amp;""/""&amp;$I186),IF($H186&lt;&gt;"""",IF(REGEXMATCH($H186,""50( ?['fF]([oO]{2})?[tT]?)?( ?[eE][rR]{2}[oO][rR])""),HYPERLINK(""https://www.munzee.com/map/?sandbox=1&amp;lat=""&amp;$D186&amp;""&amp;lon=""&amp;$E186&amp;""&amp;name=""&amp;SUBSTITUTE($A186,""#"",""%23""),""SANDBOX"""&amp;"),HYPERLINK(""https://www.munzee.com/m/""&amp;$H186&amp;""/deploys/0/type/""&amp;IFNA(VLOOKUP($G186,IMPORTRANGE(""https://docs.google.com/spreadsheets/d/1DliIGyDywdzxhd4svtjaewR0p9Y5UBTMNMQ2PcXsqss"",""type data!E2:F""),2,FALSE),$G186)&amp;""/"",$H186)),""""))"),"")</f>
        <v/>
      </c>
      <c r="K186" s="5" t="b">
        <v>0</v>
      </c>
      <c r="L186" s="7"/>
      <c r="M186" s="7"/>
    </row>
    <row r="187">
      <c r="A187" s="3" t="s">
        <v>295</v>
      </c>
      <c r="B187" s="3">
        <v>12.0</v>
      </c>
      <c r="C187" s="3">
        <v>13.0</v>
      </c>
      <c r="D187" s="4">
        <v>49.189455258526</v>
      </c>
      <c r="E187" s="4">
        <v>-2.093801987314</v>
      </c>
      <c r="F187" s="3" t="s">
        <v>296</v>
      </c>
      <c r="G187" s="3" t="s">
        <v>297</v>
      </c>
      <c r="H187" s="5" t="s">
        <v>298</v>
      </c>
      <c r="I187" s="5">
        <v>10897.0</v>
      </c>
      <c r="J187" s="6" t="str">
        <f>IFERROR(__xludf.DUMMYFUNCTION("IF(AND(REGEXMATCH($H187,""50( ?['fF]([oO]{2})?[tT]?)?( ?[eE][rR]{2}[oO][rR])"")=FALSE,$H187&lt;&gt;"""",$I187&lt;&gt;""""),HYPERLINK(""https://www.munzee.com/m/""&amp;$H187&amp;""/""&amp;$I187&amp;""/map/?lat=""&amp;$D187&amp;""&amp;lon=""&amp;$E187&amp;""&amp;type=""&amp;$G187&amp;""&amp;name=""&amp;SUBSTITUTE($A187,""#"&amp;""",""%23""),$H187&amp;""/""&amp;$I187),IF($H187&lt;&gt;"""",IF(REGEXMATCH($H187,""50( ?['fF]([oO]{2})?[tT]?)?( ?[eE][rR]{2}[oO][rR])""),HYPERLINK(""https://www.munzee.com/map/?sandbox=1&amp;lat=""&amp;$D187&amp;""&amp;lon=""&amp;$E187&amp;""&amp;name=""&amp;SUBSTITUTE($A187,""#"",""%23""),""SANDBOX"""&amp;"),HYPERLINK(""https://www.munzee.com/m/""&amp;$H187&amp;""/deploys/0/type/""&amp;IFNA(VLOOKUP($G187,IMPORTRANGE(""https://docs.google.com/spreadsheets/d/1DliIGyDywdzxhd4svtjaewR0p9Y5UBTMNMQ2PcXsqss"",""type data!E2:F""),2,FALSE),$G187)&amp;""/"",$H187)),""""))"),"Derlame /10897")</f>
        <v>Derlame /10897</v>
      </c>
      <c r="K187" s="5" t="b">
        <v>1</v>
      </c>
      <c r="L187" s="7"/>
      <c r="M187" s="7"/>
    </row>
    <row r="188">
      <c r="A188" s="3" t="s">
        <v>299</v>
      </c>
      <c r="B188" s="3">
        <v>12.0</v>
      </c>
      <c r="C188" s="3">
        <v>14.0</v>
      </c>
      <c r="D188" s="4">
        <v>49.189353625649</v>
      </c>
      <c r="E188" s="4">
        <v>-2.0936464811971</v>
      </c>
      <c r="F188" s="3" t="s">
        <v>296</v>
      </c>
      <c r="G188" s="3" t="s">
        <v>297</v>
      </c>
      <c r="H188" s="5" t="s">
        <v>300</v>
      </c>
      <c r="I188" s="5">
        <v>2793.0</v>
      </c>
      <c r="J188" s="6" t="str">
        <f>IFERROR(__xludf.DUMMYFUNCTION("IF(AND(REGEXMATCH($H188,""50( ?['fF]([oO]{2})?[tT]?)?( ?[eE][rR]{2}[oO][rR])"")=FALSE,$H188&lt;&gt;"""",$I188&lt;&gt;""""),HYPERLINK(""https://www.munzee.com/m/""&amp;$H188&amp;""/""&amp;$I188&amp;""/map/?lat=""&amp;$D188&amp;""&amp;lon=""&amp;$E188&amp;""&amp;type=""&amp;$G188&amp;""&amp;name=""&amp;SUBSTITUTE($A188,""#"&amp;""",""%23""),$H188&amp;""/""&amp;$I188),IF($H188&lt;&gt;"""",IF(REGEXMATCH($H188,""50( ?['fF]([oO]{2})?[tT]?)?( ?[eE][rR]{2}[oO][rR])""),HYPERLINK(""https://www.munzee.com/map/?sandbox=1&amp;lat=""&amp;$D188&amp;""&amp;lon=""&amp;$E188&amp;""&amp;name=""&amp;SUBSTITUTE($A188,""#"",""%23""),""SANDBOX"""&amp;"),HYPERLINK(""https://www.munzee.com/m/""&amp;$H188&amp;""/deploys/0/type/""&amp;IFNA(VLOOKUP($G188,IMPORTRANGE(""https://docs.google.com/spreadsheets/d/1DliIGyDywdzxhd4svtjaewR0p9Y5UBTMNMQ2PcXsqss"",""type data!E2:F""),2,FALSE),$G188)&amp;""/"",$H188)),""""))"),"crazycolorado/2793")</f>
        <v>crazycolorado/2793</v>
      </c>
      <c r="K188" s="5" t="b">
        <v>1</v>
      </c>
      <c r="L188" s="7"/>
      <c r="M188" s="7"/>
    </row>
    <row r="189">
      <c r="A189" s="3" t="s">
        <v>301</v>
      </c>
      <c r="B189" s="3">
        <v>12.0</v>
      </c>
      <c r="C189" s="3">
        <v>15.0</v>
      </c>
      <c r="D189" s="4">
        <v>49.1892519927719</v>
      </c>
      <c r="E189" s="4">
        <v>-2.0934909753996</v>
      </c>
      <c r="F189" s="3" t="s">
        <v>69</v>
      </c>
      <c r="G189" s="3" t="s">
        <v>70</v>
      </c>
      <c r="H189" s="5"/>
      <c r="I189" s="5"/>
      <c r="J189" s="7" t="str">
        <f>IFERROR(__xludf.DUMMYFUNCTION("IF(AND(REGEXMATCH($H189,""50( ?['fF]([oO]{2})?[tT]?)?( ?[eE][rR]{2}[oO][rR])"")=FALSE,$H189&lt;&gt;"""",$I189&lt;&gt;""""),HYPERLINK(""https://www.munzee.com/m/""&amp;$H189&amp;""/""&amp;$I189&amp;""/map/?lat=""&amp;$D189&amp;""&amp;lon=""&amp;$E189&amp;""&amp;type=""&amp;$G189&amp;""&amp;name=""&amp;SUBSTITUTE($A189,""#"&amp;""",""%23""),$H189&amp;""/""&amp;$I189),IF($H189&lt;&gt;"""",IF(REGEXMATCH($H189,""50( ?['fF]([oO]{2})?[tT]?)?( ?[eE][rR]{2}[oO][rR])""),HYPERLINK(""https://www.munzee.com/map/?sandbox=1&amp;lat=""&amp;$D189&amp;""&amp;lon=""&amp;$E189&amp;""&amp;name=""&amp;SUBSTITUTE($A189,""#"",""%23""),""SANDBOX"""&amp;"),HYPERLINK(""https://www.munzee.com/m/""&amp;$H189&amp;""/deploys/0/type/""&amp;IFNA(VLOOKUP($G189,IMPORTRANGE(""https://docs.google.com/spreadsheets/d/1DliIGyDywdzxhd4svtjaewR0p9Y5UBTMNMQ2PcXsqss"",""type data!E2:F""),2,FALSE),$G189)&amp;""/"",$H189)),""""))"),"")</f>
        <v/>
      </c>
      <c r="K189" s="5" t="b">
        <v>0</v>
      </c>
      <c r="L189" s="7"/>
      <c r="M189" s="7"/>
    </row>
    <row r="190">
      <c r="A190" s="3" t="s">
        <v>302</v>
      </c>
      <c r="B190" s="3">
        <v>12.0</v>
      </c>
      <c r="C190" s="3">
        <v>16.0</v>
      </c>
      <c r="D190" s="4">
        <v>49.1891503598949</v>
      </c>
      <c r="E190" s="4">
        <v>-2.0933354699216</v>
      </c>
      <c r="F190" s="3" t="s">
        <v>303</v>
      </c>
      <c r="G190" s="3" t="s">
        <v>304</v>
      </c>
      <c r="H190" s="5" t="s">
        <v>53</v>
      </c>
      <c r="I190" s="5">
        <v>583.0</v>
      </c>
      <c r="J190" s="6" t="str">
        <f>IFERROR(__xludf.DUMMYFUNCTION("IF(AND(REGEXMATCH($H190,""50( ?['fF]([oO]{2})?[tT]?)?( ?[eE][rR]{2}[oO][rR])"")=FALSE,$H190&lt;&gt;"""",$I190&lt;&gt;""""),HYPERLINK(""https://www.munzee.com/m/""&amp;$H190&amp;""/""&amp;$I190&amp;""/map/?lat=""&amp;$D190&amp;""&amp;lon=""&amp;$E190&amp;""&amp;type=""&amp;$G190&amp;""&amp;name=""&amp;SUBSTITUTE($A190,""#"&amp;""",""%23""),$H190&amp;""/""&amp;$I190),IF($H190&lt;&gt;"""",IF(REGEXMATCH($H190,""50( ?['fF]([oO]{2})?[tT]?)?( ?[eE][rR]{2}[oO][rR])""),HYPERLINK(""https://www.munzee.com/map/?sandbox=1&amp;lat=""&amp;$D190&amp;""&amp;lon=""&amp;$E190&amp;""&amp;name=""&amp;SUBSTITUTE($A190,""#"",""%23""),""SANDBOX"""&amp;"),HYPERLINK(""https://www.munzee.com/m/""&amp;$H190&amp;""/deploys/0/type/""&amp;IFNA(VLOOKUP($G190,IMPORTRANGE(""https://docs.google.com/spreadsheets/d/1DliIGyDywdzxhd4svtjaewR0p9Y5UBTMNMQ2PcXsqss"",""type data!E2:F""),2,FALSE),$G190)&amp;""/"",$H190)),""""))"),"MaryJaneKitty/583")</f>
        <v>MaryJaneKitty/583</v>
      </c>
      <c r="K190" s="5" t="b">
        <v>1</v>
      </c>
      <c r="L190" s="7"/>
      <c r="M190" s="7"/>
    </row>
    <row r="191">
      <c r="A191" s="3" t="s">
        <v>305</v>
      </c>
      <c r="B191" s="3">
        <v>12.0</v>
      </c>
      <c r="C191" s="3">
        <v>17.0</v>
      </c>
      <c r="D191" s="4">
        <v>49.1890487270179</v>
      </c>
      <c r="E191" s="4">
        <v>-2.0931799647631</v>
      </c>
      <c r="F191" s="3" t="s">
        <v>296</v>
      </c>
      <c r="G191" s="3" t="s">
        <v>297</v>
      </c>
      <c r="H191" s="5" t="s">
        <v>306</v>
      </c>
      <c r="I191" s="5">
        <v>3387.0</v>
      </c>
      <c r="J191" s="6" t="str">
        <f>IFERROR(__xludf.DUMMYFUNCTION("IF(AND(REGEXMATCH($H191,""50( ?['fF]([oO]{2})?[tT]?)?( ?[eE][rR]{2}[oO][rR])"")=FALSE,$H191&lt;&gt;"""",$I191&lt;&gt;""""),HYPERLINK(""https://www.munzee.com/m/""&amp;$H191&amp;""/""&amp;$I191&amp;""/map/?lat=""&amp;$D191&amp;""&amp;lon=""&amp;$E191&amp;""&amp;type=""&amp;$G191&amp;""&amp;name=""&amp;SUBSTITUTE($A191,""#"&amp;""",""%23""),$H191&amp;""/""&amp;$I191),IF($H191&lt;&gt;"""",IF(REGEXMATCH($H191,""50( ?['fF]([oO]{2})?[tT]?)?( ?[eE][rR]{2}[oO][rR])""),HYPERLINK(""https://www.munzee.com/map/?sandbox=1&amp;lat=""&amp;$D191&amp;""&amp;lon=""&amp;$E191&amp;""&amp;name=""&amp;SUBSTITUTE($A191,""#"",""%23""),""SANDBOX"""&amp;"),HYPERLINK(""https://www.munzee.com/m/""&amp;$H191&amp;""/deploys/0/type/""&amp;IFNA(VLOOKUP($G191,IMPORTRANGE(""https://docs.google.com/spreadsheets/d/1DliIGyDywdzxhd4svtjaewR0p9Y5UBTMNMQ2PcXsqss"",""type data!E2:F""),2,FALSE),$G191)&amp;""/"",$H191)),""""))"),"Bisquick2/3387")</f>
        <v>Bisquick2/3387</v>
      </c>
      <c r="K191" s="5" t="b">
        <v>1</v>
      </c>
      <c r="L191" s="7"/>
      <c r="M191" s="7"/>
    </row>
    <row r="192">
      <c r="A192" s="3" t="s">
        <v>307</v>
      </c>
      <c r="B192" s="3">
        <v>12.0</v>
      </c>
      <c r="C192" s="3">
        <v>18.0</v>
      </c>
      <c r="D192" s="4">
        <v>49.1889470941408</v>
      </c>
      <c r="E192" s="4">
        <v>-2.093024459924</v>
      </c>
      <c r="F192" s="3" t="s">
        <v>303</v>
      </c>
      <c r="G192" s="3" t="s">
        <v>304</v>
      </c>
      <c r="H192" s="5" t="s">
        <v>16</v>
      </c>
      <c r="I192" s="5">
        <v>17395.0</v>
      </c>
      <c r="J192" s="6" t="str">
        <f>IFERROR(__xludf.DUMMYFUNCTION("IF(AND(REGEXMATCH($H192,""50( ?['fF]([oO]{2})?[tT]?)?( ?[eE][rR]{2}[oO][rR])"")=FALSE,$H192&lt;&gt;"""",$I192&lt;&gt;""""),HYPERLINK(""https://www.munzee.com/m/""&amp;$H192&amp;""/""&amp;$I192&amp;""/map/?lat=""&amp;$D192&amp;""&amp;lon=""&amp;$E192&amp;""&amp;type=""&amp;$G192&amp;""&amp;name=""&amp;SUBSTITUTE($A192,""#"&amp;""",""%23""),$H192&amp;""/""&amp;$I192),IF($H192&lt;&gt;"""",IF(REGEXMATCH($H192,""50( ?['fF]([oO]{2})?[tT]?)?( ?[eE][rR]{2}[oO][rR])""),HYPERLINK(""https://www.munzee.com/map/?sandbox=1&amp;lat=""&amp;$D192&amp;""&amp;lon=""&amp;$E192&amp;""&amp;name=""&amp;SUBSTITUTE($A192,""#"",""%23""),""SANDBOX"""&amp;"),HYPERLINK(""https://www.munzee.com/m/""&amp;$H192&amp;""/deploys/0/type/""&amp;IFNA(VLOOKUP($G192,IMPORTRANGE(""https://docs.google.com/spreadsheets/d/1DliIGyDywdzxhd4svtjaewR0p9Y5UBTMNMQ2PcXsqss"",""type data!E2:F""),2,FALSE),$G192)&amp;""/"",$H192)),""""))"),"Taxi343/17395")</f>
        <v>Taxi343/17395</v>
      </c>
      <c r="K192" s="5" t="b">
        <v>0</v>
      </c>
      <c r="L192" s="5" t="s">
        <v>308</v>
      </c>
      <c r="M192" s="7"/>
    </row>
    <row r="193">
      <c r="A193" s="3" t="s">
        <v>309</v>
      </c>
      <c r="B193" s="3">
        <v>12.0</v>
      </c>
      <c r="C193" s="3">
        <v>19.0</v>
      </c>
      <c r="D193" s="4">
        <v>49.1888454612638</v>
      </c>
      <c r="E193" s="4">
        <v>-2.0928689554042</v>
      </c>
      <c r="F193" s="3" t="s">
        <v>204</v>
      </c>
      <c r="G193" s="3" t="s">
        <v>205</v>
      </c>
      <c r="H193" s="5"/>
      <c r="I193" s="5"/>
      <c r="J193" s="7" t="str">
        <f>IFERROR(__xludf.DUMMYFUNCTION("IF(AND(REGEXMATCH($H193,""50( ?['fF]([oO]{2})?[tT]?)?( ?[eE][rR]{2}[oO][rR])"")=FALSE,$H193&lt;&gt;"""",$I193&lt;&gt;""""),HYPERLINK(""https://www.munzee.com/m/""&amp;$H193&amp;""/""&amp;$I193&amp;""/map/?lat=""&amp;$D193&amp;""&amp;lon=""&amp;$E193&amp;""&amp;type=""&amp;$G193&amp;""&amp;name=""&amp;SUBSTITUTE($A193,""#"&amp;""",""%23""),$H193&amp;""/""&amp;$I193),IF($H193&lt;&gt;"""",IF(REGEXMATCH($H193,""50( ?['fF]([oO]{2})?[tT]?)?( ?[eE][rR]{2}[oO][rR])""),HYPERLINK(""https://www.munzee.com/map/?sandbox=1&amp;lat=""&amp;$D193&amp;""&amp;lon=""&amp;$E193&amp;""&amp;name=""&amp;SUBSTITUTE($A193,""#"",""%23""),""SANDBOX"""&amp;"),HYPERLINK(""https://www.munzee.com/m/""&amp;$H193&amp;""/deploys/0/type/""&amp;IFNA(VLOOKUP($G193,IMPORTRANGE(""https://docs.google.com/spreadsheets/d/1DliIGyDywdzxhd4svtjaewR0p9Y5UBTMNMQ2PcXsqss"",""type data!E2:F""),2,FALSE),$G193)&amp;""/"",$H193)),""""))"),"")</f>
        <v/>
      </c>
      <c r="K193" s="5" t="b">
        <v>0</v>
      </c>
      <c r="L193" s="7"/>
      <c r="M193" s="7"/>
    </row>
    <row r="194">
      <c r="A194" s="3" t="s">
        <v>310</v>
      </c>
      <c r="B194" s="3">
        <v>12.0</v>
      </c>
      <c r="C194" s="3">
        <v>20.0</v>
      </c>
      <c r="D194" s="4">
        <v>49.1887438283868</v>
      </c>
      <c r="E194" s="4">
        <v>-2.092713451204</v>
      </c>
      <c r="F194" s="3" t="s">
        <v>250</v>
      </c>
      <c r="G194" s="3" t="s">
        <v>251</v>
      </c>
      <c r="H194" s="5" t="s">
        <v>311</v>
      </c>
      <c r="I194" s="5">
        <v>11478.0</v>
      </c>
      <c r="J194" s="6" t="str">
        <f>IFERROR(__xludf.DUMMYFUNCTION("IF(AND(REGEXMATCH($H194,""50( ?['fF]([oO]{2})?[tT]?)?( ?[eE][rR]{2}[oO][rR])"")=FALSE,$H194&lt;&gt;"""",$I194&lt;&gt;""""),HYPERLINK(""https://www.munzee.com/m/""&amp;$H194&amp;""/""&amp;$I194&amp;""/map/?lat=""&amp;$D194&amp;""&amp;lon=""&amp;$E194&amp;""&amp;type=""&amp;$G194&amp;""&amp;name=""&amp;SUBSTITUTE($A194,""#"&amp;""",""%23""),$H194&amp;""/""&amp;$I194),IF($H194&lt;&gt;"""",IF(REGEXMATCH($H194,""50( ?['fF]([oO]{2})?[tT]?)?( ?[eE][rR]{2}[oO][rR])""),HYPERLINK(""https://www.munzee.com/map/?sandbox=1&amp;lat=""&amp;$D194&amp;""&amp;lon=""&amp;$E194&amp;""&amp;name=""&amp;SUBSTITUTE($A194,""#"",""%23""),""SANDBOX"""&amp;"),HYPERLINK(""https://www.munzee.com/m/""&amp;$H194&amp;""/deploys/0/type/""&amp;IFNA(VLOOKUP($G194,IMPORTRANGE(""https://docs.google.com/spreadsheets/d/1DliIGyDywdzxhd4svtjaewR0p9Y5UBTMNMQ2PcXsqss"",""type data!E2:F""),2,FALSE),$G194)&amp;""/"",$H194)),""""))"),"Sivontim/11478")</f>
        <v>Sivontim/11478</v>
      </c>
      <c r="K194" s="5" t="b">
        <v>1</v>
      </c>
      <c r="L194" s="7"/>
      <c r="M194" s="7"/>
    </row>
    <row r="195">
      <c r="A195" s="3" t="s">
        <v>312</v>
      </c>
      <c r="B195" s="3">
        <v>12.0</v>
      </c>
      <c r="C195" s="3">
        <v>24.0</v>
      </c>
      <c r="D195" s="4">
        <v>49.1883372968786</v>
      </c>
      <c r="E195" s="4">
        <v>-2.0920914375972</v>
      </c>
      <c r="F195" s="3" t="s">
        <v>250</v>
      </c>
      <c r="G195" s="3" t="s">
        <v>251</v>
      </c>
      <c r="H195" s="5"/>
      <c r="I195" s="5"/>
      <c r="J195" s="7" t="str">
        <f>IFERROR(__xludf.DUMMYFUNCTION("IF(AND(REGEXMATCH($H195,""50( ?['fF]([oO]{2})?[tT]?)?( ?[eE][rR]{2}[oO][rR])"")=FALSE,$H195&lt;&gt;"""",$I195&lt;&gt;""""),HYPERLINK(""https://www.munzee.com/m/""&amp;$H195&amp;""/""&amp;$I195&amp;""/map/?lat=""&amp;$D195&amp;""&amp;lon=""&amp;$E195&amp;""&amp;type=""&amp;$G195&amp;""&amp;name=""&amp;SUBSTITUTE($A195,""#"&amp;""",""%23""),$H195&amp;""/""&amp;$I195),IF($H195&lt;&gt;"""",IF(REGEXMATCH($H195,""50( ?['fF]([oO]{2})?[tT]?)?( ?[eE][rR]{2}[oO][rR])""),HYPERLINK(""https://www.munzee.com/map/?sandbox=1&amp;lat=""&amp;$D195&amp;""&amp;lon=""&amp;$E195&amp;""&amp;name=""&amp;SUBSTITUTE($A195,""#"",""%23""),""SANDBOX"""&amp;"),HYPERLINK(""https://www.munzee.com/m/""&amp;$H195&amp;""/deploys/0/type/""&amp;IFNA(VLOOKUP($G195,IMPORTRANGE(""https://docs.google.com/spreadsheets/d/1DliIGyDywdzxhd4svtjaewR0p9Y5UBTMNMQ2PcXsqss"",""type data!E2:F""),2,FALSE),$G195)&amp;""/"",$H195)),""""))"),"")</f>
        <v/>
      </c>
      <c r="K195" s="5" t="b">
        <v>0</v>
      </c>
      <c r="L195" s="7"/>
      <c r="M195" s="7"/>
    </row>
    <row r="196">
      <c r="A196" s="3" t="s">
        <v>313</v>
      </c>
      <c r="B196" s="3">
        <v>12.0</v>
      </c>
      <c r="C196" s="3">
        <v>25.0</v>
      </c>
      <c r="D196" s="4">
        <v>49.1882356640016</v>
      </c>
      <c r="E196" s="4">
        <v>-2.0919359349941</v>
      </c>
      <c r="F196" s="3" t="s">
        <v>269</v>
      </c>
      <c r="G196" s="3" t="s">
        <v>270</v>
      </c>
      <c r="H196" s="5"/>
      <c r="I196" s="5"/>
      <c r="J196" s="7" t="str">
        <f>IFERROR(__xludf.DUMMYFUNCTION("IF(AND(REGEXMATCH($H196,""50( ?['fF]([oO]{2})?[tT]?)?( ?[eE][rR]{2}[oO][rR])"")=FALSE,$H196&lt;&gt;"""",$I196&lt;&gt;""""),HYPERLINK(""https://www.munzee.com/m/""&amp;$H196&amp;""/""&amp;$I196&amp;""/map/?lat=""&amp;$D196&amp;""&amp;lon=""&amp;$E196&amp;""&amp;type=""&amp;$G196&amp;""&amp;name=""&amp;SUBSTITUTE($A196,""#"&amp;""",""%23""),$H196&amp;""/""&amp;$I196),IF($H196&lt;&gt;"""",IF(REGEXMATCH($H196,""50( ?['fF]([oO]{2})?[tT]?)?( ?[eE][rR]{2}[oO][rR])""),HYPERLINK(""https://www.munzee.com/map/?sandbox=1&amp;lat=""&amp;$D196&amp;""&amp;lon=""&amp;$E196&amp;""&amp;name=""&amp;SUBSTITUTE($A196,""#"",""%23""),""SANDBOX"""&amp;"),HYPERLINK(""https://www.munzee.com/m/""&amp;$H196&amp;""/deploys/0/type/""&amp;IFNA(VLOOKUP($G196,IMPORTRANGE(""https://docs.google.com/spreadsheets/d/1DliIGyDywdzxhd4svtjaewR0p9Y5UBTMNMQ2PcXsqss"",""type data!E2:F""),2,FALSE),$G196)&amp;""/"",$H196)),""""))"),"")</f>
        <v/>
      </c>
      <c r="K196" s="5" t="b">
        <v>0</v>
      </c>
      <c r="L196" s="7"/>
      <c r="M196" s="7"/>
    </row>
    <row r="197">
      <c r="A197" s="3" t="s">
        <v>314</v>
      </c>
      <c r="B197" s="3">
        <v>12.0</v>
      </c>
      <c r="C197" s="3">
        <v>26.0</v>
      </c>
      <c r="D197" s="4">
        <v>49.1881340311246</v>
      </c>
      <c r="E197" s="4">
        <v>-2.0917804327105</v>
      </c>
      <c r="F197" s="3" t="s">
        <v>122</v>
      </c>
      <c r="G197" s="3" t="s">
        <v>123</v>
      </c>
      <c r="H197" s="5"/>
      <c r="I197" s="5"/>
      <c r="J197" s="7" t="str">
        <f>IFERROR(__xludf.DUMMYFUNCTION("IF(AND(REGEXMATCH($H197,""50( ?['fF]([oO]{2})?[tT]?)?( ?[eE][rR]{2}[oO][rR])"")=FALSE,$H197&lt;&gt;"""",$I197&lt;&gt;""""),HYPERLINK(""https://www.munzee.com/m/""&amp;$H197&amp;""/""&amp;$I197&amp;""/map/?lat=""&amp;$D197&amp;""&amp;lon=""&amp;$E197&amp;""&amp;type=""&amp;$G197&amp;""&amp;name=""&amp;SUBSTITUTE($A197,""#"&amp;""",""%23""),$H197&amp;""/""&amp;$I197),IF($H197&lt;&gt;"""",IF(REGEXMATCH($H197,""50( ?['fF]([oO]{2})?[tT]?)?( ?[eE][rR]{2}[oO][rR])""),HYPERLINK(""https://www.munzee.com/map/?sandbox=1&amp;lat=""&amp;$D197&amp;""&amp;lon=""&amp;$E197&amp;""&amp;name=""&amp;SUBSTITUTE($A197,""#"",""%23""),""SANDBOX"""&amp;"),HYPERLINK(""https://www.munzee.com/m/""&amp;$H197&amp;""/deploys/0/type/""&amp;IFNA(VLOOKUP($G197,IMPORTRANGE(""https://docs.google.com/spreadsheets/d/1DliIGyDywdzxhd4svtjaewR0p9Y5UBTMNMQ2PcXsqss"",""type data!E2:F""),2,FALSE),$G197)&amp;""/"",$H197)),""""))"),"")</f>
        <v/>
      </c>
      <c r="K197" s="5" t="b">
        <v>0</v>
      </c>
      <c r="L197" s="7"/>
      <c r="M197" s="7"/>
    </row>
    <row r="198">
      <c r="A198" s="3" t="s">
        <v>315</v>
      </c>
      <c r="B198" s="3">
        <v>12.0</v>
      </c>
      <c r="C198" s="3">
        <v>27.0</v>
      </c>
      <c r="D198" s="4">
        <v>49.1880323982475</v>
      </c>
      <c r="E198" s="4">
        <v>-2.0916249307462</v>
      </c>
      <c r="F198" s="3" t="s">
        <v>119</v>
      </c>
      <c r="G198" s="3" t="s">
        <v>120</v>
      </c>
      <c r="H198" s="5" t="s">
        <v>99</v>
      </c>
      <c r="I198" s="5">
        <v>7580.0</v>
      </c>
      <c r="J198" s="6" t="str">
        <f>IFERROR(__xludf.DUMMYFUNCTION("IF(AND(REGEXMATCH($H198,""50( ?['fF]([oO]{2})?[tT]?)?( ?[eE][rR]{2}[oO][rR])"")=FALSE,$H198&lt;&gt;"""",$I198&lt;&gt;""""),HYPERLINK(""https://www.munzee.com/m/""&amp;$H198&amp;""/""&amp;$I198&amp;""/map/?lat=""&amp;$D198&amp;""&amp;lon=""&amp;$E198&amp;""&amp;type=""&amp;$G198&amp;""&amp;name=""&amp;SUBSTITUTE($A198,""#"&amp;""",""%23""),$H198&amp;""/""&amp;$I198),IF($H198&lt;&gt;"""",IF(REGEXMATCH($H198,""50( ?['fF]([oO]{2})?[tT]?)?( ?[eE][rR]{2}[oO][rR])""),HYPERLINK(""https://www.munzee.com/map/?sandbox=1&amp;lat=""&amp;$D198&amp;""&amp;lon=""&amp;$E198&amp;""&amp;name=""&amp;SUBSTITUTE($A198,""#"",""%23""),""SANDBOX"""&amp;"),HYPERLINK(""https://www.munzee.com/m/""&amp;$H198&amp;""/deploys/0/type/""&amp;IFNA(VLOOKUP($G198,IMPORTRANGE(""https://docs.google.com/spreadsheets/d/1DliIGyDywdzxhd4svtjaewR0p9Y5UBTMNMQ2PcXsqss"",""type data!E2:F""),2,FALSE),$G198)&amp;""/"",$H198)),""""))"),"rgforsythe/7580")</f>
        <v>rgforsythe/7580</v>
      </c>
      <c r="K198" s="5" t="b">
        <v>1</v>
      </c>
      <c r="M198" s="7"/>
    </row>
    <row r="199">
      <c r="A199" s="3" t="s">
        <v>316</v>
      </c>
      <c r="B199" s="3">
        <v>12.0</v>
      </c>
      <c r="C199" s="3">
        <v>28.0</v>
      </c>
      <c r="D199" s="4">
        <v>49.1879307653705</v>
      </c>
      <c r="E199" s="4">
        <v>-2.0914694291014</v>
      </c>
      <c r="F199" s="3" t="s">
        <v>69</v>
      </c>
      <c r="G199" s="3" t="s">
        <v>70</v>
      </c>
      <c r="H199" s="5" t="s">
        <v>317</v>
      </c>
      <c r="I199" s="5">
        <v>5376.0</v>
      </c>
      <c r="J199" s="6" t="str">
        <f>IFERROR(__xludf.DUMMYFUNCTION("IF(AND(REGEXMATCH($H199,""50( ?['fF]([oO]{2})?[tT]?)?( ?[eE][rR]{2}[oO][rR])"")=FALSE,$H199&lt;&gt;"""",$I199&lt;&gt;""""),HYPERLINK(""https://www.munzee.com/m/""&amp;$H199&amp;""/""&amp;$I199&amp;""/map/?lat=""&amp;$D199&amp;""&amp;lon=""&amp;$E199&amp;""&amp;type=""&amp;$G199&amp;""&amp;name=""&amp;SUBSTITUTE($A199,""#"&amp;""",""%23""),$H199&amp;""/""&amp;$I199),IF($H199&lt;&gt;"""",IF(REGEXMATCH($H199,""50( ?['fF]([oO]{2})?[tT]?)?( ?[eE][rR]{2}[oO][rR])""),HYPERLINK(""https://www.munzee.com/map/?sandbox=1&amp;lat=""&amp;$D199&amp;""&amp;lon=""&amp;$E199&amp;""&amp;name=""&amp;SUBSTITUTE($A199,""#"",""%23""),""SANDBOX"""&amp;"),HYPERLINK(""https://www.munzee.com/m/""&amp;$H199&amp;""/deploys/0/type/""&amp;IFNA(VLOOKUP($G199,IMPORTRANGE(""https://docs.google.com/spreadsheets/d/1DliIGyDywdzxhd4svtjaewR0p9Y5UBTMNMQ2PcXsqss"",""type data!E2:F""),2,FALSE),$G199)&amp;""/"",$H199)),""""))"),"Cachelady/5376")</f>
        <v>Cachelady/5376</v>
      </c>
      <c r="K199" s="5" t="b">
        <v>1</v>
      </c>
      <c r="L199" s="7"/>
      <c r="M199" s="7"/>
    </row>
    <row r="200">
      <c r="A200" s="3" t="s">
        <v>318</v>
      </c>
      <c r="B200" s="3">
        <v>12.0</v>
      </c>
      <c r="C200" s="3">
        <v>29.0</v>
      </c>
      <c r="D200" s="4">
        <v>49.1878291324935</v>
      </c>
      <c r="E200" s="4">
        <v>-2.0913139277759</v>
      </c>
      <c r="F200" s="3" t="s">
        <v>69</v>
      </c>
      <c r="G200" s="3" t="s">
        <v>70</v>
      </c>
      <c r="H200" s="5"/>
      <c r="I200" s="5"/>
      <c r="J200" s="7" t="str">
        <f>IFERROR(__xludf.DUMMYFUNCTION("IF(AND(REGEXMATCH($H200,""50( ?['fF]([oO]{2})?[tT]?)?( ?[eE][rR]{2}[oO][rR])"")=FALSE,$H200&lt;&gt;"""",$I200&lt;&gt;""""),HYPERLINK(""https://www.munzee.com/m/""&amp;$H200&amp;""/""&amp;$I200&amp;""/map/?lat=""&amp;$D200&amp;""&amp;lon=""&amp;$E200&amp;""&amp;type=""&amp;$G200&amp;""&amp;name=""&amp;SUBSTITUTE($A200,""#"&amp;""",""%23""),$H200&amp;""/""&amp;$I200),IF($H200&lt;&gt;"""",IF(REGEXMATCH($H200,""50( ?['fF]([oO]{2})?[tT]?)?( ?[eE][rR]{2}[oO][rR])""),HYPERLINK(""https://www.munzee.com/map/?sandbox=1&amp;lat=""&amp;$D200&amp;""&amp;lon=""&amp;$E200&amp;""&amp;name=""&amp;SUBSTITUTE($A200,""#"",""%23""),""SANDBOX"""&amp;"),HYPERLINK(""https://www.munzee.com/m/""&amp;$H200&amp;""/deploys/0/type/""&amp;IFNA(VLOOKUP($G200,IMPORTRANGE(""https://docs.google.com/spreadsheets/d/1DliIGyDywdzxhd4svtjaewR0p9Y5UBTMNMQ2PcXsqss"",""type data!E2:F""),2,FALSE),$G200)&amp;""/"",$H200)),""""))"),"")</f>
        <v/>
      </c>
      <c r="K200" s="5" t="b">
        <v>0</v>
      </c>
      <c r="L200" s="7"/>
      <c r="M200" s="7"/>
    </row>
    <row r="201">
      <c r="A201" s="3" t="s">
        <v>319</v>
      </c>
      <c r="B201" s="3">
        <v>12.0</v>
      </c>
      <c r="C201" s="3">
        <v>30.0</v>
      </c>
      <c r="D201" s="4">
        <v>49.1877274996164</v>
      </c>
      <c r="E201" s="4">
        <v>-2.0911584267699</v>
      </c>
      <c r="F201" s="3" t="s">
        <v>33</v>
      </c>
      <c r="G201" s="3" t="s">
        <v>34</v>
      </c>
      <c r="H201" s="5"/>
      <c r="I201" s="5"/>
      <c r="J201" s="7" t="str">
        <f>IFERROR(__xludf.DUMMYFUNCTION("IF(AND(REGEXMATCH($H201,""50( ?['fF]([oO]{2})?[tT]?)?( ?[eE][rR]{2}[oO][rR])"")=FALSE,$H201&lt;&gt;"""",$I201&lt;&gt;""""),HYPERLINK(""https://www.munzee.com/m/""&amp;$H201&amp;""/""&amp;$I201&amp;""/map/?lat=""&amp;$D201&amp;""&amp;lon=""&amp;$E201&amp;""&amp;type=""&amp;$G201&amp;""&amp;name=""&amp;SUBSTITUTE($A201,""#"&amp;""",""%23""),$H201&amp;""/""&amp;$I201),IF($H201&lt;&gt;"""",IF(REGEXMATCH($H201,""50( ?['fF]([oO]{2})?[tT]?)?( ?[eE][rR]{2}[oO][rR])""),HYPERLINK(""https://www.munzee.com/map/?sandbox=1&amp;lat=""&amp;$D201&amp;""&amp;lon=""&amp;$E201&amp;""&amp;name=""&amp;SUBSTITUTE($A201,""#"",""%23""),""SANDBOX"""&amp;"),HYPERLINK(""https://www.munzee.com/m/""&amp;$H201&amp;""/deploys/0/type/""&amp;IFNA(VLOOKUP($G201,IMPORTRANGE(""https://docs.google.com/spreadsheets/d/1DliIGyDywdzxhd4svtjaewR0p9Y5UBTMNMQ2PcXsqss"",""type data!E2:F""),2,FALSE),$G201)&amp;""/"",$H201)),""""))"),"")</f>
        <v/>
      </c>
      <c r="K201" s="5" t="b">
        <v>0</v>
      </c>
      <c r="L201" s="7"/>
      <c r="M201" s="7"/>
    </row>
    <row r="202">
      <c r="A202" s="3" t="s">
        <v>320</v>
      </c>
      <c r="B202" s="3">
        <v>13.0</v>
      </c>
      <c r="C202" s="3">
        <v>2.0</v>
      </c>
      <c r="D202" s="4">
        <v>49.1904715872964</v>
      </c>
      <c r="E202" s="4">
        <v>-2.0956680948992</v>
      </c>
      <c r="F202" s="3" t="s">
        <v>127</v>
      </c>
      <c r="G202" s="3" t="s">
        <v>128</v>
      </c>
      <c r="H202" s="5"/>
      <c r="I202" s="5"/>
      <c r="J202" s="7" t="str">
        <f>IFERROR(__xludf.DUMMYFUNCTION("IF(AND(REGEXMATCH($H202,""50( ?['fF]([oO]{2})?[tT]?)?( ?[eE][rR]{2}[oO][rR])"")=FALSE,$H202&lt;&gt;"""",$I202&lt;&gt;""""),HYPERLINK(""https://www.munzee.com/m/""&amp;$H202&amp;""/""&amp;$I202&amp;""/map/?lat=""&amp;$D202&amp;""&amp;lon=""&amp;$E202&amp;""&amp;type=""&amp;$G202&amp;""&amp;name=""&amp;SUBSTITUTE($A202,""#"&amp;""",""%23""),$H202&amp;""/""&amp;$I202),IF($H202&lt;&gt;"""",IF(REGEXMATCH($H202,""50( ?['fF]([oO]{2})?[tT]?)?( ?[eE][rR]{2}[oO][rR])""),HYPERLINK(""https://www.munzee.com/map/?sandbox=1&amp;lat=""&amp;$D202&amp;""&amp;lon=""&amp;$E202&amp;""&amp;name=""&amp;SUBSTITUTE($A202,""#"",""%23""),""SANDBOX"""&amp;"),HYPERLINK(""https://www.munzee.com/m/""&amp;$H202&amp;""/deploys/0/type/""&amp;IFNA(VLOOKUP($G202,IMPORTRANGE(""https://docs.google.com/spreadsheets/d/1DliIGyDywdzxhd4svtjaewR0p9Y5UBTMNMQ2PcXsqss"",""type data!E2:F""),2,FALSE),$G202)&amp;""/"",$H202)),""""))"),"")</f>
        <v/>
      </c>
      <c r="K202" s="5" t="b">
        <v>0</v>
      </c>
      <c r="L202" s="7"/>
      <c r="M202" s="7"/>
    </row>
    <row r="203">
      <c r="A203" s="3" t="s">
        <v>321</v>
      </c>
      <c r="B203" s="3">
        <v>13.0</v>
      </c>
      <c r="C203" s="3">
        <v>3.0</v>
      </c>
      <c r="D203" s="4">
        <v>49.1903699544194</v>
      </c>
      <c r="E203" s="4">
        <v>-2.0955125855878</v>
      </c>
      <c r="F203" s="3" t="s">
        <v>151</v>
      </c>
      <c r="G203" s="3" t="s">
        <v>152</v>
      </c>
      <c r="H203" s="5" t="s">
        <v>55</v>
      </c>
      <c r="I203" s="5">
        <v>598.0</v>
      </c>
      <c r="J203" s="6" t="str">
        <f>IFERROR(__xludf.DUMMYFUNCTION("IF(AND(REGEXMATCH($H203,""50( ?['fF]([oO]{2})?[tT]?)?( ?[eE][rR]{2}[oO][rR])"")=FALSE,$H203&lt;&gt;"""",$I203&lt;&gt;""""),HYPERLINK(""https://www.munzee.com/m/""&amp;$H203&amp;""/""&amp;$I203&amp;""/map/?lat=""&amp;$D203&amp;""&amp;lon=""&amp;$E203&amp;""&amp;type=""&amp;$G203&amp;""&amp;name=""&amp;SUBSTITUTE($A203,""#"&amp;""",""%23""),$H203&amp;""/""&amp;$I203),IF($H203&lt;&gt;"""",IF(REGEXMATCH($H203,""50( ?['fF]([oO]{2})?[tT]?)?( ?[eE][rR]{2}[oO][rR])""),HYPERLINK(""https://www.munzee.com/map/?sandbox=1&amp;lat=""&amp;$D203&amp;""&amp;lon=""&amp;$E203&amp;""&amp;name=""&amp;SUBSTITUTE($A203,""#"",""%23""),""SANDBOX"""&amp;"),HYPERLINK(""https://www.munzee.com/m/""&amp;$H203&amp;""/deploys/0/type/""&amp;IFNA(VLOOKUP($G203,IMPORTRANGE(""https://docs.google.com/spreadsheets/d/1DliIGyDywdzxhd4svtjaewR0p9Y5UBTMNMQ2PcXsqss"",""type data!E2:F""),2,FALSE),$G203)&amp;""/"",$H203)),""""))"),"Miaiow/598")</f>
        <v>Miaiow/598</v>
      </c>
      <c r="K203" s="5" t="b">
        <v>0</v>
      </c>
      <c r="L203" s="5" t="s">
        <v>322</v>
      </c>
      <c r="M203" s="7"/>
    </row>
    <row r="204">
      <c r="A204" s="3" t="s">
        <v>323</v>
      </c>
      <c r="B204" s="3">
        <v>13.0</v>
      </c>
      <c r="C204" s="3">
        <v>4.0</v>
      </c>
      <c r="D204" s="4">
        <v>49.1902683215423</v>
      </c>
      <c r="E204" s="4">
        <v>-2.0953570765959</v>
      </c>
      <c r="F204" s="3" t="s">
        <v>122</v>
      </c>
      <c r="G204" s="3" t="s">
        <v>123</v>
      </c>
      <c r="H204" s="5"/>
      <c r="I204" s="5"/>
      <c r="J204" s="7" t="str">
        <f>IFERROR(__xludf.DUMMYFUNCTION("IF(AND(REGEXMATCH($H204,""50( ?['fF]([oO]{2})?[tT]?)?( ?[eE][rR]{2}[oO][rR])"")=FALSE,$H204&lt;&gt;"""",$I204&lt;&gt;""""),HYPERLINK(""https://www.munzee.com/m/""&amp;$H204&amp;""/""&amp;$I204&amp;""/map/?lat=""&amp;$D204&amp;""&amp;lon=""&amp;$E204&amp;""&amp;type=""&amp;$G204&amp;""&amp;name=""&amp;SUBSTITUTE($A204,""#"&amp;""",""%23""),$H204&amp;""/""&amp;$I204),IF($H204&lt;&gt;"""",IF(REGEXMATCH($H204,""50( ?['fF]([oO]{2})?[tT]?)?( ?[eE][rR]{2}[oO][rR])""),HYPERLINK(""https://www.munzee.com/map/?sandbox=1&amp;lat=""&amp;$D204&amp;""&amp;lon=""&amp;$E204&amp;""&amp;name=""&amp;SUBSTITUTE($A204,""#"",""%23""),""SANDBOX"""&amp;"),HYPERLINK(""https://www.munzee.com/m/""&amp;$H204&amp;""/deploys/0/type/""&amp;IFNA(VLOOKUP($G204,IMPORTRANGE(""https://docs.google.com/spreadsheets/d/1DliIGyDywdzxhd4svtjaewR0p9Y5UBTMNMQ2PcXsqss"",""type data!E2:F""),2,FALSE),$G204)&amp;""/"",$H204)),""""))"),"")</f>
        <v/>
      </c>
      <c r="K204" s="5" t="b">
        <v>0</v>
      </c>
      <c r="L204" s="7"/>
      <c r="M204" s="7"/>
    </row>
    <row r="205">
      <c r="A205" s="3" t="s">
        <v>324</v>
      </c>
      <c r="B205" s="3">
        <v>13.0</v>
      </c>
      <c r="C205" s="3">
        <v>5.0</v>
      </c>
      <c r="D205" s="4">
        <v>49.1901666886653</v>
      </c>
      <c r="E205" s="4">
        <v>-2.0952015679234</v>
      </c>
      <c r="F205" s="3" t="s">
        <v>122</v>
      </c>
      <c r="G205" s="3" t="s">
        <v>123</v>
      </c>
      <c r="H205" s="5" t="s">
        <v>140</v>
      </c>
      <c r="I205" s="5">
        <v>1985.0</v>
      </c>
      <c r="J205" s="6" t="str">
        <f>IFERROR(__xludf.DUMMYFUNCTION("IF(AND(REGEXMATCH($H205,""50( ?['fF]([oO]{2})?[tT]?)?( ?[eE][rR]{2}[oO][rR])"")=FALSE,$H205&lt;&gt;"""",$I205&lt;&gt;""""),HYPERLINK(""https://www.munzee.com/m/""&amp;$H205&amp;""/""&amp;$I205&amp;""/map/?lat=""&amp;$D205&amp;""&amp;lon=""&amp;$E205&amp;""&amp;type=""&amp;$G205&amp;""&amp;name=""&amp;SUBSTITUTE($A205,""#"&amp;""",""%23""),$H205&amp;""/""&amp;$I205),IF($H205&lt;&gt;"""",IF(REGEXMATCH($H205,""50( ?['fF]([oO]{2})?[tT]?)?( ?[eE][rR]{2}[oO][rR])""),HYPERLINK(""https://www.munzee.com/map/?sandbox=1&amp;lat=""&amp;$D205&amp;""&amp;lon=""&amp;$E205&amp;""&amp;name=""&amp;SUBSTITUTE($A205,""#"",""%23""),""SANDBOX"""&amp;"),HYPERLINK(""https://www.munzee.com/m/""&amp;$H205&amp;""/deploys/0/type/""&amp;IFNA(VLOOKUP($G205,IMPORTRANGE(""https://docs.google.com/spreadsheets/d/1DliIGyDywdzxhd4svtjaewR0p9Y5UBTMNMQ2PcXsqss"",""type data!E2:F""),2,FALSE),$G205)&amp;""/"",$H205)),""""))"),"cpmunz/1985")</f>
        <v>cpmunz/1985</v>
      </c>
      <c r="K205" s="5" t="b">
        <v>1</v>
      </c>
      <c r="L205" s="7"/>
      <c r="M205" s="7"/>
    </row>
    <row r="206">
      <c r="A206" s="3" t="s">
        <v>325</v>
      </c>
      <c r="B206" s="3">
        <v>13.0</v>
      </c>
      <c r="C206" s="3">
        <v>6.0</v>
      </c>
      <c r="D206" s="4">
        <v>49.1900650557883</v>
      </c>
      <c r="E206" s="4">
        <v>-2.0950460595703</v>
      </c>
      <c r="F206" s="3" t="s">
        <v>204</v>
      </c>
      <c r="G206" s="3" t="s">
        <v>205</v>
      </c>
      <c r="H206" s="5"/>
      <c r="I206" s="5"/>
      <c r="J206" s="7" t="str">
        <f>IFERROR(__xludf.DUMMYFUNCTION("IF(AND(REGEXMATCH($H206,""50( ?['fF]([oO]{2})?[tT]?)?( ?[eE][rR]{2}[oO][rR])"")=FALSE,$H206&lt;&gt;"""",$I206&lt;&gt;""""),HYPERLINK(""https://www.munzee.com/m/""&amp;$H206&amp;""/""&amp;$I206&amp;""/map/?lat=""&amp;$D206&amp;""&amp;lon=""&amp;$E206&amp;""&amp;type=""&amp;$G206&amp;""&amp;name=""&amp;SUBSTITUTE($A206,""#"&amp;""",""%23""),$H206&amp;""/""&amp;$I206),IF($H206&lt;&gt;"""",IF(REGEXMATCH($H206,""50( ?['fF]([oO]{2})?[tT]?)?( ?[eE][rR]{2}[oO][rR])""),HYPERLINK(""https://www.munzee.com/map/?sandbox=1&amp;lat=""&amp;$D206&amp;""&amp;lon=""&amp;$E206&amp;""&amp;name=""&amp;SUBSTITUTE($A206,""#"",""%23""),""SANDBOX"""&amp;"),HYPERLINK(""https://www.munzee.com/m/""&amp;$H206&amp;""/deploys/0/type/""&amp;IFNA(VLOOKUP($G206,IMPORTRANGE(""https://docs.google.com/spreadsheets/d/1DliIGyDywdzxhd4svtjaewR0p9Y5UBTMNMQ2PcXsqss"",""type data!E2:F""),2,FALSE),$G206)&amp;""/"",$H206)),""""))"),"")</f>
        <v/>
      </c>
      <c r="K206" s="5" t="b">
        <v>0</v>
      </c>
      <c r="L206" s="7"/>
      <c r="M206" s="7"/>
    </row>
    <row r="207">
      <c r="A207" s="3" t="s">
        <v>326</v>
      </c>
      <c r="B207" s="3">
        <v>13.0</v>
      </c>
      <c r="C207" s="3">
        <v>7.0</v>
      </c>
      <c r="D207" s="4">
        <v>49.1899634229112</v>
      </c>
      <c r="E207" s="4">
        <v>-2.0948905515368</v>
      </c>
      <c r="F207" s="3" t="s">
        <v>226</v>
      </c>
      <c r="G207" s="3" t="s">
        <v>227</v>
      </c>
      <c r="H207" s="5" t="s">
        <v>327</v>
      </c>
      <c r="I207" s="5">
        <v>4445.0</v>
      </c>
      <c r="J207" s="6" t="str">
        <f>IFERROR(__xludf.DUMMYFUNCTION("IF(AND(REGEXMATCH($H207,""50( ?['fF]([oO]{2})?[tT]?)?( ?[eE][rR]{2}[oO][rR])"")=FALSE,$H207&lt;&gt;"""",$I207&lt;&gt;""""),HYPERLINK(""https://www.munzee.com/m/""&amp;$H207&amp;""/""&amp;$I207&amp;""/map/?lat=""&amp;$D207&amp;""&amp;lon=""&amp;$E207&amp;""&amp;type=""&amp;$G207&amp;""&amp;name=""&amp;SUBSTITUTE($A207,""#"&amp;""",""%23""),$H207&amp;""/""&amp;$I207),IF($H207&lt;&gt;"""",IF(REGEXMATCH($H207,""50( ?['fF]([oO]{2})?[tT]?)?( ?[eE][rR]{2}[oO][rR])""),HYPERLINK(""https://www.munzee.com/map/?sandbox=1&amp;lat=""&amp;$D207&amp;""&amp;lon=""&amp;$E207&amp;""&amp;name=""&amp;SUBSTITUTE($A207,""#"",""%23""),""SANDBOX"""&amp;"),HYPERLINK(""https://www.munzee.com/m/""&amp;$H207&amp;""/deploys/0/type/""&amp;IFNA(VLOOKUP($G207,IMPORTRANGE(""https://docs.google.com/spreadsheets/d/1DliIGyDywdzxhd4svtjaewR0p9Y5UBTMNMQ2PcXsqss"",""type data!E2:F""),2,FALSE),$G207)&amp;""/"",$H207)),""""))"),"TheJenks7/4445")</f>
        <v>TheJenks7/4445</v>
      </c>
      <c r="K207" s="5" t="b">
        <v>1</v>
      </c>
      <c r="L207" s="7"/>
      <c r="M207" s="7"/>
    </row>
    <row r="208">
      <c r="A208" s="3" t="s">
        <v>328</v>
      </c>
      <c r="B208" s="3">
        <v>13.0</v>
      </c>
      <c r="C208" s="3">
        <v>11.0</v>
      </c>
      <c r="D208" s="4">
        <v>49.189556891403</v>
      </c>
      <c r="E208" s="4">
        <v>-2.0942685225966</v>
      </c>
      <c r="F208" s="3" t="s">
        <v>329</v>
      </c>
      <c r="G208" s="3" t="s">
        <v>330</v>
      </c>
      <c r="H208" s="5"/>
      <c r="I208" s="5"/>
      <c r="J208" s="7" t="str">
        <f>IFERROR(__xludf.DUMMYFUNCTION("IF(AND(REGEXMATCH($H208,""50( ?['fF]([oO]{2})?[tT]?)?( ?[eE][rR]{2}[oO][rR])"")=FALSE,$H208&lt;&gt;"""",$I208&lt;&gt;""""),HYPERLINK(""https://www.munzee.com/m/""&amp;$H208&amp;""/""&amp;$I208&amp;""/map/?lat=""&amp;$D208&amp;""&amp;lon=""&amp;$E208&amp;""&amp;type=""&amp;$G208&amp;""&amp;name=""&amp;SUBSTITUTE($A208,""#"&amp;""",""%23""),$H208&amp;""/""&amp;$I208),IF($H208&lt;&gt;"""",IF(REGEXMATCH($H208,""50( ?['fF]([oO]{2})?[tT]?)?( ?[eE][rR]{2}[oO][rR])""),HYPERLINK(""https://www.munzee.com/map/?sandbox=1&amp;lat=""&amp;$D208&amp;""&amp;lon=""&amp;$E208&amp;""&amp;name=""&amp;SUBSTITUTE($A208,""#"",""%23""),""SANDBOX"""&amp;"),HYPERLINK(""https://www.munzee.com/m/""&amp;$H208&amp;""/deploys/0/type/""&amp;IFNA(VLOOKUP($G208,IMPORTRANGE(""https://docs.google.com/spreadsheets/d/1DliIGyDywdzxhd4svtjaewR0p9Y5UBTMNMQ2PcXsqss"",""type data!E2:F""),2,FALSE),$G208)&amp;""/"",$H208)),""""))"),"")</f>
        <v/>
      </c>
      <c r="K208" s="5" t="b">
        <v>0</v>
      </c>
      <c r="L208" s="7"/>
      <c r="M208" s="7"/>
    </row>
    <row r="209">
      <c r="A209" s="3" t="s">
        <v>331</v>
      </c>
      <c r="B209" s="3">
        <v>13.0</v>
      </c>
      <c r="C209" s="3">
        <v>12.0</v>
      </c>
      <c r="D209" s="4">
        <v>49.189455258526</v>
      </c>
      <c r="E209" s="4">
        <v>-2.0941130161602</v>
      </c>
      <c r="F209" s="3" t="s">
        <v>296</v>
      </c>
      <c r="G209" s="3" t="s">
        <v>297</v>
      </c>
      <c r="H209" s="5" t="s">
        <v>332</v>
      </c>
      <c r="I209" s="5">
        <v>3981.0</v>
      </c>
      <c r="J209" s="6" t="str">
        <f>IFERROR(__xludf.DUMMYFUNCTION("IF(AND(REGEXMATCH($H209,""50( ?['fF]([oO]{2})?[tT]?)?( ?[eE][rR]{2}[oO][rR])"")=FALSE,$H209&lt;&gt;"""",$I209&lt;&gt;""""),HYPERLINK(""https://www.munzee.com/m/""&amp;$H209&amp;""/""&amp;$I209&amp;""/map/?lat=""&amp;$D209&amp;""&amp;lon=""&amp;$E209&amp;""&amp;type=""&amp;$G209&amp;""&amp;name=""&amp;SUBSTITUTE($A209,""#"&amp;""",""%23""),$H209&amp;""/""&amp;$I209),IF($H209&lt;&gt;"""",IF(REGEXMATCH($H209,""50( ?['fF]([oO]{2})?[tT]?)?( ?[eE][rR]{2}[oO][rR])""),HYPERLINK(""https://www.munzee.com/map/?sandbox=1&amp;lat=""&amp;$D209&amp;""&amp;lon=""&amp;$E209&amp;""&amp;name=""&amp;SUBSTITUTE($A209,""#"",""%23""),""SANDBOX"""&amp;"),HYPERLINK(""https://www.munzee.com/m/""&amp;$H209&amp;""/deploys/0/type/""&amp;IFNA(VLOOKUP($G209,IMPORTRANGE(""https://docs.google.com/spreadsheets/d/1DliIGyDywdzxhd4svtjaewR0p9Y5UBTMNMQ2PcXsqss"",""type data!E2:F""),2,FALSE),$G209)&amp;""/"",$H209)),""""))"),"lanyasummer/3981")</f>
        <v>lanyasummer/3981</v>
      </c>
      <c r="K209" s="5" t="b">
        <v>1</v>
      </c>
      <c r="L209" s="7"/>
      <c r="M209" s="7"/>
    </row>
    <row r="210">
      <c r="A210" s="3" t="s">
        <v>333</v>
      </c>
      <c r="B210" s="3">
        <v>13.0</v>
      </c>
      <c r="C210" s="3">
        <v>13.0</v>
      </c>
      <c r="D210" s="4">
        <v>49.189353625649</v>
      </c>
      <c r="E210" s="4">
        <v>-2.0939575100433</v>
      </c>
      <c r="F210" s="3" t="s">
        <v>296</v>
      </c>
      <c r="G210" s="3" t="s">
        <v>297</v>
      </c>
      <c r="H210" s="5" t="s">
        <v>334</v>
      </c>
      <c r="I210" s="5">
        <v>4446.0</v>
      </c>
      <c r="J210" s="6" t="str">
        <f>IFERROR(__xludf.DUMMYFUNCTION("IF(AND(REGEXMATCH($H210,""50( ?['fF]([oO]{2})?[tT]?)?( ?[eE][rR]{2}[oO][rR])"")=FALSE,$H210&lt;&gt;"""",$I210&lt;&gt;""""),HYPERLINK(""https://www.munzee.com/m/""&amp;$H210&amp;""/""&amp;$I210&amp;""/map/?lat=""&amp;$D210&amp;""&amp;lon=""&amp;$E210&amp;""&amp;type=""&amp;$G210&amp;""&amp;name=""&amp;SUBSTITUTE($A210,""#"&amp;""",""%23""),$H210&amp;""/""&amp;$I210),IF($H210&lt;&gt;"""",IF(REGEXMATCH($H210,""50( ?['fF]([oO]{2})?[tT]?)?( ?[eE][rR]{2}[oO][rR])""),HYPERLINK(""https://www.munzee.com/map/?sandbox=1&amp;lat=""&amp;$D210&amp;""&amp;lon=""&amp;$E210&amp;""&amp;name=""&amp;SUBSTITUTE($A210,""#"",""%23""),""SANDBOX"""&amp;"),HYPERLINK(""https://www.munzee.com/m/""&amp;$H210&amp;""/deploys/0/type/""&amp;IFNA(VLOOKUP($G210,IMPORTRANGE(""https://docs.google.com/spreadsheets/d/1DliIGyDywdzxhd4svtjaewR0p9Y5UBTMNMQ2PcXsqss"",""type data!E2:F""),2,FALSE),$G210)&amp;""/"",$H210)),""""))"),"BonnieB1/4446")</f>
        <v>BonnieB1/4446</v>
      </c>
      <c r="K210" s="5" t="b">
        <v>1</v>
      </c>
      <c r="L210" s="7"/>
      <c r="M210" s="7"/>
    </row>
    <row r="211">
      <c r="A211" s="3" t="s">
        <v>335</v>
      </c>
      <c r="B211" s="3">
        <v>13.0</v>
      </c>
      <c r="C211" s="3">
        <v>14.0</v>
      </c>
      <c r="D211" s="4">
        <v>49.1892519927719</v>
      </c>
      <c r="E211" s="4">
        <v>-2.0938020042458</v>
      </c>
      <c r="F211" s="3" t="s">
        <v>296</v>
      </c>
      <c r="G211" s="3" t="s">
        <v>297</v>
      </c>
      <c r="H211" s="5" t="s">
        <v>336</v>
      </c>
      <c r="I211" s="17">
        <v>908.0</v>
      </c>
      <c r="J211" s="6" t="str">
        <f>IFERROR(__xludf.DUMMYFUNCTION("IF(AND(REGEXMATCH($H211,""50( ?['fF]([oO]{2})?[tT]?)?( ?[eE][rR]{2}[oO][rR])"")=FALSE,$H211&lt;&gt;"""",$I211&lt;&gt;""""),HYPERLINK(""https://www.munzee.com/m/""&amp;$H211&amp;""/""&amp;$I211&amp;""/map/?lat=""&amp;$D211&amp;""&amp;lon=""&amp;$E211&amp;""&amp;type=""&amp;$G211&amp;""&amp;name=""&amp;SUBSTITUTE($A211,""#"&amp;""",""%23""),$H211&amp;""/""&amp;$I211),IF($H211&lt;&gt;"""",IF(REGEXMATCH($H211,""50( ?['fF]([oO]{2})?[tT]?)?( ?[eE][rR]{2}[oO][rR])""),HYPERLINK(""https://www.munzee.com/map/?sandbox=1&amp;lat=""&amp;$D211&amp;""&amp;lon=""&amp;$E211&amp;""&amp;name=""&amp;SUBSTITUTE($A211,""#"",""%23""),""SANDBOX"""&amp;"),HYPERLINK(""https://www.munzee.com/m/""&amp;$H211&amp;""/deploys/0/type/""&amp;IFNA(VLOOKUP($G211,IMPORTRANGE(""https://docs.google.com/spreadsheets/d/1DliIGyDywdzxhd4svtjaewR0p9Y5UBTMNMQ2PcXsqss"",""type data!E2:F""),2,FALSE),$G211)&amp;""/"",$H211)),""""))"),"90mile/908")</f>
        <v>90mile/908</v>
      </c>
      <c r="K211" s="5" t="b">
        <v>1</v>
      </c>
      <c r="L211" s="7"/>
      <c r="M211" s="7"/>
    </row>
    <row r="212">
      <c r="A212" s="3" t="s">
        <v>337</v>
      </c>
      <c r="B212" s="3">
        <v>13.0</v>
      </c>
      <c r="C212" s="3">
        <v>15.0</v>
      </c>
      <c r="D212" s="4">
        <v>49.1891503598949</v>
      </c>
      <c r="E212" s="4">
        <v>-2.0936464987678</v>
      </c>
      <c r="F212" s="3" t="s">
        <v>69</v>
      </c>
      <c r="G212" s="3" t="s">
        <v>70</v>
      </c>
      <c r="H212" s="5"/>
      <c r="I212" s="5"/>
      <c r="J212" s="7" t="str">
        <f>IFERROR(__xludf.DUMMYFUNCTION("IF(AND(REGEXMATCH($H212,""50( ?['fF]([oO]{2})?[tT]?)?( ?[eE][rR]{2}[oO][rR])"")=FALSE,$H212&lt;&gt;"""",$I212&lt;&gt;""""),HYPERLINK(""https://www.munzee.com/m/""&amp;$H212&amp;""/""&amp;$I212&amp;""/map/?lat=""&amp;$D212&amp;""&amp;lon=""&amp;$E212&amp;""&amp;type=""&amp;$G212&amp;""&amp;name=""&amp;SUBSTITUTE($A212,""#"&amp;""",""%23""),$H212&amp;""/""&amp;$I212),IF($H212&lt;&gt;"""",IF(REGEXMATCH($H212,""50( ?['fF]([oO]{2})?[tT]?)?( ?[eE][rR]{2}[oO][rR])""),HYPERLINK(""https://www.munzee.com/map/?sandbox=1&amp;lat=""&amp;$D212&amp;""&amp;lon=""&amp;$E212&amp;""&amp;name=""&amp;SUBSTITUTE($A212,""#"",""%23""),""SANDBOX"""&amp;"),HYPERLINK(""https://www.munzee.com/m/""&amp;$H212&amp;""/deploys/0/type/""&amp;IFNA(VLOOKUP($G212,IMPORTRANGE(""https://docs.google.com/spreadsheets/d/1DliIGyDywdzxhd4svtjaewR0p9Y5UBTMNMQ2PcXsqss"",""type data!E2:F""),2,FALSE),$G212)&amp;""/"",$H212)),""""))"),"")</f>
        <v/>
      </c>
      <c r="K212" s="5" t="b">
        <v>0</v>
      </c>
      <c r="L212" s="7"/>
      <c r="M212" s="7"/>
    </row>
    <row r="213">
      <c r="A213" s="3" t="s">
        <v>338</v>
      </c>
      <c r="B213" s="3">
        <v>13.0</v>
      </c>
      <c r="C213" s="3">
        <v>16.0</v>
      </c>
      <c r="D213" s="4">
        <v>49.1890487270179</v>
      </c>
      <c r="E213" s="4">
        <v>-2.0934909936093</v>
      </c>
      <c r="F213" s="3" t="s">
        <v>339</v>
      </c>
      <c r="G213" s="3" t="s">
        <v>340</v>
      </c>
      <c r="H213" s="5"/>
      <c r="I213" s="5"/>
      <c r="J213" s="7" t="str">
        <f>IFERROR(__xludf.DUMMYFUNCTION("IF(AND(REGEXMATCH($H213,""50( ?['fF]([oO]{2})?[tT]?)?( ?[eE][rR]{2}[oO][rR])"")=FALSE,$H213&lt;&gt;"""",$I213&lt;&gt;""""),HYPERLINK(""https://www.munzee.com/m/""&amp;$H213&amp;""/""&amp;$I213&amp;""/map/?lat=""&amp;$D213&amp;""&amp;lon=""&amp;$E213&amp;""&amp;type=""&amp;$G213&amp;""&amp;name=""&amp;SUBSTITUTE($A213,""#"&amp;""",""%23""),$H213&amp;""/""&amp;$I213),IF($H213&lt;&gt;"""",IF(REGEXMATCH($H213,""50( ?['fF]([oO]{2})?[tT]?)?( ?[eE][rR]{2}[oO][rR])""),HYPERLINK(""https://www.munzee.com/map/?sandbox=1&amp;lat=""&amp;$D213&amp;""&amp;lon=""&amp;$E213&amp;""&amp;name=""&amp;SUBSTITUTE($A213,""#"",""%23""),""SANDBOX"""&amp;"),HYPERLINK(""https://www.munzee.com/m/""&amp;$H213&amp;""/deploys/0/type/""&amp;IFNA(VLOOKUP($G213,IMPORTRANGE(""https://docs.google.com/spreadsheets/d/1DliIGyDywdzxhd4svtjaewR0p9Y5UBTMNMQ2PcXsqss"",""type data!E2:F""),2,FALSE),$G213)&amp;""/"",$H213)),""""))"),"")</f>
        <v/>
      </c>
      <c r="K213" s="5" t="b">
        <v>0</v>
      </c>
      <c r="L213" s="7"/>
      <c r="M213" s="7"/>
    </row>
    <row r="214">
      <c r="A214" s="3" t="s">
        <v>341</v>
      </c>
      <c r="B214" s="3">
        <v>13.0</v>
      </c>
      <c r="C214" s="3">
        <v>17.0</v>
      </c>
      <c r="D214" s="4">
        <v>49.1889470941408</v>
      </c>
      <c r="E214" s="4">
        <v>-2.0933354887702</v>
      </c>
      <c r="F214" s="3" t="s">
        <v>339</v>
      </c>
      <c r="G214" s="3" t="s">
        <v>340</v>
      </c>
      <c r="H214" s="5"/>
      <c r="I214" s="5"/>
      <c r="J214" s="7" t="str">
        <f>IFERROR(__xludf.DUMMYFUNCTION("IF(AND(REGEXMATCH($H214,""50( ?['fF]([oO]{2})?[tT]?)?( ?[eE][rR]{2}[oO][rR])"")=FALSE,$H214&lt;&gt;"""",$I214&lt;&gt;""""),HYPERLINK(""https://www.munzee.com/m/""&amp;$H214&amp;""/""&amp;$I214&amp;""/map/?lat=""&amp;$D214&amp;""&amp;lon=""&amp;$E214&amp;""&amp;type=""&amp;$G214&amp;""&amp;name=""&amp;SUBSTITUTE($A214,""#"&amp;""",""%23""),$H214&amp;""/""&amp;$I214),IF($H214&lt;&gt;"""",IF(REGEXMATCH($H214,""50( ?['fF]([oO]{2})?[tT]?)?( ?[eE][rR]{2}[oO][rR])""),HYPERLINK(""https://www.munzee.com/map/?sandbox=1&amp;lat=""&amp;$D214&amp;""&amp;lon=""&amp;$E214&amp;""&amp;name=""&amp;SUBSTITUTE($A214,""#"",""%23""),""SANDBOX"""&amp;"),HYPERLINK(""https://www.munzee.com/m/""&amp;$H214&amp;""/deploys/0/type/""&amp;IFNA(VLOOKUP($G214,IMPORTRANGE(""https://docs.google.com/spreadsheets/d/1DliIGyDywdzxhd4svtjaewR0p9Y5UBTMNMQ2PcXsqss"",""type data!E2:F""),2,FALSE),$G214)&amp;""/"",$H214)),""""))"),"")</f>
        <v/>
      </c>
      <c r="K214" s="5" t="b">
        <v>0</v>
      </c>
      <c r="L214" s="7"/>
      <c r="M214" s="7"/>
    </row>
    <row r="215">
      <c r="A215" s="3" t="s">
        <v>342</v>
      </c>
      <c r="B215" s="3">
        <v>13.0</v>
      </c>
      <c r="C215" s="3">
        <v>18.0</v>
      </c>
      <c r="D215" s="4">
        <v>49.1888454612638</v>
      </c>
      <c r="E215" s="4">
        <v>-2.0931799842505</v>
      </c>
      <c r="F215" s="3" t="s">
        <v>69</v>
      </c>
      <c r="G215" s="3" t="s">
        <v>70</v>
      </c>
      <c r="H215" s="5"/>
      <c r="I215" s="5"/>
      <c r="J215" s="7" t="str">
        <f>IFERROR(__xludf.DUMMYFUNCTION("IF(AND(REGEXMATCH($H215,""50( ?['fF]([oO]{2})?[tT]?)?( ?[eE][rR]{2}[oO][rR])"")=FALSE,$H215&lt;&gt;"""",$I215&lt;&gt;""""),HYPERLINK(""https://www.munzee.com/m/""&amp;$H215&amp;""/""&amp;$I215&amp;""/map/?lat=""&amp;$D215&amp;""&amp;lon=""&amp;$E215&amp;""&amp;type=""&amp;$G215&amp;""&amp;name=""&amp;SUBSTITUTE($A215,""#"&amp;""",""%23""),$H215&amp;""/""&amp;$I215),IF($H215&lt;&gt;"""",IF(REGEXMATCH($H215,""50( ?['fF]([oO]{2})?[tT]?)?( ?[eE][rR]{2}[oO][rR])""),HYPERLINK(""https://www.munzee.com/map/?sandbox=1&amp;lat=""&amp;$D215&amp;""&amp;lon=""&amp;$E215&amp;""&amp;name=""&amp;SUBSTITUTE($A215,""#"",""%23""),""SANDBOX"""&amp;"),HYPERLINK(""https://www.munzee.com/m/""&amp;$H215&amp;""/deploys/0/type/""&amp;IFNA(VLOOKUP($G215,IMPORTRANGE(""https://docs.google.com/spreadsheets/d/1DliIGyDywdzxhd4svtjaewR0p9Y5UBTMNMQ2PcXsqss"",""type data!E2:F""),2,FALSE),$G215)&amp;""/"",$H215)),""""))"),"")</f>
        <v/>
      </c>
      <c r="K215" s="5" t="b">
        <v>0</v>
      </c>
      <c r="L215" s="7"/>
      <c r="M215" s="7"/>
    </row>
    <row r="216">
      <c r="A216" s="3" t="s">
        <v>343</v>
      </c>
      <c r="B216" s="3">
        <v>13.0</v>
      </c>
      <c r="C216" s="3">
        <v>19.0</v>
      </c>
      <c r="D216" s="4">
        <v>49.1887438283868</v>
      </c>
      <c r="E216" s="4">
        <v>-2.0930244800502</v>
      </c>
      <c r="F216" s="3" t="s">
        <v>296</v>
      </c>
      <c r="G216" s="3" t="s">
        <v>297</v>
      </c>
      <c r="H216" s="18" t="s">
        <v>344</v>
      </c>
      <c r="I216" s="5">
        <v>1591.0</v>
      </c>
      <c r="J216" s="6" t="str">
        <f>IFERROR(__xludf.DUMMYFUNCTION("IF(AND(REGEXMATCH($H216,""50( ?['fF]([oO]{2})?[tT]?)?( ?[eE][rR]{2}[oO][rR])"")=FALSE,$H216&lt;&gt;"""",$I216&lt;&gt;""""),HYPERLINK(""https://www.munzee.com/m/""&amp;$H216&amp;""/""&amp;$I216&amp;""/map/?lat=""&amp;$D216&amp;""&amp;lon=""&amp;$E216&amp;""&amp;type=""&amp;$G216&amp;""&amp;name=""&amp;SUBSTITUTE($A216,""#"&amp;""",""%23""),$H216&amp;""/""&amp;$I216),IF($H216&lt;&gt;"""",IF(REGEXMATCH($H216,""50( ?['fF]([oO]{2})?[tT]?)?( ?[eE][rR]{2}[oO][rR])""),HYPERLINK(""https://www.munzee.com/map/?sandbox=1&amp;lat=""&amp;$D216&amp;""&amp;lon=""&amp;$E216&amp;""&amp;name=""&amp;SUBSTITUTE($A216,""#"",""%23""),""SANDBOX"""&amp;"),HYPERLINK(""https://www.munzee.com/m/""&amp;$H216&amp;""/deploys/0/type/""&amp;IFNA(VLOOKUP($G216,IMPORTRANGE(""https://docs.google.com/spreadsheets/d/1DliIGyDywdzxhd4svtjaewR0p9Y5UBTMNMQ2PcXsqss"",""type data!E2:F""),2,FALSE),$G216)&amp;""/"",$H216)),""""))"),"teamsturms/1591")</f>
        <v>teamsturms/1591</v>
      </c>
      <c r="K216" s="5" t="b">
        <v>1</v>
      </c>
      <c r="L216" s="5"/>
      <c r="M216" s="7"/>
    </row>
    <row r="217">
      <c r="A217" s="3" t="s">
        <v>345</v>
      </c>
      <c r="B217" s="3">
        <v>13.0</v>
      </c>
      <c r="C217" s="3">
        <v>20.0</v>
      </c>
      <c r="D217" s="4">
        <v>49.1886421955097</v>
      </c>
      <c r="E217" s="4">
        <v>-2.0928689761694</v>
      </c>
      <c r="F217" s="3" t="s">
        <v>296</v>
      </c>
      <c r="G217" s="3" t="s">
        <v>297</v>
      </c>
      <c r="H217" s="18" t="s">
        <v>346</v>
      </c>
      <c r="I217" s="5">
        <v>119.0</v>
      </c>
      <c r="J217" s="6" t="str">
        <f>IFERROR(__xludf.DUMMYFUNCTION("IF(AND(REGEXMATCH($H217,""50( ?['fF]([oO]{2})?[tT]?)?( ?[eE][rR]{2}[oO][rR])"")=FALSE,$H217&lt;&gt;"""",$I217&lt;&gt;""""),HYPERLINK(""https://www.munzee.com/m/""&amp;$H217&amp;""/""&amp;$I217&amp;""/map/?lat=""&amp;$D217&amp;""&amp;lon=""&amp;$E217&amp;""&amp;type=""&amp;$G217&amp;""&amp;name=""&amp;SUBSTITUTE($A217,""#"&amp;""",""%23""),$H217&amp;""/""&amp;$I217),IF($H217&lt;&gt;"""",IF(REGEXMATCH($H217,""50( ?['fF]([oO]{2})?[tT]?)?( ?[eE][rR]{2}[oO][rR])""),HYPERLINK(""https://www.munzee.com/map/?sandbox=1&amp;lat=""&amp;$D217&amp;""&amp;lon=""&amp;$E217&amp;""&amp;name=""&amp;SUBSTITUTE($A217,""#"",""%23""),""SANDBOX"""&amp;"),HYPERLINK(""https://www.munzee.com/m/""&amp;$H217&amp;""/deploys/0/type/""&amp;IFNA(VLOOKUP($G217,IMPORTRANGE(""https://docs.google.com/spreadsheets/d/1DliIGyDywdzxhd4svtjaewR0p9Y5UBTMNMQ2PcXsqss"",""type data!E2:F""),2,FALSE),$G217)&amp;""/"",$H217)),""""))"),"Franske/119")</f>
        <v>Franske/119</v>
      </c>
      <c r="K217" s="5" t="b">
        <v>1</v>
      </c>
      <c r="M217" s="7"/>
    </row>
    <row r="218">
      <c r="A218" s="3" t="s">
        <v>347</v>
      </c>
      <c r="B218" s="3">
        <v>13.0</v>
      </c>
      <c r="C218" s="3">
        <v>21.0</v>
      </c>
      <c r="D218" s="4">
        <v>49.1885405626327</v>
      </c>
      <c r="E218" s="4">
        <v>-2.092713472608</v>
      </c>
      <c r="F218" s="3" t="s">
        <v>329</v>
      </c>
      <c r="G218" s="3" t="s">
        <v>330</v>
      </c>
      <c r="H218" s="5"/>
      <c r="I218" s="5"/>
      <c r="J218" s="7" t="str">
        <f>IFERROR(__xludf.DUMMYFUNCTION("IF(AND(REGEXMATCH($H218,""50( ?['fF]([oO]{2})?[tT]?)?( ?[eE][rR]{2}[oO][rR])"")=FALSE,$H218&lt;&gt;"""",$I218&lt;&gt;""""),HYPERLINK(""https://www.munzee.com/m/""&amp;$H218&amp;""/""&amp;$I218&amp;""/map/?lat=""&amp;$D218&amp;""&amp;lon=""&amp;$E218&amp;""&amp;type=""&amp;$G218&amp;""&amp;name=""&amp;SUBSTITUTE($A218,""#"&amp;""",""%23""),$H218&amp;""/""&amp;$I218),IF($H218&lt;&gt;"""",IF(REGEXMATCH($H218,""50( ?['fF]([oO]{2})?[tT]?)?( ?[eE][rR]{2}[oO][rR])""),HYPERLINK(""https://www.munzee.com/map/?sandbox=1&amp;lat=""&amp;$D218&amp;""&amp;lon=""&amp;$E218&amp;""&amp;name=""&amp;SUBSTITUTE($A218,""#"",""%23""),""SANDBOX"""&amp;"),HYPERLINK(""https://www.munzee.com/m/""&amp;$H218&amp;""/deploys/0/type/""&amp;IFNA(VLOOKUP($G218,IMPORTRANGE(""https://docs.google.com/spreadsheets/d/1DliIGyDywdzxhd4svtjaewR0p9Y5UBTMNMQ2PcXsqss"",""type data!E2:F""),2,FALSE),$G218)&amp;""/"",$H218)),""""))"),"")</f>
        <v/>
      </c>
      <c r="K218" s="5" t="b">
        <v>0</v>
      </c>
      <c r="L218" s="7"/>
      <c r="M218" s="7"/>
    </row>
    <row r="219">
      <c r="A219" s="3" t="s">
        <v>348</v>
      </c>
      <c r="B219" s="3">
        <v>13.0</v>
      </c>
      <c r="C219" s="3">
        <v>25.0</v>
      </c>
      <c r="D219" s="4">
        <v>49.1881340311246</v>
      </c>
      <c r="E219" s="4">
        <v>-2.0920914615567</v>
      </c>
      <c r="F219" s="3" t="s">
        <v>349</v>
      </c>
      <c r="G219" s="3" t="s">
        <v>350</v>
      </c>
      <c r="H219" s="5"/>
      <c r="I219" s="5"/>
      <c r="J219" s="7" t="str">
        <f>IFERROR(__xludf.DUMMYFUNCTION("IF(AND(REGEXMATCH($H219,""50( ?['fF]([oO]{2})?[tT]?)?( ?[eE][rR]{2}[oO][rR])"")=FALSE,$H219&lt;&gt;"""",$I219&lt;&gt;""""),HYPERLINK(""https://www.munzee.com/m/""&amp;$H219&amp;""/""&amp;$I219&amp;""/map/?lat=""&amp;$D219&amp;""&amp;lon=""&amp;$E219&amp;""&amp;type=""&amp;$G219&amp;""&amp;name=""&amp;SUBSTITUTE($A219,""#"&amp;""",""%23""),$H219&amp;""/""&amp;$I219),IF($H219&lt;&gt;"""",IF(REGEXMATCH($H219,""50( ?['fF]([oO]{2})?[tT]?)?( ?[eE][rR]{2}[oO][rR])""),HYPERLINK(""https://www.munzee.com/map/?sandbox=1&amp;lat=""&amp;$D219&amp;""&amp;lon=""&amp;$E219&amp;""&amp;name=""&amp;SUBSTITUTE($A219,""#"",""%23""),""SANDBOX"""&amp;"),HYPERLINK(""https://www.munzee.com/m/""&amp;$H219&amp;""/deploys/0/type/""&amp;IFNA(VLOOKUP($G219,IMPORTRANGE(""https://docs.google.com/spreadsheets/d/1DliIGyDywdzxhd4svtjaewR0p9Y5UBTMNMQ2PcXsqss"",""type data!E2:F""),2,FALSE),$G219)&amp;""/"",$H219)),""""))"),"")</f>
        <v/>
      </c>
      <c r="K219" s="5" t="b">
        <v>0</v>
      </c>
      <c r="L219" s="7"/>
      <c r="M219" s="7"/>
    </row>
    <row r="220">
      <c r="A220" s="3" t="s">
        <v>351</v>
      </c>
      <c r="B220" s="3">
        <v>13.0</v>
      </c>
      <c r="C220" s="3">
        <v>26.0</v>
      </c>
      <c r="D220" s="4">
        <v>49.1880323982475</v>
      </c>
      <c r="E220" s="4">
        <v>-2.0919359595924</v>
      </c>
      <c r="F220" s="3" t="s">
        <v>122</v>
      </c>
      <c r="G220" s="3" t="s">
        <v>123</v>
      </c>
      <c r="H220" s="5"/>
      <c r="I220" s="5"/>
      <c r="J220" s="7" t="str">
        <f>IFERROR(__xludf.DUMMYFUNCTION("IF(AND(REGEXMATCH($H220,""50( ?['fF]([oO]{2})?[tT]?)?( ?[eE][rR]{2}[oO][rR])"")=FALSE,$H220&lt;&gt;"""",$I220&lt;&gt;""""),HYPERLINK(""https://www.munzee.com/m/""&amp;$H220&amp;""/""&amp;$I220&amp;""/map/?lat=""&amp;$D220&amp;""&amp;lon=""&amp;$E220&amp;""&amp;type=""&amp;$G220&amp;""&amp;name=""&amp;SUBSTITUTE($A220,""#"&amp;""",""%23""),$H220&amp;""/""&amp;$I220),IF($H220&lt;&gt;"""",IF(REGEXMATCH($H220,""50( ?['fF]([oO]{2})?[tT]?)?( ?[eE][rR]{2}[oO][rR])""),HYPERLINK(""https://www.munzee.com/map/?sandbox=1&amp;lat=""&amp;$D220&amp;""&amp;lon=""&amp;$E220&amp;""&amp;name=""&amp;SUBSTITUTE($A220,""#"",""%23""),""SANDBOX"""&amp;"),HYPERLINK(""https://www.munzee.com/m/""&amp;$H220&amp;""/deploys/0/type/""&amp;IFNA(VLOOKUP($G220,IMPORTRANGE(""https://docs.google.com/spreadsheets/d/1DliIGyDywdzxhd4svtjaewR0p9Y5UBTMNMQ2PcXsqss"",""type data!E2:F""),2,FALSE),$G220)&amp;""/"",$H220)),""""))"),"")</f>
        <v/>
      </c>
      <c r="K220" s="5" t="b">
        <v>0</v>
      </c>
      <c r="L220" s="7"/>
      <c r="M220" s="7"/>
    </row>
    <row r="221">
      <c r="A221" s="3" t="s">
        <v>352</v>
      </c>
      <c r="B221" s="3">
        <v>13.0</v>
      </c>
      <c r="C221" s="3">
        <v>27.0</v>
      </c>
      <c r="D221" s="4">
        <v>49.1879307653705</v>
      </c>
      <c r="E221" s="4">
        <v>-2.0917804579476</v>
      </c>
      <c r="F221" s="3" t="s">
        <v>122</v>
      </c>
      <c r="G221" s="3" t="s">
        <v>123</v>
      </c>
      <c r="H221" s="5"/>
      <c r="I221" s="5"/>
      <c r="J221" s="7" t="str">
        <f>IFERROR(__xludf.DUMMYFUNCTION("IF(AND(REGEXMATCH($H221,""50( ?['fF]([oO]{2})?[tT]?)?( ?[eE][rR]{2}[oO][rR])"")=FALSE,$H221&lt;&gt;"""",$I221&lt;&gt;""""),HYPERLINK(""https://www.munzee.com/m/""&amp;$H221&amp;""/""&amp;$I221&amp;""/map/?lat=""&amp;$D221&amp;""&amp;lon=""&amp;$E221&amp;""&amp;type=""&amp;$G221&amp;""&amp;name=""&amp;SUBSTITUTE($A221,""#"&amp;""",""%23""),$H221&amp;""/""&amp;$I221),IF($H221&lt;&gt;"""",IF(REGEXMATCH($H221,""50( ?['fF]([oO]{2})?[tT]?)?( ?[eE][rR]{2}[oO][rR])""),HYPERLINK(""https://www.munzee.com/map/?sandbox=1&amp;lat=""&amp;$D221&amp;""&amp;lon=""&amp;$E221&amp;""&amp;name=""&amp;SUBSTITUTE($A221,""#"",""%23""),""SANDBOX"""&amp;"),HYPERLINK(""https://www.munzee.com/m/""&amp;$H221&amp;""/deploys/0/type/""&amp;IFNA(VLOOKUP($G221,IMPORTRANGE(""https://docs.google.com/spreadsheets/d/1DliIGyDywdzxhd4svtjaewR0p9Y5UBTMNMQ2PcXsqss"",""type data!E2:F""),2,FALSE),$G221)&amp;""/"",$H221)),""""))"),"")</f>
        <v/>
      </c>
      <c r="K221" s="5" t="b">
        <v>0</v>
      </c>
      <c r="L221" s="7"/>
      <c r="M221" s="7"/>
    </row>
    <row r="222">
      <c r="A222" s="3" t="s">
        <v>353</v>
      </c>
      <c r="B222" s="3">
        <v>13.0</v>
      </c>
      <c r="C222" s="3">
        <v>28.0</v>
      </c>
      <c r="D222" s="4">
        <v>49.1878291324935</v>
      </c>
      <c r="E222" s="4">
        <v>-2.0916249566221</v>
      </c>
      <c r="F222" s="3" t="s">
        <v>122</v>
      </c>
      <c r="G222" s="3" t="s">
        <v>123</v>
      </c>
      <c r="H222" s="5"/>
      <c r="I222" s="5"/>
      <c r="J222" s="7" t="str">
        <f>IFERROR(__xludf.DUMMYFUNCTION("IF(AND(REGEXMATCH($H222,""50( ?['fF]([oO]{2})?[tT]?)?( ?[eE][rR]{2}[oO][rR])"")=FALSE,$H222&lt;&gt;"""",$I222&lt;&gt;""""),HYPERLINK(""https://www.munzee.com/m/""&amp;$H222&amp;""/""&amp;$I222&amp;""/map/?lat=""&amp;$D222&amp;""&amp;lon=""&amp;$E222&amp;""&amp;type=""&amp;$G222&amp;""&amp;name=""&amp;SUBSTITUTE($A222,""#"&amp;""",""%23""),$H222&amp;""/""&amp;$I222),IF($H222&lt;&gt;"""",IF(REGEXMATCH($H222,""50( ?['fF]([oO]{2})?[tT]?)?( ?[eE][rR]{2}[oO][rR])""),HYPERLINK(""https://www.munzee.com/map/?sandbox=1&amp;lat=""&amp;$D222&amp;""&amp;lon=""&amp;$E222&amp;""&amp;name=""&amp;SUBSTITUTE($A222,""#"",""%23""),""SANDBOX"""&amp;"),HYPERLINK(""https://www.munzee.com/m/""&amp;$H222&amp;""/deploys/0/type/""&amp;IFNA(VLOOKUP($G222,IMPORTRANGE(""https://docs.google.com/spreadsheets/d/1DliIGyDywdzxhd4svtjaewR0p9Y5UBTMNMQ2PcXsqss"",""type data!E2:F""),2,FALSE),$G222)&amp;""/"",$H222)),""""))"),"")</f>
        <v/>
      </c>
      <c r="K222" s="5" t="b">
        <v>0</v>
      </c>
      <c r="L222" s="7"/>
      <c r="M222" s="7"/>
    </row>
    <row r="223">
      <c r="A223" s="3" t="s">
        <v>354</v>
      </c>
      <c r="B223" s="3">
        <v>13.0</v>
      </c>
      <c r="C223" s="3">
        <v>29.0</v>
      </c>
      <c r="D223" s="4">
        <v>49.1877274996164</v>
      </c>
      <c r="E223" s="4">
        <v>-2.0914694556161</v>
      </c>
      <c r="F223" s="3" t="s">
        <v>69</v>
      </c>
      <c r="G223" s="3" t="s">
        <v>70</v>
      </c>
      <c r="H223" s="5" t="s">
        <v>355</v>
      </c>
      <c r="I223" s="5">
        <v>10234.0</v>
      </c>
      <c r="J223" s="6" t="str">
        <f>IFERROR(__xludf.DUMMYFUNCTION("IF(AND(REGEXMATCH($H223,""50( ?['fF]([oO]{2})?[tT]?)?( ?[eE][rR]{2}[oO][rR])"")=FALSE,$H223&lt;&gt;"""",$I223&lt;&gt;""""),HYPERLINK(""https://www.munzee.com/m/""&amp;$H223&amp;""/""&amp;$I223&amp;""/map/?lat=""&amp;$D223&amp;""&amp;lon=""&amp;$E223&amp;""&amp;type=""&amp;$G223&amp;""&amp;name=""&amp;SUBSTITUTE($A223,""#"&amp;""",""%23""),$H223&amp;""/""&amp;$I223),IF($H223&lt;&gt;"""",IF(REGEXMATCH($H223,""50( ?['fF]([oO]{2})?[tT]?)?( ?[eE][rR]{2}[oO][rR])""),HYPERLINK(""https://www.munzee.com/map/?sandbox=1&amp;lat=""&amp;$D223&amp;""&amp;lon=""&amp;$E223&amp;""&amp;name=""&amp;SUBSTITUTE($A223,""#"",""%23""),""SANDBOX"""&amp;"),HYPERLINK(""https://www.munzee.com/m/""&amp;$H223&amp;""/deploys/0/type/""&amp;IFNA(VLOOKUP($G223,IMPORTRANGE(""https://docs.google.com/spreadsheets/d/1DliIGyDywdzxhd4svtjaewR0p9Y5UBTMNMQ2PcXsqss"",""type data!E2:F""),2,FALSE),$G223)&amp;""/"",$H223)),""""))"),"wemissmo/10234")</f>
        <v>wemissmo/10234</v>
      </c>
      <c r="K223" s="5" t="b">
        <v>1</v>
      </c>
      <c r="L223" s="7"/>
      <c r="M223" s="7"/>
    </row>
    <row r="224">
      <c r="A224" s="3" t="s">
        <v>356</v>
      </c>
      <c r="B224" s="3">
        <v>13.0</v>
      </c>
      <c r="C224" s="3">
        <v>30.0</v>
      </c>
      <c r="D224" s="4">
        <v>49.1876258667394</v>
      </c>
      <c r="E224" s="4">
        <v>-2.0913139549295</v>
      </c>
      <c r="F224" s="3" t="s">
        <v>127</v>
      </c>
      <c r="G224" s="3" t="s">
        <v>128</v>
      </c>
      <c r="H224" s="5"/>
      <c r="I224" s="5"/>
      <c r="J224" s="7" t="str">
        <f>IFERROR(__xludf.DUMMYFUNCTION("IF(AND(REGEXMATCH($H224,""50( ?['fF]([oO]{2})?[tT]?)?( ?[eE][rR]{2}[oO][rR])"")=FALSE,$H224&lt;&gt;"""",$I224&lt;&gt;""""),HYPERLINK(""https://www.munzee.com/m/""&amp;$H224&amp;""/""&amp;$I224&amp;""/map/?lat=""&amp;$D224&amp;""&amp;lon=""&amp;$E224&amp;""&amp;type=""&amp;$G224&amp;""&amp;name=""&amp;SUBSTITUTE($A224,""#"&amp;""",""%23""),$H224&amp;""/""&amp;$I224),IF($H224&lt;&gt;"""",IF(REGEXMATCH($H224,""50( ?['fF]([oO]{2})?[tT]?)?( ?[eE][rR]{2}[oO][rR])""),HYPERLINK(""https://www.munzee.com/map/?sandbox=1&amp;lat=""&amp;$D224&amp;""&amp;lon=""&amp;$E224&amp;""&amp;name=""&amp;SUBSTITUTE($A224,""#"",""%23""),""SANDBOX"""&amp;"),HYPERLINK(""https://www.munzee.com/m/""&amp;$H224&amp;""/deploys/0/type/""&amp;IFNA(VLOOKUP($G224,IMPORTRANGE(""https://docs.google.com/spreadsheets/d/1DliIGyDywdzxhd4svtjaewR0p9Y5UBTMNMQ2PcXsqss"",""type data!E2:F""),2,FALSE),$G224)&amp;""/"",$H224)),""""))"),"")</f>
        <v/>
      </c>
      <c r="K224" s="5" t="b">
        <v>0</v>
      </c>
      <c r="L224" s="7"/>
      <c r="M224" s="7"/>
    </row>
    <row r="225">
      <c r="A225" s="3" t="s">
        <v>357</v>
      </c>
      <c r="B225" s="3">
        <v>14.0</v>
      </c>
      <c r="C225" s="3">
        <v>4.0</v>
      </c>
      <c r="D225" s="4">
        <v>49.1901666886653</v>
      </c>
      <c r="E225" s="4">
        <v>-2.0955125961304</v>
      </c>
      <c r="F225" s="3" t="s">
        <v>151</v>
      </c>
      <c r="G225" s="3" t="s">
        <v>152</v>
      </c>
      <c r="H225" s="5"/>
      <c r="I225" s="5">
        <v>598.0</v>
      </c>
      <c r="J225" s="7" t="str">
        <f>IFERROR(__xludf.DUMMYFUNCTION("IF(AND(REGEXMATCH($H225,""50( ?['fF]([oO]{2})?[tT]?)?( ?[eE][rR]{2}[oO][rR])"")=FALSE,$H225&lt;&gt;"""",$I225&lt;&gt;""""),HYPERLINK(""https://www.munzee.com/m/""&amp;$H225&amp;""/""&amp;$I225&amp;""/map/?lat=""&amp;$D225&amp;""&amp;lon=""&amp;$E225&amp;""&amp;type=""&amp;$G225&amp;""&amp;name=""&amp;SUBSTITUTE($A225,""#"&amp;""",""%23""),$H225&amp;""/""&amp;$I225),IF($H225&lt;&gt;"""",IF(REGEXMATCH($H225,""50( ?['fF]([oO]{2})?[tT]?)?( ?[eE][rR]{2}[oO][rR])""),HYPERLINK(""https://www.munzee.com/map/?sandbox=1&amp;lat=""&amp;$D225&amp;""&amp;lon=""&amp;$E225&amp;""&amp;name=""&amp;SUBSTITUTE($A225,""#"",""%23""),""SANDBOX"""&amp;"),HYPERLINK(""https://www.munzee.com/m/""&amp;$H225&amp;""/deploys/0/type/""&amp;IFNA(VLOOKUP($G225,IMPORTRANGE(""https://docs.google.com/spreadsheets/d/1DliIGyDywdzxhd4svtjaewR0p9Y5UBTMNMQ2PcXsqss"",""type data!E2:F""),2,FALSE),$G225)&amp;""/"",$H225)),""""))"),"")</f>
        <v/>
      </c>
      <c r="K225" s="5" t="b">
        <v>0</v>
      </c>
      <c r="L225" s="7"/>
      <c r="M225" s="7"/>
    </row>
    <row r="226">
      <c r="A226" s="3" t="s">
        <v>358</v>
      </c>
      <c r="B226" s="3">
        <v>14.0</v>
      </c>
      <c r="C226" s="3">
        <v>5.0</v>
      </c>
      <c r="D226" s="4">
        <v>49.1900650557883</v>
      </c>
      <c r="E226" s="4">
        <v>-2.0953570877774</v>
      </c>
      <c r="F226" s="3" t="s">
        <v>207</v>
      </c>
      <c r="G226" s="3" t="s">
        <v>208</v>
      </c>
      <c r="H226" s="5"/>
      <c r="I226" s="5"/>
      <c r="J226" s="7" t="str">
        <f>IFERROR(__xludf.DUMMYFUNCTION("IF(AND(REGEXMATCH($H226,""50( ?['fF]([oO]{2})?[tT]?)?( ?[eE][rR]{2}[oO][rR])"")=FALSE,$H226&lt;&gt;"""",$I226&lt;&gt;""""),HYPERLINK(""https://www.munzee.com/m/""&amp;$H226&amp;""/""&amp;$I226&amp;""/map/?lat=""&amp;$D226&amp;""&amp;lon=""&amp;$E226&amp;""&amp;type=""&amp;$G226&amp;""&amp;name=""&amp;SUBSTITUTE($A226,""#"&amp;""",""%23""),$H226&amp;""/""&amp;$I226),IF($H226&lt;&gt;"""",IF(REGEXMATCH($H226,""50( ?['fF]([oO]{2})?[tT]?)?( ?[eE][rR]{2}[oO][rR])""),HYPERLINK(""https://www.munzee.com/map/?sandbox=1&amp;lat=""&amp;$D226&amp;""&amp;lon=""&amp;$E226&amp;""&amp;name=""&amp;SUBSTITUTE($A226,""#"",""%23""),""SANDBOX"""&amp;"),HYPERLINK(""https://www.munzee.com/m/""&amp;$H226&amp;""/deploys/0/type/""&amp;IFNA(VLOOKUP($G226,IMPORTRANGE(""https://docs.google.com/spreadsheets/d/1DliIGyDywdzxhd4svtjaewR0p9Y5UBTMNMQ2PcXsqss"",""type data!E2:F""),2,FALSE),$G226)&amp;""/"",$H226)),""""))"),"")</f>
        <v/>
      </c>
      <c r="K226" s="5" t="b">
        <v>0</v>
      </c>
      <c r="L226" s="7"/>
      <c r="M226" s="7"/>
    </row>
    <row r="227">
      <c r="A227" s="3" t="s">
        <v>359</v>
      </c>
      <c r="B227" s="3">
        <v>14.0</v>
      </c>
      <c r="C227" s="3">
        <v>11.0</v>
      </c>
      <c r="D227" s="4">
        <v>49.189455258526</v>
      </c>
      <c r="E227" s="4">
        <v>-2.0944240443673</v>
      </c>
      <c r="F227" s="3" t="s">
        <v>329</v>
      </c>
      <c r="G227" s="3" t="s">
        <v>330</v>
      </c>
      <c r="H227" s="5"/>
      <c r="I227" s="5"/>
      <c r="J227" s="7" t="str">
        <f>IFERROR(__xludf.DUMMYFUNCTION("IF(AND(REGEXMATCH($H227,""50( ?['fF]([oO]{2})?[tT]?)?( ?[eE][rR]{2}[oO][rR])"")=FALSE,$H227&lt;&gt;"""",$I227&lt;&gt;""""),HYPERLINK(""https://www.munzee.com/m/""&amp;$H227&amp;""/""&amp;$I227&amp;""/map/?lat=""&amp;$D227&amp;""&amp;lon=""&amp;$E227&amp;""&amp;type=""&amp;$G227&amp;""&amp;name=""&amp;SUBSTITUTE($A227,""#"&amp;""",""%23""),$H227&amp;""/""&amp;$I227),IF($H227&lt;&gt;"""",IF(REGEXMATCH($H227,""50( ?['fF]([oO]{2})?[tT]?)?( ?[eE][rR]{2}[oO][rR])""),HYPERLINK(""https://www.munzee.com/map/?sandbox=1&amp;lat=""&amp;$D227&amp;""&amp;lon=""&amp;$E227&amp;""&amp;name=""&amp;SUBSTITUTE($A227,""#"",""%23""),""SANDBOX"""&amp;"),HYPERLINK(""https://www.munzee.com/m/""&amp;$H227&amp;""/deploys/0/type/""&amp;IFNA(VLOOKUP($G227,IMPORTRANGE(""https://docs.google.com/spreadsheets/d/1DliIGyDywdzxhd4svtjaewR0p9Y5UBTMNMQ2PcXsqss"",""type data!E2:F""),2,FALSE),$G227)&amp;""/"",$H227)),""""))"),"")</f>
        <v/>
      </c>
      <c r="K227" s="5" t="b">
        <v>0</v>
      </c>
      <c r="L227" s="7"/>
      <c r="M227" s="7"/>
    </row>
    <row r="228">
      <c r="A228" s="3" t="s">
        <v>360</v>
      </c>
      <c r="B228" s="3">
        <v>14.0</v>
      </c>
      <c r="C228" s="3">
        <v>12.0</v>
      </c>
      <c r="D228" s="4">
        <v>49.189353625649</v>
      </c>
      <c r="E228" s="4">
        <v>-2.0942685382504</v>
      </c>
      <c r="F228" s="3" t="s">
        <v>296</v>
      </c>
      <c r="G228" s="3" t="s">
        <v>297</v>
      </c>
      <c r="H228" s="5" t="s">
        <v>306</v>
      </c>
      <c r="I228" s="5">
        <v>3388.0</v>
      </c>
      <c r="J228" s="6" t="str">
        <f>IFERROR(__xludf.DUMMYFUNCTION("IF(AND(REGEXMATCH($H228,""50( ?['fF]([oO]{2})?[tT]?)?( ?[eE][rR]{2}[oO][rR])"")=FALSE,$H228&lt;&gt;"""",$I228&lt;&gt;""""),HYPERLINK(""https://www.munzee.com/m/""&amp;$H228&amp;""/""&amp;$I228&amp;""/map/?lat=""&amp;$D228&amp;""&amp;lon=""&amp;$E228&amp;""&amp;type=""&amp;$G228&amp;""&amp;name=""&amp;SUBSTITUTE($A228,""#"&amp;""",""%23""),$H228&amp;""/""&amp;$I228),IF($H228&lt;&gt;"""",IF(REGEXMATCH($H228,""50( ?['fF]([oO]{2})?[tT]?)?( ?[eE][rR]{2}[oO][rR])""),HYPERLINK(""https://www.munzee.com/map/?sandbox=1&amp;lat=""&amp;$D228&amp;""&amp;lon=""&amp;$E228&amp;""&amp;name=""&amp;SUBSTITUTE($A228,""#"",""%23""),""SANDBOX"""&amp;"),HYPERLINK(""https://www.munzee.com/m/""&amp;$H228&amp;""/deploys/0/type/""&amp;IFNA(VLOOKUP($G228,IMPORTRANGE(""https://docs.google.com/spreadsheets/d/1DliIGyDywdzxhd4svtjaewR0p9Y5UBTMNMQ2PcXsqss"",""type data!E2:F""),2,FALSE),$G228)&amp;""/"",$H228)),""""))"),"Bisquick2/3388")</f>
        <v>Bisquick2/3388</v>
      </c>
      <c r="K228" s="5" t="b">
        <v>1</v>
      </c>
      <c r="L228" s="7"/>
      <c r="M228" s="7"/>
    </row>
    <row r="229">
      <c r="A229" s="3" t="s">
        <v>361</v>
      </c>
      <c r="B229" s="3">
        <v>14.0</v>
      </c>
      <c r="C229" s="3">
        <v>13.0</v>
      </c>
      <c r="D229" s="4">
        <v>49.1892519927719</v>
      </c>
      <c r="E229" s="4">
        <v>-2.0941130324529</v>
      </c>
      <c r="F229" s="3" t="s">
        <v>296</v>
      </c>
      <c r="G229" s="3" t="s">
        <v>297</v>
      </c>
      <c r="H229" s="5"/>
      <c r="I229" s="5"/>
      <c r="J229" s="7" t="str">
        <f>IFERROR(__xludf.DUMMYFUNCTION("IF(AND(REGEXMATCH($H229,""50( ?['fF]([oO]{2})?[tT]?)?( ?[eE][rR]{2}[oO][rR])"")=FALSE,$H229&lt;&gt;"""",$I229&lt;&gt;""""),HYPERLINK(""https://www.munzee.com/m/""&amp;$H229&amp;""/""&amp;$I229&amp;""/map/?lat=""&amp;$D229&amp;""&amp;lon=""&amp;$E229&amp;""&amp;type=""&amp;$G229&amp;""&amp;name=""&amp;SUBSTITUTE($A229,""#"&amp;""",""%23""),$H229&amp;""/""&amp;$I229),IF($H229&lt;&gt;"""",IF(REGEXMATCH($H229,""50( ?['fF]([oO]{2})?[tT]?)?( ?[eE][rR]{2}[oO][rR])""),HYPERLINK(""https://www.munzee.com/map/?sandbox=1&amp;lat=""&amp;$D229&amp;""&amp;lon=""&amp;$E229&amp;""&amp;name=""&amp;SUBSTITUTE($A229,""#"",""%23""),""SANDBOX"""&amp;"),HYPERLINK(""https://www.munzee.com/m/""&amp;$H229&amp;""/deploys/0/type/""&amp;IFNA(VLOOKUP($G229,IMPORTRANGE(""https://docs.google.com/spreadsheets/d/1DliIGyDywdzxhd4svtjaewR0p9Y5UBTMNMQ2PcXsqss"",""type data!E2:F""),2,FALSE),$G229)&amp;""/"",$H229)),""""))"),"")</f>
        <v/>
      </c>
      <c r="K229" s="5" t="b">
        <v>0</v>
      </c>
      <c r="L229" s="7"/>
      <c r="M229" s="7"/>
    </row>
    <row r="230">
      <c r="A230" s="3" t="s">
        <v>362</v>
      </c>
      <c r="B230" s="3">
        <v>14.0</v>
      </c>
      <c r="C230" s="3">
        <v>14.0</v>
      </c>
      <c r="D230" s="4">
        <v>49.1891503598949</v>
      </c>
      <c r="E230" s="4">
        <v>-2.0939575269749</v>
      </c>
      <c r="F230" s="3" t="s">
        <v>69</v>
      </c>
      <c r="G230" s="3" t="s">
        <v>70</v>
      </c>
      <c r="H230" s="5"/>
      <c r="I230" s="5"/>
      <c r="J230" s="7" t="str">
        <f>IFERROR(__xludf.DUMMYFUNCTION("IF(AND(REGEXMATCH($H230,""50( ?['fF]([oO]{2})?[tT]?)?( ?[eE][rR]{2}[oO][rR])"")=FALSE,$H230&lt;&gt;"""",$I230&lt;&gt;""""),HYPERLINK(""https://www.munzee.com/m/""&amp;$H230&amp;""/""&amp;$I230&amp;""/map/?lat=""&amp;$D230&amp;""&amp;lon=""&amp;$E230&amp;""&amp;type=""&amp;$G230&amp;""&amp;name=""&amp;SUBSTITUTE($A230,""#"&amp;""",""%23""),$H230&amp;""/""&amp;$I230),IF($H230&lt;&gt;"""",IF(REGEXMATCH($H230,""50( ?['fF]([oO]{2})?[tT]?)?( ?[eE][rR]{2}[oO][rR])""),HYPERLINK(""https://www.munzee.com/map/?sandbox=1&amp;lat=""&amp;$D230&amp;""&amp;lon=""&amp;$E230&amp;""&amp;name=""&amp;SUBSTITUTE($A230,""#"",""%23""),""SANDBOX"""&amp;"),HYPERLINK(""https://www.munzee.com/m/""&amp;$H230&amp;""/deploys/0/type/""&amp;IFNA(VLOOKUP($G230,IMPORTRANGE(""https://docs.google.com/spreadsheets/d/1DliIGyDywdzxhd4svtjaewR0p9Y5UBTMNMQ2PcXsqss"",""type data!E2:F""),2,FALSE),$G230)&amp;""/"",$H230)),""""))"),"")</f>
        <v/>
      </c>
      <c r="K230" s="5" t="b">
        <v>0</v>
      </c>
      <c r="L230" s="7"/>
      <c r="M230" s="7"/>
    </row>
    <row r="231">
      <c r="A231" s="3" t="s">
        <v>363</v>
      </c>
      <c r="B231" s="3">
        <v>14.0</v>
      </c>
      <c r="C231" s="3">
        <v>15.0</v>
      </c>
      <c r="D231" s="4">
        <v>49.1890487270179</v>
      </c>
      <c r="E231" s="4">
        <v>-2.0938020218164</v>
      </c>
      <c r="F231" s="3" t="s">
        <v>303</v>
      </c>
      <c r="G231" s="3" t="s">
        <v>304</v>
      </c>
      <c r="H231" s="5" t="s">
        <v>364</v>
      </c>
      <c r="I231" s="5">
        <v>123.0</v>
      </c>
      <c r="J231" s="6" t="str">
        <f>IFERROR(__xludf.DUMMYFUNCTION("IF(AND(REGEXMATCH($H231,""50( ?['fF]([oO]{2})?[tT]?)?( ?[eE][rR]{2}[oO][rR])"")=FALSE,$H231&lt;&gt;"""",$I231&lt;&gt;""""),HYPERLINK(""https://www.munzee.com/m/""&amp;$H231&amp;""/""&amp;$I231&amp;""/map/?lat=""&amp;$D231&amp;""&amp;lon=""&amp;$E231&amp;""&amp;type=""&amp;$G231&amp;""&amp;name=""&amp;SUBSTITUTE($A231,""#"&amp;""",""%23""),$H231&amp;""/""&amp;$I231),IF($H231&lt;&gt;"""",IF(REGEXMATCH($H231,""50( ?['fF]([oO]{2})?[tT]?)?( ?[eE][rR]{2}[oO][rR])""),HYPERLINK(""https://www.munzee.com/map/?sandbox=1&amp;lat=""&amp;$D231&amp;""&amp;lon=""&amp;$E231&amp;""&amp;name=""&amp;SUBSTITUTE($A231,""#"",""%23""),""SANDBOX"""&amp;"),HYPERLINK(""https://www.munzee.com/m/""&amp;$H231&amp;""/deploys/0/type/""&amp;IFNA(VLOOKUP($G231,IMPORTRANGE(""https://docs.google.com/spreadsheets/d/1DliIGyDywdzxhd4svtjaewR0p9Y5UBTMNMQ2PcXsqss"",""type data!E2:F""),2,FALSE),$G231)&amp;""/"",$H231)),""""))"),"louisehen/123")</f>
        <v>louisehen/123</v>
      </c>
      <c r="K231" s="5" t="b">
        <v>1</v>
      </c>
      <c r="L231" s="7"/>
      <c r="M231" s="7"/>
    </row>
    <row r="232">
      <c r="A232" s="3" t="s">
        <v>365</v>
      </c>
      <c r="B232" s="3">
        <v>14.0</v>
      </c>
      <c r="C232" s="3">
        <v>16.0</v>
      </c>
      <c r="D232" s="4">
        <v>49.1889470941408</v>
      </c>
      <c r="E232" s="4">
        <v>-2.0936465169773</v>
      </c>
      <c r="F232" s="3" t="s">
        <v>366</v>
      </c>
      <c r="G232" s="3" t="s">
        <v>367</v>
      </c>
      <c r="H232" s="5" t="s">
        <v>368</v>
      </c>
      <c r="I232" s="5">
        <v>2283.0</v>
      </c>
      <c r="J232" s="6" t="str">
        <f>IFERROR(__xludf.DUMMYFUNCTION("IF(AND(REGEXMATCH($H232,""50( ?['fF]([oO]{2})?[tT]?)?( ?[eE][rR]{2}[oO][rR])"")=FALSE,$H232&lt;&gt;"""",$I232&lt;&gt;""""),HYPERLINK(""https://www.munzee.com/m/""&amp;$H232&amp;""/""&amp;$I232&amp;""/map/?lat=""&amp;$D232&amp;""&amp;lon=""&amp;$E232&amp;""&amp;type=""&amp;$G232&amp;""&amp;name=""&amp;SUBSTITUTE($A232,""#"&amp;""",""%23""),$H232&amp;""/""&amp;$I232),IF($H232&lt;&gt;"""",IF(REGEXMATCH($H232,""50( ?['fF]([oO]{2})?[tT]?)?( ?[eE][rR]{2}[oO][rR])""),HYPERLINK(""https://www.munzee.com/map/?sandbox=1&amp;lat=""&amp;$D232&amp;""&amp;lon=""&amp;$E232&amp;""&amp;name=""&amp;SUBSTITUTE($A232,""#"",""%23""),""SANDBOX"""&amp;"),HYPERLINK(""https://www.munzee.com/m/""&amp;$H232&amp;""/deploys/0/type/""&amp;IFNA(VLOOKUP($G232,IMPORTRANGE(""https://docs.google.com/spreadsheets/d/1DliIGyDywdzxhd4svtjaewR0p9Y5UBTMNMQ2PcXsqss"",""type data!E2:F""),2,FALSE),$G232)&amp;""/"",$H232)),""""))"),"iScreamBIue/2283")</f>
        <v>iScreamBIue/2283</v>
      </c>
      <c r="K232" s="5" t="b">
        <v>0</v>
      </c>
      <c r="L232" s="7"/>
      <c r="M232" s="7"/>
    </row>
    <row r="233">
      <c r="A233" s="3" t="s">
        <v>369</v>
      </c>
      <c r="B233" s="3">
        <v>14.0</v>
      </c>
      <c r="C233" s="3">
        <v>17.0</v>
      </c>
      <c r="D233" s="4">
        <v>49.1888454612638</v>
      </c>
      <c r="E233" s="4">
        <v>-2.0934910124575</v>
      </c>
      <c r="F233" s="3" t="s">
        <v>339</v>
      </c>
      <c r="G233" s="3" t="s">
        <v>340</v>
      </c>
      <c r="H233" s="5" t="s">
        <v>370</v>
      </c>
      <c r="I233" s="5">
        <v>4071.0</v>
      </c>
      <c r="J233" s="6" t="str">
        <f>IFERROR(__xludf.DUMMYFUNCTION("IF(AND(REGEXMATCH($H233,""50( ?['fF]([oO]{2})?[tT]?)?( ?[eE][rR]{2}[oO][rR])"")=FALSE,$H233&lt;&gt;"""",$I233&lt;&gt;""""),HYPERLINK(""https://www.munzee.com/m/""&amp;$H233&amp;""/""&amp;$I233&amp;""/map/?lat=""&amp;$D233&amp;""&amp;lon=""&amp;$E233&amp;""&amp;type=""&amp;$G233&amp;""&amp;name=""&amp;SUBSTITUTE($A233,""#"&amp;""",""%23""),$H233&amp;""/""&amp;$I233),IF($H233&lt;&gt;"""",IF(REGEXMATCH($H233,""50( ?['fF]([oO]{2})?[tT]?)?( ?[eE][rR]{2}[oO][rR])""),HYPERLINK(""https://www.munzee.com/map/?sandbox=1&amp;lat=""&amp;$D233&amp;""&amp;lon=""&amp;$E233&amp;""&amp;name=""&amp;SUBSTITUTE($A233,""#"",""%23""),""SANDBOX"""&amp;"),HYPERLINK(""https://www.munzee.com/m/""&amp;$H233&amp;""/deploys/0/type/""&amp;IFNA(VLOOKUP($G233,IMPORTRANGE(""https://docs.google.com/spreadsheets/d/1DliIGyDywdzxhd4svtjaewR0p9Y5UBTMNMQ2PcXsqss"",""type data!E2:F""),2,FALSE),$G233)&amp;""/"",$H233)),""""))"),"vadotech/4071")</f>
        <v>vadotech/4071</v>
      </c>
      <c r="K233" s="5" t="b">
        <v>1</v>
      </c>
      <c r="L233" s="7"/>
      <c r="M233" s="7"/>
    </row>
    <row r="234">
      <c r="A234" s="3" t="s">
        <v>371</v>
      </c>
      <c r="B234" s="3">
        <v>14.0</v>
      </c>
      <c r="C234" s="3">
        <v>18.0</v>
      </c>
      <c r="D234" s="4">
        <v>49.1887438283868</v>
      </c>
      <c r="E234" s="4">
        <v>-2.0933355082573</v>
      </c>
      <c r="F234" s="3" t="s">
        <v>69</v>
      </c>
      <c r="G234" s="3" t="s">
        <v>70</v>
      </c>
      <c r="H234" s="5"/>
      <c r="I234" s="5"/>
      <c r="J234" s="7" t="str">
        <f>IFERROR(__xludf.DUMMYFUNCTION("IF(AND(REGEXMATCH($H234,""50( ?['fF]([oO]{2})?[tT]?)?( ?[eE][rR]{2}[oO][rR])"")=FALSE,$H234&lt;&gt;"""",$I234&lt;&gt;""""),HYPERLINK(""https://www.munzee.com/m/""&amp;$H234&amp;""/""&amp;$I234&amp;""/map/?lat=""&amp;$D234&amp;""&amp;lon=""&amp;$E234&amp;""&amp;type=""&amp;$G234&amp;""&amp;name=""&amp;SUBSTITUTE($A234,""#"&amp;""",""%23""),$H234&amp;""/""&amp;$I234),IF($H234&lt;&gt;"""",IF(REGEXMATCH($H234,""50( ?['fF]([oO]{2})?[tT]?)?( ?[eE][rR]{2}[oO][rR])""),HYPERLINK(""https://www.munzee.com/map/?sandbox=1&amp;lat=""&amp;$D234&amp;""&amp;lon=""&amp;$E234&amp;""&amp;name=""&amp;SUBSTITUTE($A234,""#"",""%23""),""SANDBOX"""&amp;"),HYPERLINK(""https://www.munzee.com/m/""&amp;$H234&amp;""/deploys/0/type/""&amp;IFNA(VLOOKUP($G234,IMPORTRANGE(""https://docs.google.com/spreadsheets/d/1DliIGyDywdzxhd4svtjaewR0p9Y5UBTMNMQ2PcXsqss"",""type data!E2:F""),2,FALSE),$G234)&amp;""/"",$H234)),""""))"),"")</f>
        <v/>
      </c>
      <c r="K234" s="5" t="b">
        <v>0</v>
      </c>
      <c r="L234" s="7"/>
      <c r="M234" s="7"/>
    </row>
    <row r="235">
      <c r="A235" s="3" t="s">
        <v>372</v>
      </c>
      <c r="B235" s="3">
        <v>14.0</v>
      </c>
      <c r="C235" s="3">
        <v>19.0</v>
      </c>
      <c r="D235" s="4">
        <v>49.1886421955097</v>
      </c>
      <c r="E235" s="4">
        <v>-2.0931800043764</v>
      </c>
      <c r="F235" s="3" t="s">
        <v>303</v>
      </c>
      <c r="G235" s="3" t="s">
        <v>304</v>
      </c>
      <c r="H235" s="5" t="s">
        <v>53</v>
      </c>
      <c r="I235" s="5">
        <v>593.0</v>
      </c>
      <c r="J235" s="6" t="str">
        <f>IFERROR(__xludf.DUMMYFUNCTION("IF(AND(REGEXMATCH($H235,""50( ?['fF]([oO]{2})?[tT]?)?( ?[eE][rR]{2}[oO][rR])"")=FALSE,$H235&lt;&gt;"""",$I235&lt;&gt;""""),HYPERLINK(""https://www.munzee.com/m/""&amp;$H235&amp;""/""&amp;$I235&amp;""/map/?lat=""&amp;$D235&amp;""&amp;lon=""&amp;$E235&amp;""&amp;type=""&amp;$G235&amp;""&amp;name=""&amp;SUBSTITUTE($A235,""#"&amp;""",""%23""),$H235&amp;""/""&amp;$I235),IF($H235&lt;&gt;"""",IF(REGEXMATCH($H235,""50( ?['fF]([oO]{2})?[tT]?)?( ?[eE][rR]{2}[oO][rR])""),HYPERLINK(""https://www.munzee.com/map/?sandbox=1&amp;lat=""&amp;$D235&amp;""&amp;lon=""&amp;$E235&amp;""&amp;name=""&amp;SUBSTITUTE($A235,""#"",""%23""),""SANDBOX"""&amp;"),HYPERLINK(""https://www.munzee.com/m/""&amp;$H235&amp;""/deploys/0/type/""&amp;IFNA(VLOOKUP($G235,IMPORTRANGE(""https://docs.google.com/spreadsheets/d/1DliIGyDywdzxhd4svtjaewR0p9Y5UBTMNMQ2PcXsqss"",""type data!E2:F""),2,FALSE),$G235)&amp;""/"",$H235)),""""))"),"MaryJaneKitty/593")</f>
        <v>MaryJaneKitty/593</v>
      </c>
      <c r="K235" s="5" t="b">
        <v>1</v>
      </c>
      <c r="L235" s="7"/>
      <c r="M235" s="7"/>
    </row>
    <row r="236">
      <c r="A236" s="3" t="s">
        <v>373</v>
      </c>
      <c r="B236" s="3">
        <v>14.0</v>
      </c>
      <c r="C236" s="3">
        <v>20.0</v>
      </c>
      <c r="D236" s="4">
        <v>49.1885405626327</v>
      </c>
      <c r="E236" s="4">
        <v>-2.0930245008151</v>
      </c>
      <c r="F236" s="3" t="s">
        <v>296</v>
      </c>
      <c r="G236" s="3" t="s">
        <v>297</v>
      </c>
      <c r="H236" s="5"/>
      <c r="I236" s="5"/>
      <c r="J236" s="7" t="str">
        <f>IFERROR(__xludf.DUMMYFUNCTION("IF(AND(REGEXMATCH($H236,""50( ?['fF]([oO]{2})?[tT]?)?( ?[eE][rR]{2}[oO][rR])"")=FALSE,$H236&lt;&gt;"""",$I236&lt;&gt;""""),HYPERLINK(""https://www.munzee.com/m/""&amp;$H236&amp;""/""&amp;$I236&amp;""/map/?lat=""&amp;$D236&amp;""&amp;lon=""&amp;$E236&amp;""&amp;type=""&amp;$G236&amp;""&amp;name=""&amp;SUBSTITUTE($A236,""#"&amp;""",""%23""),$H236&amp;""/""&amp;$I236),IF($H236&lt;&gt;"""",IF(REGEXMATCH($H236,""50( ?['fF]([oO]{2})?[tT]?)?( ?[eE][rR]{2}[oO][rR])""),HYPERLINK(""https://www.munzee.com/map/?sandbox=1&amp;lat=""&amp;$D236&amp;""&amp;lon=""&amp;$E236&amp;""&amp;name=""&amp;SUBSTITUTE($A236,""#"",""%23""),""SANDBOX"""&amp;"),HYPERLINK(""https://www.munzee.com/m/""&amp;$H236&amp;""/deploys/0/type/""&amp;IFNA(VLOOKUP($G236,IMPORTRANGE(""https://docs.google.com/spreadsheets/d/1DliIGyDywdzxhd4svtjaewR0p9Y5UBTMNMQ2PcXsqss"",""type data!E2:F""),2,FALSE),$G236)&amp;""/"",$H236)),""""))"),"")</f>
        <v/>
      </c>
      <c r="K236" s="5" t="b">
        <v>0</v>
      </c>
      <c r="L236" s="7"/>
      <c r="M236" s="7"/>
    </row>
    <row r="237">
      <c r="A237" s="3" t="s">
        <v>374</v>
      </c>
      <c r="B237" s="3">
        <v>14.0</v>
      </c>
      <c r="C237" s="3">
        <v>21.0</v>
      </c>
      <c r="D237" s="4">
        <v>49.1884389297557</v>
      </c>
      <c r="E237" s="4">
        <v>-2.0928689975731</v>
      </c>
      <c r="F237" s="3" t="s">
        <v>375</v>
      </c>
      <c r="G237" s="3" t="s">
        <v>376</v>
      </c>
      <c r="H237" s="5"/>
      <c r="I237" s="5"/>
      <c r="J237" s="7" t="str">
        <f>IFERROR(__xludf.DUMMYFUNCTION("IF(AND(REGEXMATCH($H237,""50( ?['fF]([oO]{2})?[tT]?)?( ?[eE][rR]{2}[oO][rR])"")=FALSE,$H237&lt;&gt;"""",$I237&lt;&gt;""""),HYPERLINK(""https://www.munzee.com/m/""&amp;$H237&amp;""/""&amp;$I237&amp;""/map/?lat=""&amp;$D237&amp;""&amp;lon=""&amp;$E237&amp;""&amp;type=""&amp;$G237&amp;""&amp;name=""&amp;SUBSTITUTE($A237,""#"&amp;""",""%23""),$H237&amp;""/""&amp;$I237),IF($H237&lt;&gt;"""",IF(REGEXMATCH($H237,""50( ?['fF]([oO]{2})?[tT]?)?( ?[eE][rR]{2}[oO][rR])""),HYPERLINK(""https://www.munzee.com/map/?sandbox=1&amp;lat=""&amp;$D237&amp;""&amp;lon=""&amp;$E237&amp;""&amp;name=""&amp;SUBSTITUTE($A237,""#"",""%23""),""SANDBOX"""&amp;"),HYPERLINK(""https://www.munzee.com/m/""&amp;$H237&amp;""/deploys/0/type/""&amp;IFNA(VLOOKUP($G237,IMPORTRANGE(""https://docs.google.com/spreadsheets/d/1DliIGyDywdzxhd4svtjaewR0p9Y5UBTMNMQ2PcXsqss"",""type data!E2:F""),2,FALSE),$G237)&amp;""/"",$H237)),""""))"),"")</f>
        <v/>
      </c>
      <c r="K237" s="5" t="b">
        <v>0</v>
      </c>
      <c r="L237" s="7"/>
      <c r="M237" s="7"/>
    </row>
    <row r="238">
      <c r="A238" s="3" t="s">
        <v>377</v>
      </c>
      <c r="B238" s="3">
        <v>14.0</v>
      </c>
      <c r="C238" s="3">
        <v>22.0</v>
      </c>
      <c r="D238" s="4">
        <v>49.1883372968786</v>
      </c>
      <c r="E238" s="4">
        <v>-2.0927134946505</v>
      </c>
      <c r="F238" s="3" t="s">
        <v>329</v>
      </c>
      <c r="G238" s="3" t="s">
        <v>330</v>
      </c>
      <c r="H238" s="5"/>
      <c r="I238" s="5"/>
      <c r="J238" s="7" t="str">
        <f>IFERROR(__xludf.DUMMYFUNCTION("IF(AND(REGEXMATCH($H238,""50( ?['fF]([oO]{2})?[tT]?)?( ?[eE][rR]{2}[oO][rR])"")=FALSE,$H238&lt;&gt;"""",$I238&lt;&gt;""""),HYPERLINK(""https://www.munzee.com/m/""&amp;$H238&amp;""/""&amp;$I238&amp;""/map/?lat=""&amp;$D238&amp;""&amp;lon=""&amp;$E238&amp;""&amp;type=""&amp;$G238&amp;""&amp;name=""&amp;SUBSTITUTE($A238,""#"&amp;""",""%23""),$H238&amp;""/""&amp;$I238),IF($H238&lt;&gt;"""",IF(REGEXMATCH($H238,""50( ?['fF]([oO]{2})?[tT]?)?( ?[eE][rR]{2}[oO][rR])""),HYPERLINK(""https://www.munzee.com/map/?sandbox=1&amp;lat=""&amp;$D238&amp;""&amp;lon=""&amp;$E238&amp;""&amp;name=""&amp;SUBSTITUTE($A238,""#"",""%23""),""SANDBOX"""&amp;"),HYPERLINK(""https://www.munzee.com/m/""&amp;$H238&amp;""/deploys/0/type/""&amp;IFNA(VLOOKUP($G238,IMPORTRANGE(""https://docs.google.com/spreadsheets/d/1DliIGyDywdzxhd4svtjaewR0p9Y5UBTMNMQ2PcXsqss"",""type data!E2:F""),2,FALSE),$G238)&amp;""/"",$H238)),""""))"),"")</f>
        <v/>
      </c>
      <c r="K238" s="5" t="b">
        <v>0</v>
      </c>
      <c r="L238" s="7"/>
      <c r="M238" s="7"/>
    </row>
    <row r="239">
      <c r="A239" s="3" t="s">
        <v>378</v>
      </c>
      <c r="B239" s="3">
        <v>14.0</v>
      </c>
      <c r="C239" s="3">
        <v>25.0</v>
      </c>
      <c r="D239" s="4">
        <v>49.1880323982475</v>
      </c>
      <c r="E239" s="4">
        <v>-2.0922469877995</v>
      </c>
      <c r="F239" s="3" t="s">
        <v>250</v>
      </c>
      <c r="G239" s="3" t="s">
        <v>251</v>
      </c>
      <c r="H239" s="5"/>
      <c r="I239" s="5"/>
      <c r="J239" s="7" t="str">
        <f>IFERROR(__xludf.DUMMYFUNCTION("IF(AND(REGEXMATCH($H239,""50( ?['fF]([oO]{2})?[tT]?)?( ?[eE][rR]{2}[oO][rR])"")=FALSE,$H239&lt;&gt;"""",$I239&lt;&gt;""""),HYPERLINK(""https://www.munzee.com/m/""&amp;$H239&amp;""/""&amp;$I239&amp;""/map/?lat=""&amp;$D239&amp;""&amp;lon=""&amp;$E239&amp;""&amp;type=""&amp;$G239&amp;""&amp;name=""&amp;SUBSTITUTE($A239,""#"&amp;""",""%23""),$H239&amp;""/""&amp;$I239),IF($H239&lt;&gt;"""",IF(REGEXMATCH($H239,""50( ?['fF]([oO]{2})?[tT]?)?( ?[eE][rR]{2}[oO][rR])""),HYPERLINK(""https://www.munzee.com/map/?sandbox=1&amp;lat=""&amp;$D239&amp;""&amp;lon=""&amp;$E239&amp;""&amp;name=""&amp;SUBSTITUTE($A239,""#"",""%23""),""SANDBOX"""&amp;"),HYPERLINK(""https://www.munzee.com/m/""&amp;$H239&amp;""/deploys/0/type/""&amp;IFNA(VLOOKUP($G239,IMPORTRANGE(""https://docs.google.com/spreadsheets/d/1DliIGyDywdzxhd4svtjaewR0p9Y5UBTMNMQ2PcXsqss"",""type data!E2:F""),2,FALSE),$G239)&amp;""/"",$H239)),""""))"),"")</f>
        <v/>
      </c>
      <c r="K239" s="5" t="b">
        <v>0</v>
      </c>
      <c r="L239" s="7"/>
      <c r="M239" s="7"/>
    </row>
    <row r="240">
      <c r="A240" s="3" t="s">
        <v>379</v>
      </c>
      <c r="B240" s="3">
        <v>14.0</v>
      </c>
      <c r="C240" s="3">
        <v>26.0</v>
      </c>
      <c r="D240" s="4">
        <v>49.1879307653705</v>
      </c>
      <c r="E240" s="4">
        <v>-2.0920914861547</v>
      </c>
      <c r="F240" s="3" t="s">
        <v>69</v>
      </c>
      <c r="G240" s="3" t="s">
        <v>70</v>
      </c>
      <c r="H240" s="5"/>
      <c r="I240" s="5"/>
      <c r="J240" s="7" t="str">
        <f>IFERROR(__xludf.DUMMYFUNCTION("IF(AND(REGEXMATCH($H240,""50( ?['fF]([oO]{2})?[tT]?)?( ?[eE][rR]{2}[oO][rR])"")=FALSE,$H240&lt;&gt;"""",$I240&lt;&gt;""""),HYPERLINK(""https://www.munzee.com/m/""&amp;$H240&amp;""/""&amp;$I240&amp;""/map/?lat=""&amp;$D240&amp;""&amp;lon=""&amp;$E240&amp;""&amp;type=""&amp;$G240&amp;""&amp;name=""&amp;SUBSTITUTE($A240,""#"&amp;""",""%23""),$H240&amp;""/""&amp;$I240),IF($H240&lt;&gt;"""",IF(REGEXMATCH($H240,""50( ?['fF]([oO]{2})?[tT]?)?( ?[eE][rR]{2}[oO][rR])""),HYPERLINK(""https://www.munzee.com/map/?sandbox=1&amp;lat=""&amp;$D240&amp;""&amp;lon=""&amp;$E240&amp;""&amp;name=""&amp;SUBSTITUTE($A240,""#"",""%23""),""SANDBOX"""&amp;"),HYPERLINK(""https://www.munzee.com/m/""&amp;$H240&amp;""/deploys/0/type/""&amp;IFNA(VLOOKUP($G240,IMPORTRANGE(""https://docs.google.com/spreadsheets/d/1DliIGyDywdzxhd4svtjaewR0p9Y5UBTMNMQ2PcXsqss"",""type data!E2:F""),2,FALSE),$G240)&amp;""/"",$H240)),""""))"),"")</f>
        <v/>
      </c>
      <c r="K240" s="5" t="b">
        <v>0</v>
      </c>
      <c r="L240" s="7"/>
      <c r="M240" s="7"/>
    </row>
    <row r="241">
      <c r="A241" s="3" t="s">
        <v>380</v>
      </c>
      <c r="B241" s="3">
        <v>14.0</v>
      </c>
      <c r="C241" s="3">
        <v>27.0</v>
      </c>
      <c r="D241" s="4">
        <v>49.1878291324935</v>
      </c>
      <c r="E241" s="4">
        <v>-2.0919359848292</v>
      </c>
      <c r="F241" s="3" t="s">
        <v>122</v>
      </c>
      <c r="G241" s="3" t="s">
        <v>123</v>
      </c>
      <c r="H241" s="5"/>
      <c r="I241" s="5"/>
      <c r="J241" s="7" t="str">
        <f>IFERROR(__xludf.DUMMYFUNCTION("IF(AND(REGEXMATCH($H241,""50( ?['fF]([oO]{2})?[tT]?)?( ?[eE][rR]{2}[oO][rR])"")=FALSE,$H241&lt;&gt;"""",$I241&lt;&gt;""""),HYPERLINK(""https://www.munzee.com/m/""&amp;$H241&amp;""/""&amp;$I241&amp;""/map/?lat=""&amp;$D241&amp;""&amp;lon=""&amp;$E241&amp;""&amp;type=""&amp;$G241&amp;""&amp;name=""&amp;SUBSTITUTE($A241,""#"&amp;""",""%23""),$H241&amp;""/""&amp;$I241),IF($H241&lt;&gt;"""",IF(REGEXMATCH($H241,""50( ?['fF]([oO]{2})?[tT]?)?( ?[eE][rR]{2}[oO][rR])""),HYPERLINK(""https://www.munzee.com/map/?sandbox=1&amp;lat=""&amp;$D241&amp;""&amp;lon=""&amp;$E241&amp;""&amp;name=""&amp;SUBSTITUTE($A241,""#"",""%23""),""SANDBOX"""&amp;"),HYPERLINK(""https://www.munzee.com/m/""&amp;$H241&amp;""/deploys/0/type/""&amp;IFNA(VLOOKUP($G241,IMPORTRANGE(""https://docs.google.com/spreadsheets/d/1DliIGyDywdzxhd4svtjaewR0p9Y5UBTMNMQ2PcXsqss"",""type data!E2:F""),2,FALSE),$G241)&amp;""/"",$H241)),""""))"),"")</f>
        <v/>
      </c>
      <c r="K241" s="5" t="b">
        <v>0</v>
      </c>
      <c r="L241" s="7"/>
      <c r="M241" s="7"/>
    </row>
    <row r="242">
      <c r="A242" s="3" t="s">
        <v>381</v>
      </c>
      <c r="B242" s="3">
        <v>14.0</v>
      </c>
      <c r="C242" s="3">
        <v>28.0</v>
      </c>
      <c r="D242" s="4">
        <v>49.1877274996164</v>
      </c>
      <c r="E242" s="4">
        <v>-2.0917804838232</v>
      </c>
      <c r="F242" s="3" t="s">
        <v>122</v>
      </c>
      <c r="G242" s="3" t="s">
        <v>123</v>
      </c>
      <c r="H242" s="5" t="s">
        <v>65</v>
      </c>
      <c r="I242" s="9">
        <v>1335.0</v>
      </c>
      <c r="J242" s="6" t="str">
        <f>IFERROR(__xludf.DUMMYFUNCTION("IF(AND(REGEXMATCH($H242,""50( ?['fF]([oO]{2})?[tT]?)?( ?[eE][rR]{2}[oO][rR])"")=FALSE,$H242&lt;&gt;"""",$I242&lt;&gt;""""),HYPERLINK(""https://www.munzee.com/m/""&amp;$H242&amp;""/""&amp;$I242&amp;""/map/?lat=""&amp;$D242&amp;""&amp;lon=""&amp;$E242&amp;""&amp;type=""&amp;$G242&amp;""&amp;name=""&amp;SUBSTITUTE($A242,""#"&amp;""",""%23""),$H242&amp;""/""&amp;$I242),IF($H242&lt;&gt;"""",IF(REGEXMATCH($H242,""50( ?['fF]([oO]{2})?[tT]?)?( ?[eE][rR]{2}[oO][rR])""),HYPERLINK(""https://www.munzee.com/map/?sandbox=1&amp;lat=""&amp;$D242&amp;""&amp;lon=""&amp;$E242&amp;""&amp;name=""&amp;SUBSTITUTE($A242,""#"",""%23""),""SANDBOX"""&amp;"),HYPERLINK(""https://www.munzee.com/m/""&amp;$H242&amp;""/deploys/0/type/""&amp;IFNA(VLOOKUP($G242,IMPORTRANGE(""https://docs.google.com/spreadsheets/d/1DliIGyDywdzxhd4svtjaewR0p9Y5UBTMNMQ2PcXsqss"",""type data!E2:F""),2,FALSE),$G242)&amp;""/"",$H242)),""""))"),"NikitaStolk/1335")</f>
        <v>NikitaStolk/1335</v>
      </c>
      <c r="K242" s="5" t="b">
        <v>0</v>
      </c>
      <c r="L242" s="7"/>
      <c r="M242" s="7"/>
    </row>
    <row r="243">
      <c r="A243" s="3" t="s">
        <v>382</v>
      </c>
      <c r="B243" s="3">
        <v>14.0</v>
      </c>
      <c r="C243" s="3">
        <v>29.0</v>
      </c>
      <c r="D243" s="4">
        <v>49.1876258667394</v>
      </c>
      <c r="E243" s="4">
        <v>-2.0916249831366</v>
      </c>
      <c r="F243" s="3" t="s">
        <v>151</v>
      </c>
      <c r="G243" s="3" t="s">
        <v>152</v>
      </c>
      <c r="H243" s="5"/>
      <c r="I243" s="5"/>
      <c r="J243" s="7" t="str">
        <f>IFERROR(__xludf.DUMMYFUNCTION("IF(AND(REGEXMATCH($H243,""50( ?['fF]([oO]{2})?[tT]?)?( ?[eE][rR]{2}[oO][rR])"")=FALSE,$H243&lt;&gt;"""",$I243&lt;&gt;""""),HYPERLINK(""https://www.munzee.com/m/""&amp;$H243&amp;""/""&amp;$I243&amp;""/map/?lat=""&amp;$D243&amp;""&amp;lon=""&amp;$E243&amp;""&amp;type=""&amp;$G243&amp;""&amp;name=""&amp;SUBSTITUTE($A243,""#"&amp;""",""%23""),$H243&amp;""/""&amp;$I243),IF($H243&lt;&gt;"""",IF(REGEXMATCH($H243,""50( ?['fF]([oO]{2})?[tT]?)?( ?[eE][rR]{2}[oO][rR])""),HYPERLINK(""https://www.munzee.com/map/?sandbox=1&amp;lat=""&amp;$D243&amp;""&amp;lon=""&amp;$E243&amp;""&amp;name=""&amp;SUBSTITUTE($A243,""#"",""%23""),""SANDBOX"""&amp;"),HYPERLINK(""https://www.munzee.com/m/""&amp;$H243&amp;""/deploys/0/type/""&amp;IFNA(VLOOKUP($G243,IMPORTRANGE(""https://docs.google.com/spreadsheets/d/1DliIGyDywdzxhd4svtjaewR0p9Y5UBTMNMQ2PcXsqss"",""type data!E2:F""),2,FALSE),$G243)&amp;""/"",$H243)),""""))"),"")</f>
        <v/>
      </c>
      <c r="K243" s="5" t="b">
        <v>0</v>
      </c>
      <c r="L243" s="7"/>
      <c r="M243" s="7"/>
    </row>
    <row r="244">
      <c r="A244" s="3" t="s">
        <v>383</v>
      </c>
      <c r="B244" s="3">
        <v>15.0</v>
      </c>
      <c r="C244" s="3">
        <v>10.0</v>
      </c>
      <c r="D244" s="4">
        <v>49.189455258526</v>
      </c>
      <c r="E244" s="4">
        <v>-2.0947350719355</v>
      </c>
      <c r="F244" s="3" t="s">
        <v>329</v>
      </c>
      <c r="G244" s="3" t="s">
        <v>330</v>
      </c>
      <c r="H244" s="5"/>
      <c r="I244" s="5"/>
      <c r="J244" s="7" t="str">
        <f>IFERROR(__xludf.DUMMYFUNCTION("IF(AND(REGEXMATCH($H244,""50( ?['fF]([oO]{2})?[tT]?)?( ?[eE][rR]{2}[oO][rR])"")=FALSE,$H244&lt;&gt;"""",$I244&lt;&gt;""""),HYPERLINK(""https://www.munzee.com/m/""&amp;$H244&amp;""/""&amp;$I244&amp;""/map/?lat=""&amp;$D244&amp;""&amp;lon=""&amp;$E244&amp;""&amp;type=""&amp;$G244&amp;""&amp;name=""&amp;SUBSTITUTE($A244,""#"&amp;""",""%23""),$H244&amp;""/""&amp;$I244),IF($H244&lt;&gt;"""",IF(REGEXMATCH($H244,""50( ?['fF]([oO]{2})?[tT]?)?( ?[eE][rR]{2}[oO][rR])""),HYPERLINK(""https://www.munzee.com/map/?sandbox=1&amp;lat=""&amp;$D244&amp;""&amp;lon=""&amp;$E244&amp;""&amp;name=""&amp;SUBSTITUTE($A244,""#"",""%23""),""SANDBOX"""&amp;"),HYPERLINK(""https://www.munzee.com/m/""&amp;$H244&amp;""/deploys/0/type/""&amp;IFNA(VLOOKUP($G244,IMPORTRANGE(""https://docs.google.com/spreadsheets/d/1DliIGyDywdzxhd4svtjaewR0p9Y5UBTMNMQ2PcXsqss"",""type data!E2:F""),2,FALSE),$G244)&amp;""/"",$H244)),""""))"),"")</f>
        <v/>
      </c>
      <c r="K244" s="5" t="b">
        <v>0</v>
      </c>
      <c r="L244" s="7"/>
      <c r="M244" s="7"/>
    </row>
    <row r="245">
      <c r="A245" s="3" t="s">
        <v>384</v>
      </c>
      <c r="B245" s="3">
        <v>15.0</v>
      </c>
      <c r="C245" s="3">
        <v>11.0</v>
      </c>
      <c r="D245" s="4">
        <v>49.189353625649</v>
      </c>
      <c r="E245" s="4">
        <v>-2.0945795658185</v>
      </c>
      <c r="F245" s="3" t="s">
        <v>385</v>
      </c>
      <c r="G245" s="3" t="s">
        <v>386</v>
      </c>
      <c r="H245" s="5" t="s">
        <v>387</v>
      </c>
      <c r="I245" s="5">
        <v>2276.0</v>
      </c>
      <c r="J245" s="6" t="str">
        <f>IFERROR(__xludf.DUMMYFUNCTION("IF(AND(REGEXMATCH($H245,""50( ?['fF]([oO]{2})?[tT]?)?( ?[eE][rR]{2}[oO][rR])"")=FALSE,$H245&lt;&gt;"""",$I245&lt;&gt;""""),HYPERLINK(""https://www.munzee.com/m/""&amp;$H245&amp;""/""&amp;$I245&amp;""/map/?lat=""&amp;$D245&amp;""&amp;lon=""&amp;$E245&amp;""&amp;type=""&amp;$G245&amp;""&amp;name=""&amp;SUBSTITUTE($A245,""#"&amp;""",""%23""),$H245&amp;""/""&amp;$I245),IF($H245&lt;&gt;"""",IF(REGEXMATCH($H245,""50( ?['fF]([oO]{2})?[tT]?)?( ?[eE][rR]{2}[oO][rR])""),HYPERLINK(""https://www.munzee.com/map/?sandbox=1&amp;lat=""&amp;$D245&amp;""&amp;lon=""&amp;$E245&amp;""&amp;name=""&amp;SUBSTITUTE($A245,""#"",""%23""),""SANDBOX"""&amp;"),HYPERLINK(""https://www.munzee.com/m/""&amp;$H245&amp;""/deploys/0/type/""&amp;IFNA(VLOOKUP($G245,IMPORTRANGE(""https://docs.google.com/spreadsheets/d/1DliIGyDywdzxhd4svtjaewR0p9Y5UBTMNMQ2PcXsqss"",""type data!E2:F""),2,FALSE),$G245)&amp;""/"",$H245)),""""))"),"redshark78/2276")</f>
        <v>redshark78/2276</v>
      </c>
      <c r="K245" s="5" t="b">
        <v>1</v>
      </c>
      <c r="L245" s="7"/>
      <c r="M245" s="7"/>
    </row>
    <row r="246">
      <c r="A246" s="3" t="s">
        <v>388</v>
      </c>
      <c r="B246" s="3">
        <v>15.0</v>
      </c>
      <c r="C246" s="3">
        <v>12.0</v>
      </c>
      <c r="D246" s="4">
        <v>49.1892519927719</v>
      </c>
      <c r="E246" s="4">
        <v>-2.0944240600211</v>
      </c>
      <c r="F246" s="3" t="s">
        <v>296</v>
      </c>
      <c r="G246" s="3" t="s">
        <v>297</v>
      </c>
      <c r="H246" s="5"/>
      <c r="I246" s="5"/>
      <c r="J246" s="7" t="str">
        <f>IFERROR(__xludf.DUMMYFUNCTION("IF(AND(REGEXMATCH($H246,""50( ?['fF]([oO]{2})?[tT]?)?( ?[eE][rR]{2}[oO][rR])"")=FALSE,$H246&lt;&gt;"""",$I246&lt;&gt;""""),HYPERLINK(""https://www.munzee.com/m/""&amp;$H246&amp;""/""&amp;$I246&amp;""/map/?lat=""&amp;$D246&amp;""&amp;lon=""&amp;$E246&amp;""&amp;type=""&amp;$G246&amp;""&amp;name=""&amp;SUBSTITUTE($A246,""#"&amp;""",""%23""),$H246&amp;""/""&amp;$I246),IF($H246&lt;&gt;"""",IF(REGEXMATCH($H246,""50( ?['fF]([oO]{2})?[tT]?)?( ?[eE][rR]{2}[oO][rR])""),HYPERLINK(""https://www.munzee.com/map/?sandbox=1&amp;lat=""&amp;$D246&amp;""&amp;lon=""&amp;$E246&amp;""&amp;name=""&amp;SUBSTITUTE($A246,""#"",""%23""),""SANDBOX"""&amp;"),HYPERLINK(""https://www.munzee.com/m/""&amp;$H246&amp;""/deploys/0/type/""&amp;IFNA(VLOOKUP($G246,IMPORTRANGE(""https://docs.google.com/spreadsheets/d/1DliIGyDywdzxhd4svtjaewR0p9Y5UBTMNMQ2PcXsqss"",""type data!E2:F""),2,FALSE),$G246)&amp;""/"",$H246)),""""))"),"")</f>
        <v/>
      </c>
      <c r="K246" s="5" t="b">
        <v>0</v>
      </c>
      <c r="L246" s="7"/>
      <c r="M246" s="7"/>
    </row>
    <row r="247">
      <c r="A247" s="3" t="s">
        <v>389</v>
      </c>
      <c r="B247" s="3">
        <v>15.0</v>
      </c>
      <c r="C247" s="3">
        <v>13.0</v>
      </c>
      <c r="D247" s="4">
        <v>49.1891503598949</v>
      </c>
      <c r="E247" s="4">
        <v>-2.0942685545431</v>
      </c>
      <c r="F247" s="3" t="s">
        <v>296</v>
      </c>
      <c r="G247" s="3" t="s">
        <v>297</v>
      </c>
      <c r="H247" s="5"/>
      <c r="I247" s="5"/>
      <c r="J247" s="7" t="str">
        <f>IFERROR(__xludf.DUMMYFUNCTION("IF(AND(REGEXMATCH($H247,""50( ?['fF]([oO]{2})?[tT]?)?( ?[eE][rR]{2}[oO][rR])"")=FALSE,$H247&lt;&gt;"""",$I247&lt;&gt;""""),HYPERLINK(""https://www.munzee.com/m/""&amp;$H247&amp;""/""&amp;$I247&amp;""/map/?lat=""&amp;$D247&amp;""&amp;lon=""&amp;$E247&amp;""&amp;type=""&amp;$G247&amp;""&amp;name=""&amp;SUBSTITUTE($A247,""#"&amp;""",""%23""),$H247&amp;""/""&amp;$I247),IF($H247&lt;&gt;"""",IF(REGEXMATCH($H247,""50( ?['fF]([oO]{2})?[tT]?)?( ?[eE][rR]{2}[oO][rR])""),HYPERLINK(""https://www.munzee.com/map/?sandbox=1&amp;lat=""&amp;$D247&amp;""&amp;lon=""&amp;$E247&amp;""&amp;name=""&amp;SUBSTITUTE($A247,""#"",""%23""),""SANDBOX"""&amp;"),HYPERLINK(""https://www.munzee.com/m/""&amp;$H247&amp;""/deploys/0/type/""&amp;IFNA(VLOOKUP($G247,IMPORTRANGE(""https://docs.google.com/spreadsheets/d/1DliIGyDywdzxhd4svtjaewR0p9Y5UBTMNMQ2PcXsqss"",""type data!E2:F""),2,FALSE),$G247)&amp;""/"",$H247)),""""))"),"")</f>
        <v/>
      </c>
      <c r="K247" s="5" t="b">
        <v>0</v>
      </c>
      <c r="L247" s="7"/>
      <c r="M247" s="7"/>
    </row>
    <row r="248">
      <c r="A248" s="3" t="s">
        <v>390</v>
      </c>
      <c r="B248" s="3">
        <v>15.0</v>
      </c>
      <c r="C248" s="3">
        <v>14.0</v>
      </c>
      <c r="D248" s="4">
        <v>49.1890487270179</v>
      </c>
      <c r="E248" s="4">
        <v>-2.0941130493845</v>
      </c>
      <c r="F248" s="3" t="s">
        <v>69</v>
      </c>
      <c r="G248" s="3" t="s">
        <v>70</v>
      </c>
      <c r="H248" s="5"/>
      <c r="I248" s="5"/>
      <c r="J248" s="7" t="str">
        <f>IFERROR(__xludf.DUMMYFUNCTION("IF(AND(REGEXMATCH($H248,""50( ?['fF]([oO]{2})?[tT]?)?( ?[eE][rR]{2}[oO][rR])"")=FALSE,$H248&lt;&gt;"""",$I248&lt;&gt;""""),HYPERLINK(""https://www.munzee.com/m/""&amp;$H248&amp;""/""&amp;$I248&amp;""/map/?lat=""&amp;$D248&amp;""&amp;lon=""&amp;$E248&amp;""&amp;type=""&amp;$G248&amp;""&amp;name=""&amp;SUBSTITUTE($A248,""#"&amp;""",""%23""),$H248&amp;""/""&amp;$I248),IF($H248&lt;&gt;"""",IF(REGEXMATCH($H248,""50( ?['fF]([oO]{2})?[tT]?)?( ?[eE][rR]{2}[oO][rR])""),HYPERLINK(""https://www.munzee.com/map/?sandbox=1&amp;lat=""&amp;$D248&amp;""&amp;lon=""&amp;$E248&amp;""&amp;name=""&amp;SUBSTITUTE($A248,""#"",""%23""),""SANDBOX"""&amp;"),HYPERLINK(""https://www.munzee.com/m/""&amp;$H248&amp;""/deploys/0/type/""&amp;IFNA(VLOOKUP($G248,IMPORTRANGE(""https://docs.google.com/spreadsheets/d/1DliIGyDywdzxhd4svtjaewR0p9Y5UBTMNMQ2PcXsqss"",""type data!E2:F""),2,FALSE),$G248)&amp;""/"",$H248)),""""))"),"")</f>
        <v/>
      </c>
      <c r="K248" s="5" t="b">
        <v>0</v>
      </c>
      <c r="L248" s="7"/>
      <c r="M248" s="7"/>
    </row>
    <row r="249">
      <c r="A249" s="3" t="s">
        <v>391</v>
      </c>
      <c r="B249" s="3">
        <v>15.0</v>
      </c>
      <c r="C249" s="3">
        <v>15.0</v>
      </c>
      <c r="D249" s="4">
        <v>49.1889470941408</v>
      </c>
      <c r="E249" s="4">
        <v>-2.0939575445454</v>
      </c>
      <c r="F249" s="3" t="s">
        <v>339</v>
      </c>
      <c r="G249" s="3" t="s">
        <v>340</v>
      </c>
      <c r="H249" s="5"/>
      <c r="I249" s="5"/>
      <c r="J249" s="7" t="str">
        <f>IFERROR(__xludf.DUMMYFUNCTION("IF(AND(REGEXMATCH($H249,""50( ?['fF]([oO]{2})?[tT]?)?( ?[eE][rR]{2}[oO][rR])"")=FALSE,$H249&lt;&gt;"""",$I249&lt;&gt;""""),HYPERLINK(""https://www.munzee.com/m/""&amp;$H249&amp;""/""&amp;$I249&amp;""/map/?lat=""&amp;$D249&amp;""&amp;lon=""&amp;$E249&amp;""&amp;type=""&amp;$G249&amp;""&amp;name=""&amp;SUBSTITUTE($A249,""#"&amp;""",""%23""),$H249&amp;""/""&amp;$I249),IF($H249&lt;&gt;"""",IF(REGEXMATCH($H249,""50( ?['fF]([oO]{2})?[tT]?)?( ?[eE][rR]{2}[oO][rR])""),HYPERLINK(""https://www.munzee.com/map/?sandbox=1&amp;lat=""&amp;$D249&amp;""&amp;lon=""&amp;$E249&amp;""&amp;name=""&amp;SUBSTITUTE($A249,""#"",""%23""),""SANDBOX"""&amp;"),HYPERLINK(""https://www.munzee.com/m/""&amp;$H249&amp;""/deploys/0/type/""&amp;IFNA(VLOOKUP($G249,IMPORTRANGE(""https://docs.google.com/spreadsheets/d/1DliIGyDywdzxhd4svtjaewR0p9Y5UBTMNMQ2PcXsqss"",""type data!E2:F""),2,FALSE),$G249)&amp;""/"",$H249)),""""))"),"")</f>
        <v/>
      </c>
      <c r="K249" s="5" t="b">
        <v>0</v>
      </c>
      <c r="L249" s="7"/>
      <c r="M249" s="7"/>
    </row>
    <row r="250">
      <c r="A250" s="3" t="s">
        <v>392</v>
      </c>
      <c r="B250" s="3">
        <v>15.0</v>
      </c>
      <c r="C250" s="3">
        <v>16.0</v>
      </c>
      <c r="D250" s="4">
        <v>49.1888454612638</v>
      </c>
      <c r="E250" s="4">
        <v>-2.0938020400257</v>
      </c>
      <c r="F250" s="3" t="s">
        <v>366</v>
      </c>
      <c r="G250" s="3" t="s">
        <v>367</v>
      </c>
      <c r="H250" s="5"/>
      <c r="I250" s="5"/>
      <c r="J250" s="7" t="str">
        <f>IFERROR(__xludf.DUMMYFUNCTION("IF(AND(REGEXMATCH($H250,""50( ?['fF]([oO]{2})?[tT]?)?( ?[eE][rR]{2}[oO][rR])"")=FALSE,$H250&lt;&gt;"""",$I250&lt;&gt;""""),HYPERLINK(""https://www.munzee.com/m/""&amp;$H250&amp;""/""&amp;$I250&amp;""/map/?lat=""&amp;$D250&amp;""&amp;lon=""&amp;$E250&amp;""&amp;type=""&amp;$G250&amp;""&amp;name=""&amp;SUBSTITUTE($A250,""#"&amp;""",""%23""),$H250&amp;""/""&amp;$I250),IF($H250&lt;&gt;"""",IF(REGEXMATCH($H250,""50( ?['fF]([oO]{2})?[tT]?)?( ?[eE][rR]{2}[oO][rR])""),HYPERLINK(""https://www.munzee.com/map/?sandbox=1&amp;lat=""&amp;$D250&amp;""&amp;lon=""&amp;$E250&amp;""&amp;name=""&amp;SUBSTITUTE($A250,""#"",""%23""),""SANDBOX"""&amp;"),HYPERLINK(""https://www.munzee.com/m/""&amp;$H250&amp;""/deploys/0/type/""&amp;IFNA(VLOOKUP($G250,IMPORTRANGE(""https://docs.google.com/spreadsheets/d/1DliIGyDywdzxhd4svtjaewR0p9Y5UBTMNMQ2PcXsqss"",""type data!E2:F""),2,FALSE),$G250)&amp;""/"",$H250)),""""))"),"")</f>
        <v/>
      </c>
      <c r="K250" s="5" t="b">
        <v>0</v>
      </c>
      <c r="L250" s="7"/>
      <c r="M250" s="7"/>
    </row>
    <row r="251">
      <c r="A251" s="3" t="s">
        <v>393</v>
      </c>
      <c r="B251" s="3">
        <v>15.0</v>
      </c>
      <c r="C251" s="3">
        <v>17.0</v>
      </c>
      <c r="D251" s="4">
        <v>49.1887438283868</v>
      </c>
      <c r="E251" s="4">
        <v>-2.0936465358254</v>
      </c>
      <c r="F251" s="3" t="s">
        <v>339</v>
      </c>
      <c r="G251" s="3" t="s">
        <v>340</v>
      </c>
      <c r="H251" s="5"/>
      <c r="I251" s="5"/>
      <c r="J251" s="7" t="str">
        <f>IFERROR(__xludf.DUMMYFUNCTION("IF(AND(REGEXMATCH($H251,""50( ?['fF]([oO]{2})?[tT]?)?( ?[eE][rR]{2}[oO][rR])"")=FALSE,$H251&lt;&gt;"""",$I251&lt;&gt;""""),HYPERLINK(""https://www.munzee.com/m/""&amp;$H251&amp;""/""&amp;$I251&amp;""/map/?lat=""&amp;$D251&amp;""&amp;lon=""&amp;$E251&amp;""&amp;type=""&amp;$G251&amp;""&amp;name=""&amp;SUBSTITUTE($A251,""#"&amp;""",""%23""),$H251&amp;""/""&amp;$I251),IF($H251&lt;&gt;"""",IF(REGEXMATCH($H251,""50( ?['fF]([oO]{2})?[tT]?)?( ?[eE][rR]{2}[oO][rR])""),HYPERLINK(""https://www.munzee.com/map/?sandbox=1&amp;lat=""&amp;$D251&amp;""&amp;lon=""&amp;$E251&amp;""&amp;name=""&amp;SUBSTITUTE($A251,""#"",""%23""),""SANDBOX"""&amp;"),HYPERLINK(""https://www.munzee.com/m/""&amp;$H251&amp;""/deploys/0/type/""&amp;IFNA(VLOOKUP($G251,IMPORTRANGE(""https://docs.google.com/spreadsheets/d/1DliIGyDywdzxhd4svtjaewR0p9Y5UBTMNMQ2PcXsqss"",""type data!E2:F""),2,FALSE),$G251)&amp;""/"",$H251)),""""))"),"")</f>
        <v/>
      </c>
      <c r="K251" s="5" t="b">
        <v>0</v>
      </c>
      <c r="L251" s="7"/>
      <c r="M251" s="7"/>
    </row>
    <row r="252">
      <c r="A252" s="3" t="s">
        <v>394</v>
      </c>
      <c r="B252" s="3">
        <v>15.0</v>
      </c>
      <c r="C252" s="3">
        <v>18.0</v>
      </c>
      <c r="D252" s="4">
        <v>49.1886421955097</v>
      </c>
      <c r="E252" s="4">
        <v>-2.0934910319446</v>
      </c>
      <c r="F252" s="3" t="s">
        <v>69</v>
      </c>
      <c r="G252" s="3" t="s">
        <v>70</v>
      </c>
      <c r="H252" s="5"/>
      <c r="I252" s="5"/>
      <c r="J252" s="7" t="str">
        <f>IFERROR(__xludf.DUMMYFUNCTION("IF(AND(REGEXMATCH($H252,""50( ?['fF]([oO]{2})?[tT]?)?( ?[eE][rR]{2}[oO][rR])"")=FALSE,$H252&lt;&gt;"""",$I252&lt;&gt;""""),HYPERLINK(""https://www.munzee.com/m/""&amp;$H252&amp;""/""&amp;$I252&amp;""/map/?lat=""&amp;$D252&amp;""&amp;lon=""&amp;$E252&amp;""&amp;type=""&amp;$G252&amp;""&amp;name=""&amp;SUBSTITUTE($A252,""#"&amp;""",""%23""),$H252&amp;""/""&amp;$I252),IF($H252&lt;&gt;"""",IF(REGEXMATCH($H252,""50( ?['fF]([oO]{2})?[tT]?)?( ?[eE][rR]{2}[oO][rR])""),HYPERLINK(""https://www.munzee.com/map/?sandbox=1&amp;lat=""&amp;$D252&amp;""&amp;lon=""&amp;$E252&amp;""&amp;name=""&amp;SUBSTITUTE($A252,""#"",""%23""),""SANDBOX"""&amp;"),HYPERLINK(""https://www.munzee.com/m/""&amp;$H252&amp;""/deploys/0/type/""&amp;IFNA(VLOOKUP($G252,IMPORTRANGE(""https://docs.google.com/spreadsheets/d/1DliIGyDywdzxhd4svtjaewR0p9Y5UBTMNMQ2PcXsqss"",""type data!E2:F""),2,FALSE),$G252)&amp;""/"",$H252)),""""))"),"")</f>
        <v/>
      </c>
      <c r="K252" s="5" t="b">
        <v>0</v>
      </c>
      <c r="L252" s="7"/>
      <c r="M252" s="7"/>
    </row>
    <row r="253">
      <c r="A253" s="3" t="s">
        <v>395</v>
      </c>
      <c r="B253" s="3">
        <v>15.0</v>
      </c>
      <c r="C253" s="3">
        <v>19.0</v>
      </c>
      <c r="D253" s="4">
        <v>49.1885405626327</v>
      </c>
      <c r="E253" s="4">
        <v>-2.0933355283832</v>
      </c>
      <c r="F253" s="3" t="s">
        <v>296</v>
      </c>
      <c r="G253" s="3" t="s">
        <v>297</v>
      </c>
      <c r="H253" s="5" t="s">
        <v>306</v>
      </c>
      <c r="I253" s="5">
        <v>3408.0</v>
      </c>
      <c r="J253" s="6" t="str">
        <f>IFERROR(__xludf.DUMMYFUNCTION("IF(AND(REGEXMATCH($H253,""50( ?['fF]([oO]{2})?[tT]?)?( ?[eE][rR]{2}[oO][rR])"")=FALSE,$H253&lt;&gt;"""",$I253&lt;&gt;""""),HYPERLINK(""https://www.munzee.com/m/""&amp;$H253&amp;""/""&amp;$I253&amp;""/map/?lat=""&amp;$D253&amp;""&amp;lon=""&amp;$E253&amp;""&amp;type=""&amp;$G253&amp;""&amp;name=""&amp;SUBSTITUTE($A253,""#"&amp;""",""%23""),$H253&amp;""/""&amp;$I253),IF($H253&lt;&gt;"""",IF(REGEXMATCH($H253,""50( ?['fF]([oO]{2})?[tT]?)?( ?[eE][rR]{2}[oO][rR])""),HYPERLINK(""https://www.munzee.com/map/?sandbox=1&amp;lat=""&amp;$D253&amp;""&amp;lon=""&amp;$E253&amp;""&amp;name=""&amp;SUBSTITUTE($A253,""#"",""%23""),""SANDBOX"""&amp;"),HYPERLINK(""https://www.munzee.com/m/""&amp;$H253&amp;""/deploys/0/type/""&amp;IFNA(VLOOKUP($G253,IMPORTRANGE(""https://docs.google.com/spreadsheets/d/1DliIGyDywdzxhd4svtjaewR0p9Y5UBTMNMQ2PcXsqss"",""type data!E2:F""),2,FALSE),$G253)&amp;""/"",$H253)),""""))"),"Bisquick2/3408")</f>
        <v>Bisquick2/3408</v>
      </c>
      <c r="K253" s="5" t="b">
        <v>1</v>
      </c>
      <c r="L253" s="7"/>
      <c r="M253" s="7"/>
    </row>
    <row r="254">
      <c r="A254" s="3" t="s">
        <v>396</v>
      </c>
      <c r="B254" s="3">
        <v>15.0</v>
      </c>
      <c r="C254" s="3">
        <v>20.0</v>
      </c>
      <c r="D254" s="4">
        <v>49.1884389297557</v>
      </c>
      <c r="E254" s="4">
        <v>-2.0931800251412</v>
      </c>
      <c r="F254" s="3" t="s">
        <v>296</v>
      </c>
      <c r="G254" s="3" t="s">
        <v>297</v>
      </c>
      <c r="H254" s="5"/>
      <c r="I254" s="5"/>
      <c r="J254" s="7" t="str">
        <f>IFERROR(__xludf.DUMMYFUNCTION("IF(AND(REGEXMATCH($H254,""50( ?['fF]([oO]{2})?[tT]?)?( ?[eE][rR]{2}[oO][rR])"")=FALSE,$H254&lt;&gt;"""",$I254&lt;&gt;""""),HYPERLINK(""https://www.munzee.com/m/""&amp;$H254&amp;""/""&amp;$I254&amp;""/map/?lat=""&amp;$D254&amp;""&amp;lon=""&amp;$E254&amp;""&amp;type=""&amp;$G254&amp;""&amp;name=""&amp;SUBSTITUTE($A254,""#"&amp;""",""%23""),$H254&amp;""/""&amp;$I254),IF($H254&lt;&gt;"""",IF(REGEXMATCH($H254,""50( ?['fF]([oO]{2})?[tT]?)?( ?[eE][rR]{2}[oO][rR])""),HYPERLINK(""https://www.munzee.com/map/?sandbox=1&amp;lat=""&amp;$D254&amp;""&amp;lon=""&amp;$E254&amp;""&amp;name=""&amp;SUBSTITUTE($A254,""#"",""%23""),""SANDBOX"""&amp;"),HYPERLINK(""https://www.munzee.com/m/""&amp;$H254&amp;""/deploys/0/type/""&amp;IFNA(VLOOKUP($G254,IMPORTRANGE(""https://docs.google.com/spreadsheets/d/1DliIGyDywdzxhd4svtjaewR0p9Y5UBTMNMQ2PcXsqss"",""type data!E2:F""),2,FALSE),$G254)&amp;""/"",$H254)),""""))"),"")</f>
        <v/>
      </c>
      <c r="K254" s="5" t="b">
        <v>0</v>
      </c>
      <c r="L254" s="7"/>
      <c r="M254" s="7"/>
    </row>
    <row r="255">
      <c r="A255" s="3" t="s">
        <v>397</v>
      </c>
      <c r="B255" s="3">
        <v>15.0</v>
      </c>
      <c r="C255" s="3">
        <v>21.0</v>
      </c>
      <c r="D255" s="4">
        <v>49.1883372968786</v>
      </c>
      <c r="E255" s="4">
        <v>-2.0930245222187</v>
      </c>
      <c r="F255" s="3" t="s">
        <v>303</v>
      </c>
      <c r="G255" s="3" t="s">
        <v>304</v>
      </c>
      <c r="H255" s="5" t="s">
        <v>398</v>
      </c>
      <c r="I255" s="5">
        <v>7596.0</v>
      </c>
      <c r="J255" s="6" t="str">
        <f>IFERROR(__xludf.DUMMYFUNCTION("IF(AND(REGEXMATCH($H255,""50( ?['fF]([oO]{2})?[tT]?)?( ?[eE][rR]{2}[oO][rR])"")=FALSE,$H255&lt;&gt;"""",$I255&lt;&gt;""""),HYPERLINK(""https://www.munzee.com/m/""&amp;$H255&amp;""/""&amp;$I255&amp;""/map/?lat=""&amp;$D255&amp;""&amp;lon=""&amp;$E255&amp;""&amp;type=""&amp;$G255&amp;""&amp;name=""&amp;SUBSTITUTE($A255,""#"&amp;""",""%23""),$H255&amp;""/""&amp;$I255),IF($H255&lt;&gt;"""",IF(REGEXMATCH($H255,""50( ?['fF]([oO]{2})?[tT]?)?( ?[eE][rR]{2}[oO][rR])""),HYPERLINK(""https://www.munzee.com/map/?sandbox=1&amp;lat=""&amp;$D255&amp;""&amp;lon=""&amp;$E255&amp;""&amp;name=""&amp;SUBSTITUTE($A255,""#"",""%23""),""SANDBOX"""&amp;"),HYPERLINK(""https://www.munzee.com/m/""&amp;$H255&amp;""/deploys/0/type/""&amp;IFNA(VLOOKUP($G255,IMPORTRANGE(""https://docs.google.com/spreadsheets/d/1DliIGyDywdzxhd4svtjaewR0p9Y5UBTMNMQ2PcXsqss"",""type data!E2:F""),2,FALSE),$G255)&amp;""/"",$H255)),""""))"),"WVKiwi/7596")</f>
        <v>WVKiwi/7596</v>
      </c>
      <c r="K255" s="5" t="b">
        <v>1</v>
      </c>
      <c r="L255" s="5"/>
      <c r="M255" s="7"/>
    </row>
    <row r="256">
      <c r="A256" s="3" t="s">
        <v>399</v>
      </c>
      <c r="B256" s="3">
        <v>15.0</v>
      </c>
      <c r="C256" s="3">
        <v>22.0</v>
      </c>
      <c r="D256" s="4">
        <v>49.1882356640016</v>
      </c>
      <c r="E256" s="4">
        <v>-2.0928690196156</v>
      </c>
      <c r="F256" s="3" t="s">
        <v>329</v>
      </c>
      <c r="G256" s="3" t="s">
        <v>330</v>
      </c>
      <c r="H256" s="5"/>
      <c r="I256" s="5"/>
      <c r="J256" s="7" t="str">
        <f>IFERROR(__xludf.DUMMYFUNCTION("IF(AND(REGEXMATCH($H256,""50( ?['fF]([oO]{2})?[tT]?)?( ?[eE][rR]{2}[oO][rR])"")=FALSE,$H256&lt;&gt;"""",$I256&lt;&gt;""""),HYPERLINK(""https://www.munzee.com/m/""&amp;$H256&amp;""/""&amp;$I256&amp;""/map/?lat=""&amp;$D256&amp;""&amp;lon=""&amp;$E256&amp;""&amp;type=""&amp;$G256&amp;""&amp;name=""&amp;SUBSTITUTE($A256,""#"&amp;""",""%23""),$H256&amp;""/""&amp;$I256),IF($H256&lt;&gt;"""",IF(REGEXMATCH($H256,""50( ?['fF]([oO]{2})?[tT]?)?( ?[eE][rR]{2}[oO][rR])""),HYPERLINK(""https://www.munzee.com/map/?sandbox=1&amp;lat=""&amp;$D256&amp;""&amp;lon=""&amp;$E256&amp;""&amp;name=""&amp;SUBSTITUTE($A256,""#"",""%23""),""SANDBOX"""&amp;"),HYPERLINK(""https://www.munzee.com/m/""&amp;$H256&amp;""/deploys/0/type/""&amp;IFNA(VLOOKUP($G256,IMPORTRANGE(""https://docs.google.com/spreadsheets/d/1DliIGyDywdzxhd4svtjaewR0p9Y5UBTMNMQ2PcXsqss"",""type data!E2:F""),2,FALSE),$G256)&amp;""/"",$H256)),""""))"),"")</f>
        <v/>
      </c>
      <c r="K256" s="5" t="b">
        <v>0</v>
      </c>
      <c r="L256" s="7"/>
      <c r="M256" s="7"/>
    </row>
    <row r="257">
      <c r="A257" s="3" t="s">
        <v>400</v>
      </c>
      <c r="B257" s="3">
        <v>15.0</v>
      </c>
      <c r="C257" s="3">
        <v>26.0</v>
      </c>
      <c r="D257" s="4">
        <v>49.1878291324935</v>
      </c>
      <c r="E257" s="4">
        <v>-2.0922470123974</v>
      </c>
      <c r="F257" s="3" t="s">
        <v>200</v>
      </c>
      <c r="G257" s="3" t="s">
        <v>201</v>
      </c>
      <c r="H257" s="5" t="s">
        <v>55</v>
      </c>
      <c r="I257" s="5">
        <v>604.0</v>
      </c>
      <c r="J257" s="6" t="str">
        <f>IFERROR(__xludf.DUMMYFUNCTION("IF(AND(REGEXMATCH($H257,""50( ?['fF]([oO]{2})?[tT]?)?( ?[eE][rR]{2}[oO][rR])"")=FALSE,$H257&lt;&gt;"""",$I257&lt;&gt;""""),HYPERLINK(""https://www.munzee.com/m/""&amp;$H257&amp;""/""&amp;$I257&amp;""/map/?lat=""&amp;$D257&amp;""&amp;lon=""&amp;$E257&amp;""&amp;type=""&amp;$G257&amp;""&amp;name=""&amp;SUBSTITUTE($A257,""#"&amp;""",""%23""),$H257&amp;""/""&amp;$I257),IF($H257&lt;&gt;"""",IF(REGEXMATCH($H257,""50( ?['fF]([oO]{2})?[tT]?)?( ?[eE][rR]{2}[oO][rR])""),HYPERLINK(""https://www.munzee.com/map/?sandbox=1&amp;lat=""&amp;$D257&amp;""&amp;lon=""&amp;$E257&amp;""&amp;name=""&amp;SUBSTITUTE($A257,""#"",""%23""),""SANDBOX"""&amp;"),HYPERLINK(""https://www.munzee.com/m/""&amp;$H257&amp;""/deploys/0/type/""&amp;IFNA(VLOOKUP($G257,IMPORTRANGE(""https://docs.google.com/spreadsheets/d/1DliIGyDywdzxhd4svtjaewR0p9Y5UBTMNMQ2PcXsqss"",""type data!E2:F""),2,FALSE),$G257)&amp;""/"",$H257)),""""))"),"Miaiow/604")</f>
        <v>Miaiow/604</v>
      </c>
      <c r="K257" s="5" t="b">
        <v>1</v>
      </c>
      <c r="L257" s="7"/>
      <c r="M257" s="7"/>
    </row>
    <row r="258">
      <c r="A258" s="3" t="s">
        <v>401</v>
      </c>
      <c r="B258" s="3">
        <v>15.0</v>
      </c>
      <c r="C258" s="3">
        <v>27.0</v>
      </c>
      <c r="D258" s="4">
        <v>49.1877274996164</v>
      </c>
      <c r="E258" s="4">
        <v>-2.0920915113913</v>
      </c>
      <c r="F258" s="3" t="s">
        <v>69</v>
      </c>
      <c r="G258" s="3" t="s">
        <v>70</v>
      </c>
      <c r="H258" s="5"/>
      <c r="I258" s="5"/>
      <c r="J258" s="7" t="str">
        <f>IFERROR(__xludf.DUMMYFUNCTION("IF(AND(REGEXMATCH($H258,""50( ?['fF]([oO]{2})?[tT]?)?( ?[eE][rR]{2}[oO][rR])"")=FALSE,$H258&lt;&gt;"""",$I258&lt;&gt;""""),HYPERLINK(""https://www.munzee.com/m/""&amp;$H258&amp;""/""&amp;$I258&amp;""/map/?lat=""&amp;$D258&amp;""&amp;lon=""&amp;$E258&amp;""&amp;type=""&amp;$G258&amp;""&amp;name=""&amp;SUBSTITUTE($A258,""#"&amp;""",""%23""),$H258&amp;""/""&amp;$I258),IF($H258&lt;&gt;"""",IF(REGEXMATCH($H258,""50( ?['fF]([oO]{2})?[tT]?)?( ?[eE][rR]{2}[oO][rR])""),HYPERLINK(""https://www.munzee.com/map/?sandbox=1&amp;lat=""&amp;$D258&amp;""&amp;lon=""&amp;$E258&amp;""&amp;name=""&amp;SUBSTITUTE($A258,""#"",""%23""),""SANDBOX"""&amp;"),HYPERLINK(""https://www.munzee.com/m/""&amp;$H258&amp;""/deploys/0/type/""&amp;IFNA(VLOOKUP($G258,IMPORTRANGE(""https://docs.google.com/spreadsheets/d/1DliIGyDywdzxhd4svtjaewR0p9Y5UBTMNMQ2PcXsqss"",""type data!E2:F""),2,FALSE),$G258)&amp;""/"",$H258)),""""))"),"")</f>
        <v/>
      </c>
      <c r="K258" s="5" t="b">
        <v>0</v>
      </c>
      <c r="L258" s="7"/>
      <c r="M258" s="7"/>
    </row>
    <row r="259">
      <c r="A259" s="3" t="s">
        <v>402</v>
      </c>
      <c r="B259" s="3">
        <v>15.0</v>
      </c>
      <c r="C259" s="3">
        <v>28.0</v>
      </c>
      <c r="D259" s="4">
        <v>49.1876258667394</v>
      </c>
      <c r="E259" s="4">
        <v>-2.0919360107048</v>
      </c>
      <c r="F259" s="3" t="s">
        <v>69</v>
      </c>
      <c r="G259" s="3" t="s">
        <v>70</v>
      </c>
      <c r="H259" s="5"/>
      <c r="I259" s="5"/>
      <c r="J259" s="7" t="str">
        <f>IFERROR(__xludf.DUMMYFUNCTION("IF(AND(REGEXMATCH($H259,""50( ?['fF]([oO]{2})?[tT]?)?( ?[eE][rR]{2}[oO][rR])"")=FALSE,$H259&lt;&gt;"""",$I259&lt;&gt;""""),HYPERLINK(""https://www.munzee.com/m/""&amp;$H259&amp;""/""&amp;$I259&amp;""/map/?lat=""&amp;$D259&amp;""&amp;lon=""&amp;$E259&amp;""&amp;type=""&amp;$G259&amp;""&amp;name=""&amp;SUBSTITUTE($A259,""#"&amp;""",""%23""),$H259&amp;""/""&amp;$I259),IF($H259&lt;&gt;"""",IF(REGEXMATCH($H259,""50( ?['fF]([oO]{2})?[tT]?)?( ?[eE][rR]{2}[oO][rR])""),HYPERLINK(""https://www.munzee.com/map/?sandbox=1&amp;lat=""&amp;$D259&amp;""&amp;lon=""&amp;$E259&amp;""&amp;name=""&amp;SUBSTITUTE($A259,""#"",""%23""),""SANDBOX"""&amp;"),HYPERLINK(""https://www.munzee.com/m/""&amp;$H259&amp;""/deploys/0/type/""&amp;IFNA(VLOOKUP($G259,IMPORTRANGE(""https://docs.google.com/spreadsheets/d/1DliIGyDywdzxhd4svtjaewR0p9Y5UBTMNMQ2PcXsqss"",""type data!E2:F""),2,FALSE),$G259)&amp;""/"",$H259)),""""))"),"")</f>
        <v/>
      </c>
      <c r="K259" s="5" t="b">
        <v>0</v>
      </c>
      <c r="L259" s="7"/>
      <c r="M259" s="7"/>
    </row>
    <row r="260">
      <c r="A260" s="3" t="s">
        <v>403</v>
      </c>
      <c r="B260" s="3">
        <v>15.0</v>
      </c>
      <c r="C260" s="3">
        <v>29.0</v>
      </c>
      <c r="D260" s="4">
        <v>49.1875242338624</v>
      </c>
      <c r="E260" s="4">
        <v>-2.0917805103376</v>
      </c>
      <c r="F260" s="3" t="s">
        <v>151</v>
      </c>
      <c r="G260" s="3" t="s">
        <v>152</v>
      </c>
      <c r="H260" s="5"/>
      <c r="I260" s="5"/>
      <c r="J260" s="7" t="str">
        <f>IFERROR(__xludf.DUMMYFUNCTION("IF(AND(REGEXMATCH($H260,""50( ?['fF]([oO]{2})?[tT]?)?( ?[eE][rR]{2}[oO][rR])"")=FALSE,$H260&lt;&gt;"""",$I260&lt;&gt;""""),HYPERLINK(""https://www.munzee.com/m/""&amp;$H260&amp;""/""&amp;$I260&amp;""/map/?lat=""&amp;$D260&amp;""&amp;lon=""&amp;$E260&amp;""&amp;type=""&amp;$G260&amp;""&amp;name=""&amp;SUBSTITUTE($A260,""#"&amp;""",""%23""),$H260&amp;""/""&amp;$I260),IF($H260&lt;&gt;"""",IF(REGEXMATCH($H260,""50( ?['fF]([oO]{2})?[tT]?)?( ?[eE][rR]{2}[oO][rR])""),HYPERLINK(""https://www.munzee.com/map/?sandbox=1&amp;lat=""&amp;$D260&amp;""&amp;lon=""&amp;$E260&amp;""&amp;name=""&amp;SUBSTITUTE($A260,""#"",""%23""),""SANDBOX"""&amp;"),HYPERLINK(""https://www.munzee.com/m/""&amp;$H260&amp;""/deploys/0/type/""&amp;IFNA(VLOOKUP($G260,IMPORTRANGE(""https://docs.google.com/spreadsheets/d/1DliIGyDywdzxhd4svtjaewR0p9Y5UBTMNMQ2PcXsqss"",""type data!E2:F""),2,FALSE),$G260)&amp;""/"",$H260)),""""))"),"")</f>
        <v/>
      </c>
      <c r="K260" s="5" t="b">
        <v>0</v>
      </c>
      <c r="L260" s="7"/>
      <c r="M260" s="7"/>
    </row>
    <row r="261">
      <c r="A261" s="3" t="s">
        <v>404</v>
      </c>
      <c r="B261" s="3">
        <v>16.0</v>
      </c>
      <c r="C261" s="3">
        <v>9.0</v>
      </c>
      <c r="D261" s="4">
        <v>49.189455258526</v>
      </c>
      <c r="E261" s="4">
        <v>-2.0950460988647</v>
      </c>
      <c r="F261" s="3" t="s">
        <v>329</v>
      </c>
      <c r="G261" s="3" t="s">
        <v>330</v>
      </c>
      <c r="H261" s="5"/>
      <c r="I261" s="5"/>
      <c r="J261" s="7" t="str">
        <f>IFERROR(__xludf.DUMMYFUNCTION("IF(AND(REGEXMATCH($H261,""50( ?['fF]([oO]{2})?[tT]?)?( ?[eE][rR]{2}[oO][rR])"")=FALSE,$H261&lt;&gt;"""",$I261&lt;&gt;""""),HYPERLINK(""https://www.munzee.com/m/""&amp;$H261&amp;""/""&amp;$I261&amp;""/map/?lat=""&amp;$D261&amp;""&amp;lon=""&amp;$E261&amp;""&amp;type=""&amp;$G261&amp;""&amp;name=""&amp;SUBSTITUTE($A261,""#"&amp;""",""%23""),$H261&amp;""/""&amp;$I261),IF($H261&lt;&gt;"""",IF(REGEXMATCH($H261,""50( ?['fF]([oO]{2})?[tT]?)?( ?[eE][rR]{2}[oO][rR])""),HYPERLINK(""https://www.munzee.com/map/?sandbox=1&amp;lat=""&amp;$D261&amp;""&amp;lon=""&amp;$E261&amp;""&amp;name=""&amp;SUBSTITUTE($A261,""#"",""%23""),""SANDBOX"""&amp;"),HYPERLINK(""https://www.munzee.com/m/""&amp;$H261&amp;""/deploys/0/type/""&amp;IFNA(VLOOKUP($G261,IMPORTRANGE(""https://docs.google.com/spreadsheets/d/1DliIGyDywdzxhd4svtjaewR0p9Y5UBTMNMQ2PcXsqss"",""type data!E2:F""),2,FALSE),$G261)&amp;""/"",$H261)),""""))"),"")</f>
        <v/>
      </c>
      <c r="K261" s="5" t="b">
        <v>0</v>
      </c>
      <c r="L261" s="7"/>
      <c r="M261" s="7"/>
    </row>
    <row r="262">
      <c r="A262" s="3" t="s">
        <v>405</v>
      </c>
      <c r="B262" s="3">
        <v>16.0</v>
      </c>
      <c r="C262" s="3">
        <v>10.0</v>
      </c>
      <c r="D262" s="4">
        <v>49.189353625649</v>
      </c>
      <c r="E262" s="4">
        <v>-2.0948905927478</v>
      </c>
      <c r="F262" s="3" t="s">
        <v>329</v>
      </c>
      <c r="G262" s="3" t="s">
        <v>330</v>
      </c>
      <c r="H262" s="5"/>
      <c r="I262" s="5"/>
      <c r="J262" s="7" t="str">
        <f>IFERROR(__xludf.DUMMYFUNCTION("IF(AND(REGEXMATCH($H262,""50( ?['fF]([oO]{2})?[tT]?)?( ?[eE][rR]{2}[oO][rR])"")=FALSE,$H262&lt;&gt;"""",$I262&lt;&gt;""""),HYPERLINK(""https://www.munzee.com/m/""&amp;$H262&amp;""/""&amp;$I262&amp;""/map/?lat=""&amp;$D262&amp;""&amp;lon=""&amp;$E262&amp;""&amp;type=""&amp;$G262&amp;""&amp;name=""&amp;SUBSTITUTE($A262,""#"&amp;""",""%23""),$H262&amp;""/""&amp;$I262),IF($H262&lt;&gt;"""",IF(REGEXMATCH($H262,""50( ?['fF]([oO]{2})?[tT]?)?( ?[eE][rR]{2}[oO][rR])""),HYPERLINK(""https://www.munzee.com/map/?sandbox=1&amp;lat=""&amp;$D262&amp;""&amp;lon=""&amp;$E262&amp;""&amp;name=""&amp;SUBSTITUTE($A262,""#"",""%23""),""SANDBOX"""&amp;"),HYPERLINK(""https://www.munzee.com/m/""&amp;$H262&amp;""/deploys/0/type/""&amp;IFNA(VLOOKUP($G262,IMPORTRANGE(""https://docs.google.com/spreadsheets/d/1DliIGyDywdzxhd4svtjaewR0p9Y5UBTMNMQ2PcXsqss"",""type data!E2:F""),2,FALSE),$G262)&amp;""/"",$H262)),""""))"),"")</f>
        <v/>
      </c>
      <c r="K262" s="5" t="b">
        <v>0</v>
      </c>
      <c r="L262" s="7"/>
      <c r="M262" s="7"/>
    </row>
    <row r="263">
      <c r="A263" s="3" t="s">
        <v>406</v>
      </c>
      <c r="B263" s="3">
        <v>16.0</v>
      </c>
      <c r="C263" s="3">
        <v>11.0</v>
      </c>
      <c r="D263" s="4">
        <v>49.1892519927719</v>
      </c>
      <c r="E263" s="4">
        <v>-2.0947350869503</v>
      </c>
      <c r="F263" s="3" t="s">
        <v>385</v>
      </c>
      <c r="G263" s="3" t="s">
        <v>386</v>
      </c>
      <c r="H263" s="5"/>
      <c r="I263" s="5"/>
      <c r="J263" s="7" t="str">
        <f>IFERROR(__xludf.DUMMYFUNCTION("IF(AND(REGEXMATCH($H263,""50( ?['fF]([oO]{2})?[tT]?)?( ?[eE][rR]{2}[oO][rR])"")=FALSE,$H263&lt;&gt;"""",$I263&lt;&gt;""""),HYPERLINK(""https://www.munzee.com/m/""&amp;$H263&amp;""/""&amp;$I263&amp;""/map/?lat=""&amp;$D263&amp;""&amp;lon=""&amp;$E263&amp;""&amp;type=""&amp;$G263&amp;""&amp;name=""&amp;SUBSTITUTE($A263,""#"&amp;""",""%23""),$H263&amp;""/""&amp;$I263),IF($H263&lt;&gt;"""",IF(REGEXMATCH($H263,""50( ?['fF]([oO]{2})?[tT]?)?( ?[eE][rR]{2}[oO][rR])""),HYPERLINK(""https://www.munzee.com/map/?sandbox=1&amp;lat=""&amp;$D263&amp;""&amp;lon=""&amp;$E263&amp;""&amp;name=""&amp;SUBSTITUTE($A263,""#"",""%23""),""SANDBOX"""&amp;"),HYPERLINK(""https://www.munzee.com/m/""&amp;$H263&amp;""/deploys/0/type/""&amp;IFNA(VLOOKUP($G263,IMPORTRANGE(""https://docs.google.com/spreadsheets/d/1DliIGyDywdzxhd4svtjaewR0p9Y5UBTMNMQ2PcXsqss"",""type data!E2:F""),2,FALSE),$G263)&amp;""/"",$H263)),""""))"),"")</f>
        <v/>
      </c>
      <c r="K263" s="5" t="b">
        <v>0</v>
      </c>
      <c r="L263" s="7"/>
      <c r="M263" s="7"/>
    </row>
    <row r="264">
      <c r="A264" s="3" t="s">
        <v>407</v>
      </c>
      <c r="B264" s="3">
        <v>16.0</v>
      </c>
      <c r="C264" s="3">
        <v>12.0</v>
      </c>
      <c r="D264" s="4">
        <v>49.1891503598949</v>
      </c>
      <c r="E264" s="4">
        <v>-2.0945795814723</v>
      </c>
      <c r="F264" s="3" t="s">
        <v>296</v>
      </c>
      <c r="G264" s="3" t="s">
        <v>297</v>
      </c>
      <c r="H264" s="5" t="s">
        <v>408</v>
      </c>
      <c r="I264" s="5">
        <v>3689.0</v>
      </c>
      <c r="J264" s="6" t="str">
        <f>IFERROR(__xludf.DUMMYFUNCTION("IF(AND(REGEXMATCH($H264,""50( ?['fF]([oO]{2})?[tT]?)?( ?[eE][rR]{2}[oO][rR])"")=FALSE,$H264&lt;&gt;"""",$I264&lt;&gt;""""),HYPERLINK(""https://www.munzee.com/m/""&amp;$H264&amp;""/""&amp;$I264&amp;""/map/?lat=""&amp;$D264&amp;""&amp;lon=""&amp;$E264&amp;""&amp;type=""&amp;$G264&amp;""&amp;name=""&amp;SUBSTITUTE($A264,""#"&amp;""",""%23""),$H264&amp;""/""&amp;$I264),IF($H264&lt;&gt;"""",IF(REGEXMATCH($H264,""50( ?['fF]([oO]{2})?[tT]?)?( ?[eE][rR]{2}[oO][rR])""),HYPERLINK(""https://www.munzee.com/map/?sandbox=1&amp;lat=""&amp;$D264&amp;""&amp;lon=""&amp;$E264&amp;""&amp;name=""&amp;SUBSTITUTE($A264,""#"",""%23""),""SANDBOX"""&amp;"),HYPERLINK(""https://www.munzee.com/m/""&amp;$H264&amp;""/deploys/0/type/""&amp;IFNA(VLOOKUP($G264,IMPORTRANGE(""https://docs.google.com/spreadsheets/d/1DliIGyDywdzxhd4svtjaewR0p9Y5UBTMNMQ2PcXsqss"",""type data!E2:F""),2,FALSE),$G264)&amp;""/"",$H264)),""""))"),"geckofreund/3689")</f>
        <v>geckofreund/3689</v>
      </c>
      <c r="K264" s="5" t="b">
        <v>1</v>
      </c>
      <c r="L264" s="7"/>
      <c r="M264" s="7"/>
    </row>
    <row r="265">
      <c r="A265" s="3" t="s">
        <v>409</v>
      </c>
      <c r="B265" s="3">
        <v>16.0</v>
      </c>
      <c r="C265" s="3">
        <v>13.0</v>
      </c>
      <c r="D265" s="4">
        <v>49.1890487270179</v>
      </c>
      <c r="E265" s="4">
        <v>-2.0944240763138</v>
      </c>
      <c r="F265" s="3" t="s">
        <v>296</v>
      </c>
      <c r="G265" s="3" t="s">
        <v>297</v>
      </c>
      <c r="H265" s="5" t="s">
        <v>410</v>
      </c>
      <c r="I265" s="5">
        <v>2956.0</v>
      </c>
      <c r="J265" s="6" t="str">
        <f>IFERROR(__xludf.DUMMYFUNCTION("IF(AND(REGEXMATCH($H265,""50( ?['fF]([oO]{2})?[tT]?)?( ?[eE][rR]{2}[oO][rR])"")=FALSE,$H265&lt;&gt;"""",$I265&lt;&gt;""""),HYPERLINK(""https://www.munzee.com/m/""&amp;$H265&amp;""/""&amp;$I265&amp;""/map/?lat=""&amp;$D265&amp;""&amp;lon=""&amp;$E265&amp;""&amp;type=""&amp;$G265&amp;""&amp;name=""&amp;SUBSTITUTE($A265,""#"&amp;""",""%23""),$H265&amp;""/""&amp;$I265),IF($H265&lt;&gt;"""",IF(REGEXMATCH($H265,""50( ?['fF]([oO]{2})?[tT]?)?( ?[eE][rR]{2}[oO][rR])""),HYPERLINK(""https://www.munzee.com/map/?sandbox=1&amp;lat=""&amp;$D265&amp;""&amp;lon=""&amp;$E265&amp;""&amp;name=""&amp;SUBSTITUTE($A265,""#"",""%23""),""SANDBOX"""&amp;"),HYPERLINK(""https://www.munzee.com/m/""&amp;$H265&amp;""/deploys/0/type/""&amp;IFNA(VLOOKUP($G265,IMPORTRANGE(""https://docs.google.com/spreadsheets/d/1DliIGyDywdzxhd4svtjaewR0p9Y5UBTMNMQ2PcXsqss"",""type data!E2:F""),2,FALSE),$G265)&amp;""/"",$H265)),""""))"),"NoahCache/2956")</f>
        <v>NoahCache/2956</v>
      </c>
      <c r="K265" s="5" t="b">
        <v>1</v>
      </c>
      <c r="L265" s="7"/>
      <c r="M265" s="7"/>
    </row>
    <row r="266">
      <c r="A266" s="3" t="s">
        <v>411</v>
      </c>
      <c r="B266" s="3">
        <v>16.0</v>
      </c>
      <c r="C266" s="3">
        <v>14.0</v>
      </c>
      <c r="D266" s="4">
        <v>49.1889470941408</v>
      </c>
      <c r="E266" s="4">
        <v>-2.0942685714747</v>
      </c>
      <c r="F266" s="3" t="s">
        <v>303</v>
      </c>
      <c r="G266" s="3" t="s">
        <v>304</v>
      </c>
      <c r="H266" s="5" t="s">
        <v>53</v>
      </c>
      <c r="I266" s="5">
        <v>606.0</v>
      </c>
      <c r="J266" s="6" t="str">
        <f>IFERROR(__xludf.DUMMYFUNCTION("IF(AND(REGEXMATCH($H266,""50( ?['fF]([oO]{2})?[tT]?)?( ?[eE][rR]{2}[oO][rR])"")=FALSE,$H266&lt;&gt;"""",$I266&lt;&gt;""""),HYPERLINK(""https://www.munzee.com/m/""&amp;$H266&amp;""/""&amp;$I266&amp;""/map/?lat=""&amp;$D266&amp;""&amp;lon=""&amp;$E266&amp;""&amp;type=""&amp;$G266&amp;""&amp;name=""&amp;SUBSTITUTE($A266,""#"&amp;""",""%23""),$H266&amp;""/""&amp;$I266),IF($H266&lt;&gt;"""",IF(REGEXMATCH($H266,""50( ?['fF]([oO]{2})?[tT]?)?( ?[eE][rR]{2}[oO][rR])""),HYPERLINK(""https://www.munzee.com/map/?sandbox=1&amp;lat=""&amp;$D266&amp;""&amp;lon=""&amp;$E266&amp;""&amp;name=""&amp;SUBSTITUTE($A266,""#"",""%23""),""SANDBOX"""&amp;"),HYPERLINK(""https://www.munzee.com/m/""&amp;$H266&amp;""/deploys/0/type/""&amp;IFNA(VLOOKUP($G266,IMPORTRANGE(""https://docs.google.com/spreadsheets/d/1DliIGyDywdzxhd4svtjaewR0p9Y5UBTMNMQ2PcXsqss"",""type data!E2:F""),2,FALSE),$G266)&amp;""/"",$H266)),""""))"),"MaryJaneKitty/606")</f>
        <v>MaryJaneKitty/606</v>
      </c>
      <c r="K266" s="5" t="b">
        <v>1</v>
      </c>
      <c r="L266" s="7"/>
      <c r="M266" s="7"/>
    </row>
    <row r="267">
      <c r="A267" s="3" t="s">
        <v>412</v>
      </c>
      <c r="B267" s="3">
        <v>16.0</v>
      </c>
      <c r="C267" s="3">
        <v>15.0</v>
      </c>
      <c r="D267" s="4">
        <v>49.1888454612638</v>
      </c>
      <c r="E267" s="4">
        <v>-2.0941130669549</v>
      </c>
      <c r="F267" s="3" t="s">
        <v>339</v>
      </c>
      <c r="G267" s="3" t="s">
        <v>340</v>
      </c>
      <c r="H267" s="5"/>
      <c r="I267" s="5"/>
      <c r="J267" s="7" t="str">
        <f>IFERROR(__xludf.DUMMYFUNCTION("IF(AND(REGEXMATCH($H267,""50( ?['fF]([oO]{2})?[tT]?)?( ?[eE][rR]{2}[oO][rR])"")=FALSE,$H267&lt;&gt;"""",$I267&lt;&gt;""""),HYPERLINK(""https://www.munzee.com/m/""&amp;$H267&amp;""/""&amp;$I267&amp;""/map/?lat=""&amp;$D267&amp;""&amp;lon=""&amp;$E267&amp;""&amp;type=""&amp;$G267&amp;""&amp;name=""&amp;SUBSTITUTE($A267,""#"&amp;""",""%23""),$H267&amp;""/""&amp;$I267),IF($H267&lt;&gt;"""",IF(REGEXMATCH($H267,""50( ?['fF]([oO]{2})?[tT]?)?( ?[eE][rR]{2}[oO][rR])""),HYPERLINK(""https://www.munzee.com/map/?sandbox=1&amp;lat=""&amp;$D267&amp;""&amp;lon=""&amp;$E267&amp;""&amp;name=""&amp;SUBSTITUTE($A267,""#"",""%23""),""SANDBOX"""&amp;"),HYPERLINK(""https://www.munzee.com/m/""&amp;$H267&amp;""/deploys/0/type/""&amp;IFNA(VLOOKUP($G267,IMPORTRANGE(""https://docs.google.com/spreadsheets/d/1DliIGyDywdzxhd4svtjaewR0p9Y5UBTMNMQ2PcXsqss"",""type data!E2:F""),2,FALSE),$G267)&amp;""/"",$H267)),""""))"),"")</f>
        <v/>
      </c>
      <c r="K267" s="5" t="b">
        <v>0</v>
      </c>
      <c r="L267" s="7"/>
      <c r="M267" s="7"/>
    </row>
    <row r="268">
      <c r="A268" s="3" t="s">
        <v>413</v>
      </c>
      <c r="B268" s="3">
        <v>16.0</v>
      </c>
      <c r="C268" s="3">
        <v>16.0</v>
      </c>
      <c r="D268" s="4">
        <v>49.1887438283868</v>
      </c>
      <c r="E268" s="4">
        <v>-2.0939575627547</v>
      </c>
      <c r="F268" s="3" t="s">
        <v>366</v>
      </c>
      <c r="G268" s="3" t="s">
        <v>367</v>
      </c>
      <c r="H268" s="5"/>
      <c r="I268" s="5"/>
      <c r="J268" s="7" t="str">
        <f>IFERROR(__xludf.DUMMYFUNCTION("IF(AND(REGEXMATCH($H268,""50( ?['fF]([oO]{2})?[tT]?)?( ?[eE][rR]{2}[oO][rR])"")=FALSE,$H268&lt;&gt;"""",$I268&lt;&gt;""""),HYPERLINK(""https://www.munzee.com/m/""&amp;$H268&amp;""/""&amp;$I268&amp;""/map/?lat=""&amp;$D268&amp;""&amp;lon=""&amp;$E268&amp;""&amp;type=""&amp;$G268&amp;""&amp;name=""&amp;SUBSTITUTE($A268,""#"&amp;""",""%23""),$H268&amp;""/""&amp;$I268),IF($H268&lt;&gt;"""",IF(REGEXMATCH($H268,""50( ?['fF]([oO]{2})?[tT]?)?( ?[eE][rR]{2}[oO][rR])""),HYPERLINK(""https://www.munzee.com/map/?sandbox=1&amp;lat=""&amp;$D268&amp;""&amp;lon=""&amp;$E268&amp;""&amp;name=""&amp;SUBSTITUTE($A268,""#"",""%23""),""SANDBOX"""&amp;"),HYPERLINK(""https://www.munzee.com/m/""&amp;$H268&amp;""/deploys/0/type/""&amp;IFNA(VLOOKUP($G268,IMPORTRANGE(""https://docs.google.com/spreadsheets/d/1DliIGyDywdzxhd4svtjaewR0p9Y5UBTMNMQ2PcXsqss"",""type data!E2:F""),2,FALSE),$G268)&amp;""/"",$H268)),""""))"),"")</f>
        <v/>
      </c>
      <c r="K268" s="5" t="b">
        <v>0</v>
      </c>
      <c r="L268" s="7"/>
      <c r="M268" s="7"/>
    </row>
    <row r="269">
      <c r="A269" s="3" t="s">
        <v>414</v>
      </c>
      <c r="B269" s="3">
        <v>16.0</v>
      </c>
      <c r="C269" s="3">
        <v>17.0</v>
      </c>
      <c r="D269" s="4">
        <v>49.1886421955097</v>
      </c>
      <c r="E269" s="4">
        <v>-2.0938020588738</v>
      </c>
      <c r="F269" s="3" t="s">
        <v>339</v>
      </c>
      <c r="G269" s="3" t="s">
        <v>340</v>
      </c>
      <c r="H269" s="5"/>
      <c r="I269" s="5"/>
      <c r="J269" s="7" t="str">
        <f>IFERROR(__xludf.DUMMYFUNCTION("IF(AND(REGEXMATCH($H269,""50( ?['fF]([oO]{2})?[tT]?)?( ?[eE][rR]{2}[oO][rR])"")=FALSE,$H269&lt;&gt;"""",$I269&lt;&gt;""""),HYPERLINK(""https://www.munzee.com/m/""&amp;$H269&amp;""/""&amp;$I269&amp;""/map/?lat=""&amp;$D269&amp;""&amp;lon=""&amp;$E269&amp;""&amp;type=""&amp;$G269&amp;""&amp;name=""&amp;SUBSTITUTE($A269,""#"&amp;""",""%23""),$H269&amp;""/""&amp;$I269),IF($H269&lt;&gt;"""",IF(REGEXMATCH($H269,""50( ?['fF]([oO]{2})?[tT]?)?( ?[eE][rR]{2}[oO][rR])""),HYPERLINK(""https://www.munzee.com/map/?sandbox=1&amp;lat=""&amp;$D269&amp;""&amp;lon=""&amp;$E269&amp;""&amp;name=""&amp;SUBSTITUTE($A269,""#"",""%23""),""SANDBOX"""&amp;"),HYPERLINK(""https://www.munzee.com/m/""&amp;$H269&amp;""/deploys/0/type/""&amp;IFNA(VLOOKUP($G269,IMPORTRANGE(""https://docs.google.com/spreadsheets/d/1DliIGyDywdzxhd4svtjaewR0p9Y5UBTMNMQ2PcXsqss"",""type data!E2:F""),2,FALSE),$G269)&amp;""/"",$H269)),""""))"),"")</f>
        <v/>
      </c>
      <c r="K269" s="5" t="b">
        <v>0</v>
      </c>
      <c r="L269" s="7"/>
      <c r="M269" s="7"/>
    </row>
    <row r="270">
      <c r="A270" s="3" t="s">
        <v>415</v>
      </c>
      <c r="B270" s="3">
        <v>16.0</v>
      </c>
      <c r="C270" s="3">
        <v>18.0</v>
      </c>
      <c r="D270" s="4">
        <v>49.1885405626327</v>
      </c>
      <c r="E270" s="4">
        <v>-2.0936465553125</v>
      </c>
      <c r="F270" s="3" t="s">
        <v>303</v>
      </c>
      <c r="G270" s="3" t="s">
        <v>304</v>
      </c>
      <c r="H270" s="5" t="s">
        <v>364</v>
      </c>
      <c r="I270" s="5">
        <v>74.0</v>
      </c>
      <c r="J270" s="6" t="str">
        <f>IFERROR(__xludf.DUMMYFUNCTION("IF(AND(REGEXMATCH($H270,""50( ?['fF]([oO]{2})?[tT]?)?( ?[eE][rR]{2}[oO][rR])"")=FALSE,$H270&lt;&gt;"""",$I270&lt;&gt;""""),HYPERLINK(""https://www.munzee.com/m/""&amp;$H270&amp;""/""&amp;$I270&amp;""/map/?lat=""&amp;$D270&amp;""&amp;lon=""&amp;$E270&amp;""&amp;type=""&amp;$G270&amp;""&amp;name=""&amp;SUBSTITUTE($A270,""#"&amp;""",""%23""),$H270&amp;""/""&amp;$I270),IF($H270&lt;&gt;"""",IF(REGEXMATCH($H270,""50( ?['fF]([oO]{2})?[tT]?)?( ?[eE][rR]{2}[oO][rR])""),HYPERLINK(""https://www.munzee.com/map/?sandbox=1&amp;lat=""&amp;$D270&amp;""&amp;lon=""&amp;$E270&amp;""&amp;name=""&amp;SUBSTITUTE($A270,""#"",""%23""),""SANDBOX"""&amp;"),HYPERLINK(""https://www.munzee.com/m/""&amp;$H270&amp;""/deploys/0/type/""&amp;IFNA(VLOOKUP($G270,IMPORTRANGE(""https://docs.google.com/spreadsheets/d/1DliIGyDywdzxhd4svtjaewR0p9Y5UBTMNMQ2PcXsqss"",""type data!E2:F""),2,FALSE),$G270)&amp;""/"",$H270)),""""))"),"louisehen/74")</f>
        <v>louisehen/74</v>
      </c>
      <c r="K270" s="5" t="b">
        <v>1</v>
      </c>
      <c r="L270" s="7"/>
      <c r="M270" s="7"/>
    </row>
    <row r="271">
      <c r="A271" s="3" t="s">
        <v>416</v>
      </c>
      <c r="B271" s="3">
        <v>16.0</v>
      </c>
      <c r="C271" s="3">
        <v>19.0</v>
      </c>
      <c r="D271" s="4">
        <v>49.1884389297557</v>
      </c>
      <c r="E271" s="4">
        <v>-2.0934910520705</v>
      </c>
      <c r="F271" s="3" t="s">
        <v>296</v>
      </c>
      <c r="G271" s="3" t="s">
        <v>297</v>
      </c>
      <c r="H271" s="5" t="s">
        <v>417</v>
      </c>
      <c r="I271" s="5">
        <v>3008.0</v>
      </c>
      <c r="J271" s="6" t="str">
        <f>IFERROR(__xludf.DUMMYFUNCTION("IF(AND(REGEXMATCH($H271,""50( ?['fF]([oO]{2})?[tT]?)?( ?[eE][rR]{2}[oO][rR])"")=FALSE,$H271&lt;&gt;"""",$I271&lt;&gt;""""),HYPERLINK(""https://www.munzee.com/m/""&amp;$H271&amp;""/""&amp;$I271&amp;""/map/?lat=""&amp;$D271&amp;""&amp;lon=""&amp;$E271&amp;""&amp;type=""&amp;$G271&amp;""&amp;name=""&amp;SUBSTITUTE($A271,""#"&amp;""",""%23""),$H271&amp;""/""&amp;$I271),IF($H271&lt;&gt;"""",IF(REGEXMATCH($H271,""50( ?['fF]([oO]{2})?[tT]?)?( ?[eE][rR]{2}[oO][rR])""),HYPERLINK(""https://www.munzee.com/map/?sandbox=1&amp;lat=""&amp;$D271&amp;""&amp;lon=""&amp;$E271&amp;""&amp;name=""&amp;SUBSTITUTE($A271,""#"",""%23""),""SANDBOX"""&amp;"),HYPERLINK(""https://www.munzee.com/m/""&amp;$H271&amp;""/deploys/0/type/""&amp;IFNA(VLOOKUP($G271,IMPORTRANGE(""https://docs.google.com/spreadsheets/d/1DliIGyDywdzxhd4svtjaewR0p9Y5UBTMNMQ2PcXsqss"",""type data!E2:F""),2,FALSE),$G271)&amp;""/"",$H271)),""""))"),"Syrtene/3008")</f>
        <v>Syrtene/3008</v>
      </c>
      <c r="K271" s="5" t="b">
        <v>1</v>
      </c>
      <c r="L271" s="7"/>
      <c r="M271" s="7"/>
    </row>
    <row r="272">
      <c r="A272" s="3" t="s">
        <v>418</v>
      </c>
      <c r="B272" s="3">
        <v>16.0</v>
      </c>
      <c r="C272" s="3">
        <v>20.0</v>
      </c>
      <c r="D272" s="4">
        <v>49.1883372968786</v>
      </c>
      <c r="E272" s="4">
        <v>-2.0933355491479</v>
      </c>
      <c r="F272" s="3" t="s">
        <v>296</v>
      </c>
      <c r="G272" s="3" t="s">
        <v>297</v>
      </c>
      <c r="H272" s="5"/>
      <c r="I272" s="5"/>
      <c r="J272" s="7" t="str">
        <f>IFERROR(__xludf.DUMMYFUNCTION("IF(AND(REGEXMATCH($H272,""50( ?['fF]([oO]{2})?[tT]?)?( ?[eE][rR]{2}[oO][rR])"")=FALSE,$H272&lt;&gt;"""",$I272&lt;&gt;""""),HYPERLINK(""https://www.munzee.com/m/""&amp;$H272&amp;""/""&amp;$I272&amp;""/map/?lat=""&amp;$D272&amp;""&amp;lon=""&amp;$E272&amp;""&amp;type=""&amp;$G272&amp;""&amp;name=""&amp;SUBSTITUTE($A272,""#"&amp;""",""%23""),$H272&amp;""/""&amp;$I272),IF($H272&lt;&gt;"""",IF(REGEXMATCH($H272,""50( ?['fF]([oO]{2})?[tT]?)?( ?[eE][rR]{2}[oO][rR])""),HYPERLINK(""https://www.munzee.com/map/?sandbox=1&amp;lat=""&amp;$D272&amp;""&amp;lon=""&amp;$E272&amp;""&amp;name=""&amp;SUBSTITUTE($A272,""#"",""%23""),""SANDBOX"""&amp;"),HYPERLINK(""https://www.munzee.com/m/""&amp;$H272&amp;""/deploys/0/type/""&amp;IFNA(VLOOKUP($G272,IMPORTRANGE(""https://docs.google.com/spreadsheets/d/1DliIGyDywdzxhd4svtjaewR0p9Y5UBTMNMQ2PcXsqss"",""type data!E2:F""),2,FALSE),$G272)&amp;""/"",$H272)),""""))"),"")</f>
        <v/>
      </c>
      <c r="K272" s="5" t="b">
        <v>0</v>
      </c>
      <c r="L272" s="7"/>
      <c r="M272" s="7"/>
    </row>
    <row r="273">
      <c r="A273" s="3" t="s">
        <v>419</v>
      </c>
      <c r="B273" s="3">
        <v>16.0</v>
      </c>
      <c r="C273" s="3">
        <v>21.0</v>
      </c>
      <c r="D273" s="4">
        <v>49.1882356640016</v>
      </c>
      <c r="E273" s="4">
        <v>-2.0931800465448</v>
      </c>
      <c r="F273" s="3" t="s">
        <v>296</v>
      </c>
      <c r="G273" s="3" t="s">
        <v>297</v>
      </c>
      <c r="H273" s="5"/>
      <c r="I273" s="5"/>
      <c r="J273" s="7" t="str">
        <f>IFERROR(__xludf.DUMMYFUNCTION("IF(AND(REGEXMATCH($H273,""50( ?['fF]([oO]{2})?[tT]?)?( ?[eE][rR]{2}[oO][rR])"")=FALSE,$H273&lt;&gt;"""",$I273&lt;&gt;""""),HYPERLINK(""https://www.munzee.com/m/""&amp;$H273&amp;""/""&amp;$I273&amp;""/map/?lat=""&amp;$D273&amp;""&amp;lon=""&amp;$E273&amp;""&amp;type=""&amp;$G273&amp;""&amp;name=""&amp;SUBSTITUTE($A273,""#"&amp;""",""%23""),$H273&amp;""/""&amp;$I273),IF($H273&lt;&gt;"""",IF(REGEXMATCH($H273,""50( ?['fF]([oO]{2})?[tT]?)?( ?[eE][rR]{2}[oO][rR])""),HYPERLINK(""https://www.munzee.com/map/?sandbox=1&amp;lat=""&amp;$D273&amp;""&amp;lon=""&amp;$E273&amp;""&amp;name=""&amp;SUBSTITUTE($A273,""#"",""%23""),""SANDBOX"""&amp;"),HYPERLINK(""https://www.munzee.com/m/""&amp;$H273&amp;""/deploys/0/type/""&amp;IFNA(VLOOKUP($G273,IMPORTRANGE(""https://docs.google.com/spreadsheets/d/1DliIGyDywdzxhd4svtjaewR0p9Y5UBTMNMQ2PcXsqss"",""type data!E2:F""),2,FALSE),$G273)&amp;""/"",$H273)),""""))"),"")</f>
        <v/>
      </c>
      <c r="K273" s="5" t="b">
        <v>0</v>
      </c>
      <c r="L273" s="7"/>
      <c r="M273" s="7"/>
    </row>
    <row r="274">
      <c r="A274" s="3" t="s">
        <v>420</v>
      </c>
      <c r="B274" s="3">
        <v>16.0</v>
      </c>
      <c r="C274" s="3">
        <v>22.0</v>
      </c>
      <c r="D274" s="4">
        <v>49.1881340311246</v>
      </c>
      <c r="E274" s="4">
        <v>-2.0930245442612</v>
      </c>
      <c r="F274" s="3" t="s">
        <v>385</v>
      </c>
      <c r="G274" s="3" t="s">
        <v>386</v>
      </c>
      <c r="H274" s="5"/>
      <c r="I274" s="5"/>
      <c r="J274" s="7" t="str">
        <f>IFERROR(__xludf.DUMMYFUNCTION("IF(AND(REGEXMATCH($H274,""50( ?['fF]([oO]{2})?[tT]?)?( ?[eE][rR]{2}[oO][rR])"")=FALSE,$H274&lt;&gt;"""",$I274&lt;&gt;""""),HYPERLINK(""https://www.munzee.com/m/""&amp;$H274&amp;""/""&amp;$I274&amp;""/map/?lat=""&amp;$D274&amp;""&amp;lon=""&amp;$E274&amp;""&amp;type=""&amp;$G274&amp;""&amp;name=""&amp;SUBSTITUTE($A274,""#"&amp;""",""%23""),$H274&amp;""/""&amp;$I274),IF($H274&lt;&gt;"""",IF(REGEXMATCH($H274,""50( ?['fF]([oO]{2})?[tT]?)?( ?[eE][rR]{2}[oO][rR])""),HYPERLINK(""https://www.munzee.com/map/?sandbox=1&amp;lat=""&amp;$D274&amp;""&amp;lon=""&amp;$E274&amp;""&amp;name=""&amp;SUBSTITUTE($A274,""#"",""%23""),""SANDBOX"""&amp;"),HYPERLINK(""https://www.munzee.com/m/""&amp;$H274&amp;""/deploys/0/type/""&amp;IFNA(VLOOKUP($G274,IMPORTRANGE(""https://docs.google.com/spreadsheets/d/1DliIGyDywdzxhd4svtjaewR0p9Y5UBTMNMQ2PcXsqss"",""type data!E2:F""),2,FALSE),$G274)&amp;""/"",$H274)),""""))"),"")</f>
        <v/>
      </c>
      <c r="K274" s="5" t="b">
        <v>0</v>
      </c>
      <c r="L274" s="7"/>
      <c r="M274" s="7"/>
    </row>
    <row r="275">
      <c r="A275" s="3" t="s">
        <v>421</v>
      </c>
      <c r="B275" s="3">
        <v>16.0</v>
      </c>
      <c r="C275" s="3">
        <v>23.0</v>
      </c>
      <c r="D275" s="4">
        <v>49.1880323982475</v>
      </c>
      <c r="E275" s="4">
        <v>-2.0928690422969</v>
      </c>
      <c r="F275" s="3" t="s">
        <v>329</v>
      </c>
      <c r="G275" s="3" t="s">
        <v>330</v>
      </c>
      <c r="H275" s="5"/>
      <c r="I275" s="5"/>
      <c r="J275" s="7" t="str">
        <f>IFERROR(__xludf.DUMMYFUNCTION("IF(AND(REGEXMATCH($H275,""50( ?['fF]([oO]{2})?[tT]?)?( ?[eE][rR]{2}[oO][rR])"")=FALSE,$H275&lt;&gt;"""",$I275&lt;&gt;""""),HYPERLINK(""https://www.munzee.com/m/""&amp;$H275&amp;""/""&amp;$I275&amp;""/map/?lat=""&amp;$D275&amp;""&amp;lon=""&amp;$E275&amp;""&amp;type=""&amp;$G275&amp;""&amp;name=""&amp;SUBSTITUTE($A275,""#"&amp;""",""%23""),$H275&amp;""/""&amp;$I275),IF($H275&lt;&gt;"""",IF(REGEXMATCH($H275,""50( ?['fF]([oO]{2})?[tT]?)?( ?[eE][rR]{2}[oO][rR])""),HYPERLINK(""https://www.munzee.com/map/?sandbox=1&amp;lat=""&amp;$D275&amp;""&amp;lon=""&amp;$E275&amp;""&amp;name=""&amp;SUBSTITUTE($A275,""#"",""%23""),""SANDBOX"""&amp;"),HYPERLINK(""https://www.munzee.com/m/""&amp;$H275&amp;""/deploys/0/type/""&amp;IFNA(VLOOKUP($G275,IMPORTRANGE(""https://docs.google.com/spreadsheets/d/1DliIGyDywdzxhd4svtjaewR0p9Y5UBTMNMQ2PcXsqss"",""type data!E2:F""),2,FALSE),$G275)&amp;""/"",$H275)),""""))"),"")</f>
        <v/>
      </c>
      <c r="K275" s="5" t="b">
        <v>0</v>
      </c>
      <c r="L275" s="7"/>
      <c r="M275" s="7"/>
    </row>
    <row r="276">
      <c r="A276" s="3" t="s">
        <v>422</v>
      </c>
      <c r="B276" s="3">
        <v>16.0</v>
      </c>
      <c r="C276" s="3">
        <v>24.0</v>
      </c>
      <c r="D276" s="4">
        <v>49.1879307653705</v>
      </c>
      <c r="E276" s="4">
        <v>-2.0927135406521</v>
      </c>
      <c r="F276" s="3" t="s">
        <v>329</v>
      </c>
      <c r="G276" s="3" t="s">
        <v>330</v>
      </c>
      <c r="H276" s="5"/>
      <c r="I276" s="5"/>
      <c r="J276" s="7" t="str">
        <f>IFERROR(__xludf.DUMMYFUNCTION("IF(AND(REGEXMATCH($H276,""50( ?['fF]([oO]{2})?[tT]?)?( ?[eE][rR]{2}[oO][rR])"")=FALSE,$H276&lt;&gt;"""",$I276&lt;&gt;""""),HYPERLINK(""https://www.munzee.com/m/""&amp;$H276&amp;""/""&amp;$I276&amp;""/map/?lat=""&amp;$D276&amp;""&amp;lon=""&amp;$E276&amp;""&amp;type=""&amp;$G276&amp;""&amp;name=""&amp;SUBSTITUTE($A276,""#"&amp;""",""%23""),$H276&amp;""/""&amp;$I276),IF($H276&lt;&gt;"""",IF(REGEXMATCH($H276,""50( ?['fF]([oO]{2})?[tT]?)?( ?[eE][rR]{2}[oO][rR])""),HYPERLINK(""https://www.munzee.com/map/?sandbox=1&amp;lat=""&amp;$D276&amp;""&amp;lon=""&amp;$E276&amp;""&amp;name=""&amp;SUBSTITUTE($A276,""#"",""%23""),""SANDBOX"""&amp;"),HYPERLINK(""https://www.munzee.com/m/""&amp;$H276&amp;""/deploys/0/type/""&amp;IFNA(VLOOKUP($G276,IMPORTRANGE(""https://docs.google.com/spreadsheets/d/1DliIGyDywdzxhd4svtjaewR0p9Y5UBTMNMQ2PcXsqss"",""type data!E2:F""),2,FALSE),$G276)&amp;""/"",$H276)),""""))"),"")</f>
        <v/>
      </c>
      <c r="K276" s="5" t="b">
        <v>0</v>
      </c>
      <c r="L276" s="7"/>
      <c r="M276" s="7"/>
    </row>
    <row r="277">
      <c r="A277" s="3" t="s">
        <v>423</v>
      </c>
      <c r="B277" s="3">
        <v>16.0</v>
      </c>
      <c r="C277" s="3">
        <v>27.0</v>
      </c>
      <c r="D277" s="4">
        <v>49.1876258667394</v>
      </c>
      <c r="E277" s="4">
        <v>-2.092247037634</v>
      </c>
      <c r="F277" s="3" t="s">
        <v>250</v>
      </c>
      <c r="G277" s="3" t="s">
        <v>251</v>
      </c>
      <c r="H277" s="5"/>
      <c r="I277" s="5"/>
      <c r="J277" s="7" t="str">
        <f>IFERROR(__xludf.DUMMYFUNCTION("IF(AND(REGEXMATCH($H277,""50( ?['fF]([oO]{2})?[tT]?)?( ?[eE][rR]{2}[oO][rR])"")=FALSE,$H277&lt;&gt;"""",$I277&lt;&gt;""""),HYPERLINK(""https://www.munzee.com/m/""&amp;$H277&amp;""/""&amp;$I277&amp;""/map/?lat=""&amp;$D277&amp;""&amp;lon=""&amp;$E277&amp;""&amp;type=""&amp;$G277&amp;""&amp;name=""&amp;SUBSTITUTE($A277,""#"&amp;""",""%23""),$H277&amp;""/""&amp;$I277),IF($H277&lt;&gt;"""",IF(REGEXMATCH($H277,""50( ?['fF]([oO]{2})?[tT]?)?( ?[eE][rR]{2}[oO][rR])""),HYPERLINK(""https://www.munzee.com/map/?sandbox=1&amp;lat=""&amp;$D277&amp;""&amp;lon=""&amp;$E277&amp;""&amp;name=""&amp;SUBSTITUTE($A277,""#"",""%23""),""SANDBOX"""&amp;"),HYPERLINK(""https://www.munzee.com/m/""&amp;$H277&amp;""/deploys/0/type/""&amp;IFNA(VLOOKUP($G277,IMPORTRANGE(""https://docs.google.com/spreadsheets/d/1DliIGyDywdzxhd4svtjaewR0p9Y5UBTMNMQ2PcXsqss"",""type data!E2:F""),2,FALSE),$G277)&amp;""/"",$H277)),""""))"),"")</f>
        <v/>
      </c>
      <c r="K277" s="5" t="b">
        <v>0</v>
      </c>
      <c r="L277" s="7"/>
      <c r="M277" s="7"/>
    </row>
    <row r="278">
      <c r="A278" s="3" t="s">
        <v>424</v>
      </c>
      <c r="B278" s="3">
        <v>16.0</v>
      </c>
      <c r="C278" s="3">
        <v>28.0</v>
      </c>
      <c r="D278" s="4">
        <v>49.1875242338624</v>
      </c>
      <c r="E278" s="4">
        <v>-2.0920915372668</v>
      </c>
      <c r="F278" s="3" t="s">
        <v>269</v>
      </c>
      <c r="G278" s="3" t="s">
        <v>270</v>
      </c>
      <c r="H278" s="5" t="s">
        <v>60</v>
      </c>
      <c r="I278" s="5"/>
      <c r="J278" s="6" t="str">
        <f>IFERROR(__xludf.DUMMYFUNCTION("IF(AND(REGEXMATCH($H278,""50( ?['fF]([oO]{2})?[tT]?)?( ?[eE][rR]{2}[oO][rR])"")=FALSE,$H278&lt;&gt;"""",$I278&lt;&gt;""""),HYPERLINK(""https://www.munzee.com/m/""&amp;$H278&amp;""/""&amp;$I278&amp;""/map/?lat=""&amp;$D278&amp;""&amp;lon=""&amp;$E278&amp;""&amp;type=""&amp;$G278&amp;""&amp;name=""&amp;SUBSTITUTE($A278,""#"&amp;""",""%23""),$H278&amp;""/""&amp;$I278),IF($H278&lt;&gt;"""",IF(REGEXMATCH($H278,""50( ?['fF]([oO]{2})?[tT]?)?( ?[eE][rR]{2}[oO][rR])""),HYPERLINK(""https://www.munzee.com/map/?sandbox=1&amp;lat=""&amp;$D278&amp;""&amp;lon=""&amp;$E278&amp;""&amp;name=""&amp;SUBSTITUTE($A278,""#"",""%23""),""SANDBOX"""&amp;"),HYPERLINK(""https://www.munzee.com/m/""&amp;$H278&amp;""/deploys/0/type/""&amp;IFNA(VLOOKUP($G278,IMPORTRANGE(""https://docs.google.com/spreadsheets/d/1DliIGyDywdzxhd4svtjaewR0p9Y5UBTMNMQ2PcXsqss"",""type data!E2:F""),2,FALSE),$G278)&amp;""/"",$H278)),""""))"),"pippy44 ")</f>
        <v>pippy44 </v>
      </c>
      <c r="K278" s="5" t="b">
        <v>0</v>
      </c>
      <c r="L278" s="7"/>
      <c r="M278" s="7"/>
    </row>
    <row r="279">
      <c r="A279" s="3" t="s">
        <v>425</v>
      </c>
      <c r="B279" s="3">
        <v>17.0</v>
      </c>
      <c r="C279" s="3">
        <v>7.0</v>
      </c>
      <c r="D279" s="4">
        <v>49.189556891403</v>
      </c>
      <c r="E279" s="4">
        <v>-2.0955126315914</v>
      </c>
      <c r="F279" s="3" t="s">
        <v>250</v>
      </c>
      <c r="G279" s="3" t="s">
        <v>251</v>
      </c>
      <c r="H279" s="5"/>
      <c r="I279" s="5"/>
      <c r="J279" s="7" t="str">
        <f>IFERROR(__xludf.DUMMYFUNCTION("IF(AND(REGEXMATCH($H279,""50( ?['fF]([oO]{2})?[tT]?)?( ?[eE][rR]{2}[oO][rR])"")=FALSE,$H279&lt;&gt;"""",$I279&lt;&gt;""""),HYPERLINK(""https://www.munzee.com/m/""&amp;$H279&amp;""/""&amp;$I279&amp;""/map/?lat=""&amp;$D279&amp;""&amp;lon=""&amp;$E279&amp;""&amp;type=""&amp;$G279&amp;""&amp;name=""&amp;SUBSTITUTE($A279,""#"&amp;""",""%23""),$H279&amp;""/""&amp;$I279),IF($H279&lt;&gt;"""",IF(REGEXMATCH($H279,""50( ?['fF]([oO]{2})?[tT]?)?( ?[eE][rR]{2}[oO][rR])""),HYPERLINK(""https://www.munzee.com/map/?sandbox=1&amp;lat=""&amp;$D279&amp;""&amp;lon=""&amp;$E279&amp;""&amp;name=""&amp;SUBSTITUTE($A279,""#"",""%23""),""SANDBOX"""&amp;"),HYPERLINK(""https://www.munzee.com/m/""&amp;$H279&amp;""/deploys/0/type/""&amp;IFNA(VLOOKUP($G279,IMPORTRANGE(""https://docs.google.com/spreadsheets/d/1DliIGyDywdzxhd4svtjaewR0p9Y5UBTMNMQ2PcXsqss"",""type data!E2:F""),2,FALSE),$G279)&amp;""/"",$H279)),""""))"),"")</f>
        <v/>
      </c>
      <c r="K279" s="5" t="b">
        <v>0</v>
      </c>
      <c r="L279" s="7"/>
      <c r="M279" s="7"/>
    </row>
    <row r="280">
      <c r="A280" s="3" t="s">
        <v>426</v>
      </c>
      <c r="B280" s="3">
        <v>17.0</v>
      </c>
      <c r="C280" s="3">
        <v>8.0</v>
      </c>
      <c r="D280" s="4">
        <v>49.189455258526</v>
      </c>
      <c r="E280" s="4">
        <v>-2.095357125155</v>
      </c>
      <c r="F280" s="3" t="s">
        <v>329</v>
      </c>
      <c r="G280" s="3" t="s">
        <v>330</v>
      </c>
      <c r="H280" s="5"/>
      <c r="I280" s="5"/>
      <c r="J280" s="7" t="str">
        <f>IFERROR(__xludf.DUMMYFUNCTION("IF(AND(REGEXMATCH($H280,""50( ?['fF]([oO]{2})?[tT]?)?( ?[eE][rR]{2}[oO][rR])"")=FALSE,$H280&lt;&gt;"""",$I280&lt;&gt;""""),HYPERLINK(""https://www.munzee.com/m/""&amp;$H280&amp;""/""&amp;$I280&amp;""/map/?lat=""&amp;$D280&amp;""&amp;lon=""&amp;$E280&amp;""&amp;type=""&amp;$G280&amp;""&amp;name=""&amp;SUBSTITUTE($A280,""#"&amp;""",""%23""),$H280&amp;""/""&amp;$I280),IF($H280&lt;&gt;"""",IF(REGEXMATCH($H280,""50( ?['fF]([oO]{2})?[tT]?)?( ?[eE][rR]{2}[oO][rR])""),HYPERLINK(""https://www.munzee.com/map/?sandbox=1&amp;lat=""&amp;$D280&amp;""&amp;lon=""&amp;$E280&amp;""&amp;name=""&amp;SUBSTITUTE($A280,""#"",""%23""),""SANDBOX"""&amp;"),HYPERLINK(""https://www.munzee.com/m/""&amp;$H280&amp;""/deploys/0/type/""&amp;IFNA(VLOOKUP($G280,IMPORTRANGE(""https://docs.google.com/spreadsheets/d/1DliIGyDywdzxhd4svtjaewR0p9Y5UBTMNMQ2PcXsqss"",""type data!E2:F""),2,FALSE),$G280)&amp;""/"",$H280)),""""))"),"")</f>
        <v/>
      </c>
      <c r="K280" s="5" t="b">
        <v>0</v>
      </c>
      <c r="L280" s="7"/>
      <c r="M280" s="7"/>
    </row>
    <row r="281">
      <c r="A281" s="3" t="s">
        <v>427</v>
      </c>
      <c r="B281" s="3">
        <v>17.0</v>
      </c>
      <c r="C281" s="3">
        <v>9.0</v>
      </c>
      <c r="D281" s="4">
        <v>49.189353625649</v>
      </c>
      <c r="E281" s="4">
        <v>-2.0952016190381</v>
      </c>
      <c r="F281" s="3" t="s">
        <v>329</v>
      </c>
      <c r="G281" s="3" t="s">
        <v>330</v>
      </c>
      <c r="H281" s="5"/>
      <c r="I281" s="5"/>
      <c r="J281" s="7" t="str">
        <f>IFERROR(__xludf.DUMMYFUNCTION("IF(AND(REGEXMATCH($H281,""50( ?['fF]([oO]{2})?[tT]?)?( ?[eE][rR]{2}[oO][rR])"")=FALSE,$H281&lt;&gt;"""",$I281&lt;&gt;""""),HYPERLINK(""https://www.munzee.com/m/""&amp;$H281&amp;""/""&amp;$I281&amp;""/map/?lat=""&amp;$D281&amp;""&amp;lon=""&amp;$E281&amp;""&amp;type=""&amp;$G281&amp;""&amp;name=""&amp;SUBSTITUTE($A281,""#"&amp;""",""%23""),$H281&amp;""/""&amp;$I281),IF($H281&lt;&gt;"""",IF(REGEXMATCH($H281,""50( ?['fF]([oO]{2})?[tT]?)?( ?[eE][rR]{2}[oO][rR])""),HYPERLINK(""https://www.munzee.com/map/?sandbox=1&amp;lat=""&amp;$D281&amp;""&amp;lon=""&amp;$E281&amp;""&amp;name=""&amp;SUBSTITUTE($A281,""#"",""%23""),""SANDBOX"""&amp;"),HYPERLINK(""https://www.munzee.com/m/""&amp;$H281&amp;""/deploys/0/type/""&amp;IFNA(VLOOKUP($G281,IMPORTRANGE(""https://docs.google.com/spreadsheets/d/1DliIGyDywdzxhd4svtjaewR0p9Y5UBTMNMQ2PcXsqss"",""type data!E2:F""),2,FALSE),$G281)&amp;""/"",$H281)),""""))"),"")</f>
        <v/>
      </c>
      <c r="K281" s="5" t="b">
        <v>0</v>
      </c>
      <c r="L281" s="7"/>
      <c r="M281" s="7"/>
    </row>
    <row r="282">
      <c r="A282" s="3" t="s">
        <v>428</v>
      </c>
      <c r="B282" s="3">
        <v>17.0</v>
      </c>
      <c r="C282" s="3">
        <v>10.0</v>
      </c>
      <c r="D282" s="4">
        <v>49.1892519927719</v>
      </c>
      <c r="E282" s="4">
        <v>-2.0950461132406</v>
      </c>
      <c r="F282" s="3" t="s">
        <v>385</v>
      </c>
      <c r="G282" s="3" t="s">
        <v>386</v>
      </c>
      <c r="H282" s="5"/>
      <c r="I282" s="5"/>
      <c r="J282" s="7" t="str">
        <f>IFERROR(__xludf.DUMMYFUNCTION("IF(AND(REGEXMATCH($H282,""50( ?['fF]([oO]{2})?[tT]?)?( ?[eE][rR]{2}[oO][rR])"")=FALSE,$H282&lt;&gt;"""",$I282&lt;&gt;""""),HYPERLINK(""https://www.munzee.com/m/""&amp;$H282&amp;""/""&amp;$I282&amp;""/map/?lat=""&amp;$D282&amp;""&amp;lon=""&amp;$E282&amp;""&amp;type=""&amp;$G282&amp;""&amp;name=""&amp;SUBSTITUTE($A282,""#"&amp;""",""%23""),$H282&amp;""/""&amp;$I282),IF($H282&lt;&gt;"""",IF(REGEXMATCH($H282,""50( ?['fF]([oO]{2})?[tT]?)?( ?[eE][rR]{2}[oO][rR])""),HYPERLINK(""https://www.munzee.com/map/?sandbox=1&amp;lat=""&amp;$D282&amp;""&amp;lon=""&amp;$E282&amp;""&amp;name=""&amp;SUBSTITUTE($A282,""#"",""%23""),""SANDBOX"""&amp;"),HYPERLINK(""https://www.munzee.com/m/""&amp;$H282&amp;""/deploys/0/type/""&amp;IFNA(VLOOKUP($G282,IMPORTRANGE(""https://docs.google.com/spreadsheets/d/1DliIGyDywdzxhd4svtjaewR0p9Y5UBTMNMQ2PcXsqss"",""type data!E2:F""),2,FALSE),$G282)&amp;""/"",$H282)),""""))"),"")</f>
        <v/>
      </c>
      <c r="K282" s="5" t="b">
        <v>0</v>
      </c>
      <c r="L282" s="7"/>
      <c r="M282" s="7"/>
    </row>
    <row r="283">
      <c r="A283" s="3" t="s">
        <v>429</v>
      </c>
      <c r="B283" s="3">
        <v>17.0</v>
      </c>
      <c r="C283" s="3">
        <v>11.0</v>
      </c>
      <c r="D283" s="4">
        <v>49.1891503598949</v>
      </c>
      <c r="E283" s="4">
        <v>-2.0948906077626</v>
      </c>
      <c r="F283" s="3" t="s">
        <v>296</v>
      </c>
      <c r="G283" s="3" t="s">
        <v>297</v>
      </c>
      <c r="H283" s="5" t="s">
        <v>306</v>
      </c>
      <c r="I283" s="5">
        <v>3432.0</v>
      </c>
      <c r="J283" s="6" t="str">
        <f>IFERROR(__xludf.DUMMYFUNCTION("IF(AND(REGEXMATCH($H283,""50( ?['fF]([oO]{2})?[tT]?)?( ?[eE][rR]{2}[oO][rR])"")=FALSE,$H283&lt;&gt;"""",$I283&lt;&gt;""""),HYPERLINK(""https://www.munzee.com/m/""&amp;$H283&amp;""/""&amp;$I283&amp;""/map/?lat=""&amp;$D283&amp;""&amp;lon=""&amp;$E283&amp;""&amp;type=""&amp;$G283&amp;""&amp;name=""&amp;SUBSTITUTE($A283,""#"&amp;""",""%23""),$H283&amp;""/""&amp;$I283),IF($H283&lt;&gt;"""",IF(REGEXMATCH($H283,""50( ?['fF]([oO]{2})?[tT]?)?( ?[eE][rR]{2}[oO][rR])""),HYPERLINK(""https://www.munzee.com/map/?sandbox=1&amp;lat=""&amp;$D283&amp;""&amp;lon=""&amp;$E283&amp;""&amp;name=""&amp;SUBSTITUTE($A283,""#"",""%23""),""SANDBOX"""&amp;"),HYPERLINK(""https://www.munzee.com/m/""&amp;$H283&amp;""/deploys/0/type/""&amp;IFNA(VLOOKUP($G283,IMPORTRANGE(""https://docs.google.com/spreadsheets/d/1DliIGyDywdzxhd4svtjaewR0p9Y5UBTMNMQ2PcXsqss"",""type data!E2:F""),2,FALSE),$G283)&amp;""/"",$H283)),""""))"),"Bisquick2/3432")</f>
        <v>Bisquick2/3432</v>
      </c>
      <c r="K283" s="5" t="b">
        <v>1</v>
      </c>
      <c r="L283" s="7"/>
      <c r="M283" s="7"/>
    </row>
    <row r="284">
      <c r="A284" s="3" t="s">
        <v>430</v>
      </c>
      <c r="B284" s="3">
        <v>17.0</v>
      </c>
      <c r="C284" s="3">
        <v>12.0</v>
      </c>
      <c r="D284" s="4">
        <v>49.1890487270179</v>
      </c>
      <c r="E284" s="4">
        <v>-2.0947351026041</v>
      </c>
      <c r="F284" s="3" t="s">
        <v>296</v>
      </c>
      <c r="G284" s="3" t="s">
        <v>297</v>
      </c>
      <c r="H284" s="5"/>
      <c r="I284" s="5"/>
      <c r="J284" s="7" t="str">
        <f>IFERROR(__xludf.DUMMYFUNCTION("IF(AND(REGEXMATCH($H284,""50( ?['fF]([oO]{2})?[tT]?)?( ?[eE][rR]{2}[oO][rR])"")=FALSE,$H284&lt;&gt;"""",$I284&lt;&gt;""""),HYPERLINK(""https://www.munzee.com/m/""&amp;$H284&amp;""/""&amp;$I284&amp;""/map/?lat=""&amp;$D284&amp;""&amp;lon=""&amp;$E284&amp;""&amp;type=""&amp;$G284&amp;""&amp;name=""&amp;SUBSTITUTE($A284,""#"&amp;""",""%23""),$H284&amp;""/""&amp;$I284),IF($H284&lt;&gt;"""",IF(REGEXMATCH($H284,""50( ?['fF]([oO]{2})?[tT]?)?( ?[eE][rR]{2}[oO][rR])""),HYPERLINK(""https://www.munzee.com/map/?sandbox=1&amp;lat=""&amp;$D284&amp;""&amp;lon=""&amp;$E284&amp;""&amp;name=""&amp;SUBSTITUTE($A284,""#"",""%23""),""SANDBOX"""&amp;"),HYPERLINK(""https://www.munzee.com/m/""&amp;$H284&amp;""/deploys/0/type/""&amp;IFNA(VLOOKUP($G284,IMPORTRANGE(""https://docs.google.com/spreadsheets/d/1DliIGyDywdzxhd4svtjaewR0p9Y5UBTMNMQ2PcXsqss"",""type data!E2:F""),2,FALSE),$G284)&amp;""/"",$H284)),""""))"),"")</f>
        <v/>
      </c>
      <c r="K284" s="5" t="b">
        <v>0</v>
      </c>
      <c r="L284" s="7"/>
      <c r="M284" s="7"/>
    </row>
    <row r="285">
      <c r="A285" s="3" t="s">
        <v>431</v>
      </c>
      <c r="B285" s="3">
        <v>17.0</v>
      </c>
      <c r="C285" s="3">
        <v>13.0</v>
      </c>
      <c r="D285" s="4">
        <v>49.1889470941408</v>
      </c>
      <c r="E285" s="4">
        <v>-2.094579597765</v>
      </c>
      <c r="F285" s="3" t="s">
        <v>296</v>
      </c>
      <c r="G285" s="3" t="s">
        <v>297</v>
      </c>
      <c r="H285" s="5" t="s">
        <v>370</v>
      </c>
      <c r="I285" s="5">
        <v>5556.0</v>
      </c>
      <c r="J285" s="6" t="str">
        <f>IFERROR(__xludf.DUMMYFUNCTION("IF(AND(REGEXMATCH($H285,""50( ?['fF]([oO]{2})?[tT]?)?( ?[eE][rR]{2}[oO][rR])"")=FALSE,$H285&lt;&gt;"""",$I285&lt;&gt;""""),HYPERLINK(""https://www.munzee.com/m/""&amp;$H285&amp;""/""&amp;$I285&amp;""/map/?lat=""&amp;$D285&amp;""&amp;lon=""&amp;$E285&amp;""&amp;type=""&amp;$G285&amp;""&amp;name=""&amp;SUBSTITUTE($A285,""#"&amp;""",""%23""),$H285&amp;""/""&amp;$I285),IF($H285&lt;&gt;"""",IF(REGEXMATCH($H285,""50( ?['fF]([oO]{2})?[tT]?)?( ?[eE][rR]{2}[oO][rR])""),HYPERLINK(""https://www.munzee.com/map/?sandbox=1&amp;lat=""&amp;$D285&amp;""&amp;lon=""&amp;$E285&amp;""&amp;name=""&amp;SUBSTITUTE($A285,""#"",""%23""),""SANDBOX"""&amp;"),HYPERLINK(""https://www.munzee.com/m/""&amp;$H285&amp;""/deploys/0/type/""&amp;IFNA(VLOOKUP($G285,IMPORTRANGE(""https://docs.google.com/spreadsheets/d/1DliIGyDywdzxhd4svtjaewR0p9Y5UBTMNMQ2PcXsqss"",""type data!E2:F""),2,FALSE),$G285)&amp;""/"",$H285)),""""))"),"vadotech/5556")</f>
        <v>vadotech/5556</v>
      </c>
      <c r="K285" s="5" t="b">
        <v>1</v>
      </c>
      <c r="L285" s="7"/>
      <c r="M285" s="7"/>
    </row>
    <row r="286">
      <c r="A286" s="3" t="s">
        <v>432</v>
      </c>
      <c r="B286" s="3">
        <v>17.0</v>
      </c>
      <c r="C286" s="3">
        <v>14.0</v>
      </c>
      <c r="D286" s="4">
        <v>49.1888454612638</v>
      </c>
      <c r="E286" s="4">
        <v>-2.0944240932453</v>
      </c>
      <c r="F286" s="3" t="s">
        <v>69</v>
      </c>
      <c r="G286" s="3" t="s">
        <v>70</v>
      </c>
      <c r="H286" s="5"/>
      <c r="I286" s="5"/>
      <c r="J286" s="7" t="str">
        <f>IFERROR(__xludf.DUMMYFUNCTION("IF(AND(REGEXMATCH($H286,""50( ?['fF]([oO]{2})?[tT]?)?( ?[eE][rR]{2}[oO][rR])"")=FALSE,$H286&lt;&gt;"""",$I286&lt;&gt;""""),HYPERLINK(""https://www.munzee.com/m/""&amp;$H286&amp;""/""&amp;$I286&amp;""/map/?lat=""&amp;$D286&amp;""&amp;lon=""&amp;$E286&amp;""&amp;type=""&amp;$G286&amp;""&amp;name=""&amp;SUBSTITUTE($A286,""#"&amp;""",""%23""),$H286&amp;""/""&amp;$I286),IF($H286&lt;&gt;"""",IF(REGEXMATCH($H286,""50( ?['fF]([oO]{2})?[tT]?)?( ?[eE][rR]{2}[oO][rR])""),HYPERLINK(""https://www.munzee.com/map/?sandbox=1&amp;lat=""&amp;$D286&amp;""&amp;lon=""&amp;$E286&amp;""&amp;name=""&amp;SUBSTITUTE($A286,""#"",""%23""),""SANDBOX"""&amp;"),HYPERLINK(""https://www.munzee.com/m/""&amp;$H286&amp;""/deploys/0/type/""&amp;IFNA(VLOOKUP($G286,IMPORTRANGE(""https://docs.google.com/spreadsheets/d/1DliIGyDywdzxhd4svtjaewR0p9Y5UBTMNMQ2PcXsqss"",""type data!E2:F""),2,FALSE),$G286)&amp;""/"",$H286)),""""))"),"")</f>
        <v/>
      </c>
      <c r="K286" s="5" t="b">
        <v>0</v>
      </c>
      <c r="L286" s="7"/>
      <c r="M286" s="7"/>
    </row>
    <row r="287">
      <c r="A287" s="3" t="s">
        <v>433</v>
      </c>
      <c r="B287" s="3">
        <v>17.0</v>
      </c>
      <c r="C287" s="3">
        <v>15.0</v>
      </c>
      <c r="D287" s="4">
        <v>49.1887438283868</v>
      </c>
      <c r="E287" s="4">
        <v>-2.094268589045</v>
      </c>
      <c r="F287" s="3" t="s">
        <v>303</v>
      </c>
      <c r="G287" s="3" t="s">
        <v>304</v>
      </c>
      <c r="H287" s="5" t="s">
        <v>364</v>
      </c>
      <c r="I287" s="5">
        <v>42.0</v>
      </c>
      <c r="J287" s="6" t="str">
        <f>IFERROR(__xludf.DUMMYFUNCTION("IF(AND(REGEXMATCH($H287,""50( ?['fF]([oO]{2})?[tT]?)?( ?[eE][rR]{2}[oO][rR])"")=FALSE,$H287&lt;&gt;"""",$I287&lt;&gt;""""),HYPERLINK(""https://www.munzee.com/m/""&amp;$H287&amp;""/""&amp;$I287&amp;""/map/?lat=""&amp;$D287&amp;""&amp;lon=""&amp;$E287&amp;""&amp;type=""&amp;$G287&amp;""&amp;name=""&amp;SUBSTITUTE($A287,""#"&amp;""",""%23""),$H287&amp;""/""&amp;$I287),IF($H287&lt;&gt;"""",IF(REGEXMATCH($H287,""50( ?['fF]([oO]{2})?[tT]?)?( ?[eE][rR]{2}[oO][rR])""),HYPERLINK(""https://www.munzee.com/map/?sandbox=1&amp;lat=""&amp;$D287&amp;""&amp;lon=""&amp;$E287&amp;""&amp;name=""&amp;SUBSTITUTE($A287,""#"",""%23""),""SANDBOX"""&amp;"),HYPERLINK(""https://www.munzee.com/m/""&amp;$H287&amp;""/deploys/0/type/""&amp;IFNA(VLOOKUP($G287,IMPORTRANGE(""https://docs.google.com/spreadsheets/d/1DliIGyDywdzxhd4svtjaewR0p9Y5UBTMNMQ2PcXsqss"",""type data!E2:F""),2,FALSE),$G287)&amp;""/"",$H287)),""""))"),"louisehen/42")</f>
        <v>louisehen/42</v>
      </c>
      <c r="K287" s="5" t="b">
        <v>1</v>
      </c>
      <c r="L287" s="7"/>
      <c r="M287" s="7"/>
    </row>
    <row r="288">
      <c r="A288" s="3" t="s">
        <v>434</v>
      </c>
      <c r="B288" s="3">
        <v>17.0</v>
      </c>
      <c r="C288" s="3">
        <v>16.0</v>
      </c>
      <c r="D288" s="4">
        <v>49.1886421955097</v>
      </c>
      <c r="E288" s="4">
        <v>-2.0941130851642</v>
      </c>
      <c r="F288" s="3" t="s">
        <v>339</v>
      </c>
      <c r="G288" s="3" t="s">
        <v>340</v>
      </c>
      <c r="H288" s="5"/>
      <c r="I288" s="5"/>
      <c r="J288" s="7" t="str">
        <f>IFERROR(__xludf.DUMMYFUNCTION("IF(AND(REGEXMATCH($H288,""50( ?['fF]([oO]{2})?[tT]?)?( ?[eE][rR]{2}[oO][rR])"")=FALSE,$H288&lt;&gt;"""",$I288&lt;&gt;""""),HYPERLINK(""https://www.munzee.com/m/""&amp;$H288&amp;""/""&amp;$I288&amp;""/map/?lat=""&amp;$D288&amp;""&amp;lon=""&amp;$E288&amp;""&amp;type=""&amp;$G288&amp;""&amp;name=""&amp;SUBSTITUTE($A288,""#"&amp;""",""%23""),$H288&amp;""/""&amp;$I288),IF($H288&lt;&gt;"""",IF(REGEXMATCH($H288,""50( ?['fF]([oO]{2})?[tT]?)?( ?[eE][rR]{2}[oO][rR])""),HYPERLINK(""https://www.munzee.com/map/?sandbox=1&amp;lat=""&amp;$D288&amp;""&amp;lon=""&amp;$E288&amp;""&amp;name=""&amp;SUBSTITUTE($A288,""#"",""%23""),""SANDBOX"""&amp;"),HYPERLINK(""https://www.munzee.com/m/""&amp;$H288&amp;""/deploys/0/type/""&amp;IFNA(VLOOKUP($G288,IMPORTRANGE(""https://docs.google.com/spreadsheets/d/1DliIGyDywdzxhd4svtjaewR0p9Y5UBTMNMQ2PcXsqss"",""type data!E2:F""),2,FALSE),$G288)&amp;""/"",$H288)),""""))"),"")</f>
        <v/>
      </c>
      <c r="K288" s="5" t="b">
        <v>0</v>
      </c>
      <c r="L288" s="7"/>
      <c r="M288" s="7"/>
    </row>
    <row r="289">
      <c r="A289" s="3" t="s">
        <v>435</v>
      </c>
      <c r="B289" s="3">
        <v>17.0</v>
      </c>
      <c r="C289" s="3">
        <v>17.0</v>
      </c>
      <c r="D289" s="4">
        <v>49.1885405626327</v>
      </c>
      <c r="E289" s="4">
        <v>-2.0939575816028</v>
      </c>
      <c r="F289" s="3" t="s">
        <v>69</v>
      </c>
      <c r="G289" s="3" t="s">
        <v>70</v>
      </c>
      <c r="H289" s="5" t="s">
        <v>370</v>
      </c>
      <c r="I289" s="5">
        <v>6764.0</v>
      </c>
      <c r="J289" s="6" t="str">
        <f>IFERROR(__xludf.DUMMYFUNCTION("IF(AND(REGEXMATCH($H289,""50( ?['fF]([oO]{2})?[tT]?)?( ?[eE][rR]{2}[oO][rR])"")=FALSE,$H289&lt;&gt;"""",$I289&lt;&gt;""""),HYPERLINK(""https://www.munzee.com/m/""&amp;$H289&amp;""/""&amp;$I289&amp;""/map/?lat=""&amp;$D289&amp;""&amp;lon=""&amp;$E289&amp;""&amp;type=""&amp;$G289&amp;""&amp;name=""&amp;SUBSTITUTE($A289,""#"&amp;""",""%23""),$H289&amp;""/""&amp;$I289),IF($H289&lt;&gt;"""",IF(REGEXMATCH($H289,""50( ?['fF]([oO]{2})?[tT]?)?( ?[eE][rR]{2}[oO][rR])""),HYPERLINK(""https://www.munzee.com/map/?sandbox=1&amp;lat=""&amp;$D289&amp;""&amp;lon=""&amp;$E289&amp;""&amp;name=""&amp;SUBSTITUTE($A289,""#"",""%23""),""SANDBOX"""&amp;"),HYPERLINK(""https://www.munzee.com/m/""&amp;$H289&amp;""/deploys/0/type/""&amp;IFNA(VLOOKUP($G289,IMPORTRANGE(""https://docs.google.com/spreadsheets/d/1DliIGyDywdzxhd4svtjaewR0p9Y5UBTMNMQ2PcXsqss"",""type data!E2:F""),2,FALSE),$G289)&amp;""/"",$H289)),""""))"),"vadotech/6764")</f>
        <v>vadotech/6764</v>
      </c>
      <c r="K289" s="5" t="b">
        <v>1</v>
      </c>
      <c r="L289" s="7"/>
      <c r="M289" s="7"/>
    </row>
    <row r="290">
      <c r="A290" s="3" t="s">
        <v>436</v>
      </c>
      <c r="B290" s="3">
        <v>17.0</v>
      </c>
      <c r="C290" s="3">
        <v>18.0</v>
      </c>
      <c r="D290" s="4">
        <v>49.1884389297557</v>
      </c>
      <c r="E290" s="4">
        <v>-2.0938020783608</v>
      </c>
      <c r="F290" s="3" t="s">
        <v>296</v>
      </c>
      <c r="G290" s="3" t="s">
        <v>297</v>
      </c>
      <c r="H290" s="5"/>
      <c r="I290" s="5"/>
      <c r="J290" s="7" t="str">
        <f>IFERROR(__xludf.DUMMYFUNCTION("IF(AND(REGEXMATCH($H290,""50( ?['fF]([oO]{2})?[tT]?)?( ?[eE][rR]{2}[oO][rR])"")=FALSE,$H290&lt;&gt;"""",$I290&lt;&gt;""""),HYPERLINK(""https://www.munzee.com/m/""&amp;$H290&amp;""/""&amp;$I290&amp;""/map/?lat=""&amp;$D290&amp;""&amp;lon=""&amp;$E290&amp;""&amp;type=""&amp;$G290&amp;""&amp;name=""&amp;SUBSTITUTE($A290,""#"&amp;""",""%23""),$H290&amp;""/""&amp;$I290),IF($H290&lt;&gt;"""",IF(REGEXMATCH($H290,""50( ?['fF]([oO]{2})?[tT]?)?( ?[eE][rR]{2}[oO][rR])""),HYPERLINK(""https://www.munzee.com/map/?sandbox=1&amp;lat=""&amp;$D290&amp;""&amp;lon=""&amp;$E290&amp;""&amp;name=""&amp;SUBSTITUTE($A290,""#"",""%23""),""SANDBOX"""&amp;"),HYPERLINK(""https://www.munzee.com/m/""&amp;$H290&amp;""/deploys/0/type/""&amp;IFNA(VLOOKUP($G290,IMPORTRANGE(""https://docs.google.com/spreadsheets/d/1DliIGyDywdzxhd4svtjaewR0p9Y5UBTMNMQ2PcXsqss"",""type data!E2:F""),2,FALSE),$G290)&amp;""/"",$H290)),""""))"),"")</f>
        <v/>
      </c>
      <c r="K290" s="5" t="b">
        <v>0</v>
      </c>
      <c r="L290" s="7"/>
      <c r="M290" s="7"/>
    </row>
    <row r="291">
      <c r="A291" s="3" t="s">
        <v>437</v>
      </c>
      <c r="B291" s="3">
        <v>17.0</v>
      </c>
      <c r="C291" s="3">
        <v>19.0</v>
      </c>
      <c r="D291" s="4">
        <v>49.1883372968786</v>
      </c>
      <c r="E291" s="4">
        <v>-2.0936465754382</v>
      </c>
      <c r="F291" s="3" t="s">
        <v>296</v>
      </c>
      <c r="G291" s="3" t="s">
        <v>297</v>
      </c>
      <c r="H291" s="5"/>
      <c r="I291" s="5"/>
      <c r="J291" s="7" t="str">
        <f>IFERROR(__xludf.DUMMYFUNCTION("IF(AND(REGEXMATCH($H291,""50( ?['fF]([oO]{2})?[tT]?)?( ?[eE][rR]{2}[oO][rR])"")=FALSE,$H291&lt;&gt;"""",$I291&lt;&gt;""""),HYPERLINK(""https://www.munzee.com/m/""&amp;$H291&amp;""/""&amp;$I291&amp;""/map/?lat=""&amp;$D291&amp;""&amp;lon=""&amp;$E291&amp;""&amp;type=""&amp;$G291&amp;""&amp;name=""&amp;SUBSTITUTE($A291,""#"&amp;""",""%23""),$H291&amp;""/""&amp;$I291),IF($H291&lt;&gt;"""",IF(REGEXMATCH($H291,""50( ?['fF]([oO]{2})?[tT]?)?( ?[eE][rR]{2}[oO][rR])""),HYPERLINK(""https://www.munzee.com/map/?sandbox=1&amp;lat=""&amp;$D291&amp;""&amp;lon=""&amp;$E291&amp;""&amp;name=""&amp;SUBSTITUTE($A291,""#"",""%23""),""SANDBOX"""&amp;"),HYPERLINK(""https://www.munzee.com/m/""&amp;$H291&amp;""/deploys/0/type/""&amp;IFNA(VLOOKUP($G291,IMPORTRANGE(""https://docs.google.com/spreadsheets/d/1DliIGyDywdzxhd4svtjaewR0p9Y5UBTMNMQ2PcXsqss"",""type data!E2:F""),2,FALSE),$G291)&amp;""/"",$H291)),""""))"),"")</f>
        <v/>
      </c>
      <c r="K291" s="5" t="b">
        <v>0</v>
      </c>
      <c r="L291" s="7"/>
      <c r="M291" s="7"/>
    </row>
    <row r="292">
      <c r="A292" s="3" t="s">
        <v>438</v>
      </c>
      <c r="B292" s="3">
        <v>17.0</v>
      </c>
      <c r="C292" s="3">
        <v>20.0</v>
      </c>
      <c r="D292" s="4">
        <v>49.1882356640016</v>
      </c>
      <c r="E292" s="4">
        <v>-2.0934910728351</v>
      </c>
      <c r="F292" s="3" t="s">
        <v>296</v>
      </c>
      <c r="G292" s="3" t="s">
        <v>297</v>
      </c>
      <c r="H292" s="5"/>
      <c r="I292" s="5"/>
      <c r="J292" s="7" t="str">
        <f>IFERROR(__xludf.DUMMYFUNCTION("IF(AND(REGEXMATCH($H292,""50( ?['fF]([oO]{2})?[tT]?)?( ?[eE][rR]{2}[oO][rR])"")=FALSE,$H292&lt;&gt;"""",$I292&lt;&gt;""""),HYPERLINK(""https://www.munzee.com/m/""&amp;$H292&amp;""/""&amp;$I292&amp;""/map/?lat=""&amp;$D292&amp;""&amp;lon=""&amp;$E292&amp;""&amp;type=""&amp;$G292&amp;""&amp;name=""&amp;SUBSTITUTE($A292,""#"&amp;""",""%23""),$H292&amp;""/""&amp;$I292),IF($H292&lt;&gt;"""",IF(REGEXMATCH($H292,""50( ?['fF]([oO]{2})?[tT]?)?( ?[eE][rR]{2}[oO][rR])""),HYPERLINK(""https://www.munzee.com/map/?sandbox=1&amp;lat=""&amp;$D292&amp;""&amp;lon=""&amp;$E292&amp;""&amp;name=""&amp;SUBSTITUTE($A292,""#"",""%23""),""SANDBOX"""&amp;"),HYPERLINK(""https://www.munzee.com/m/""&amp;$H292&amp;""/deploys/0/type/""&amp;IFNA(VLOOKUP($G292,IMPORTRANGE(""https://docs.google.com/spreadsheets/d/1DliIGyDywdzxhd4svtjaewR0p9Y5UBTMNMQ2PcXsqss"",""type data!E2:F""),2,FALSE),$G292)&amp;""/"",$H292)),""""))"),"")</f>
        <v/>
      </c>
      <c r="K292" s="5" t="b">
        <v>0</v>
      </c>
      <c r="L292" s="7"/>
      <c r="M292" s="7"/>
    </row>
    <row r="293">
      <c r="A293" s="3" t="s">
        <v>439</v>
      </c>
      <c r="B293" s="3">
        <v>17.0</v>
      </c>
      <c r="C293" s="3">
        <v>21.0</v>
      </c>
      <c r="D293" s="4">
        <v>49.1881340311246</v>
      </c>
      <c r="E293" s="4">
        <v>-2.0933355705515</v>
      </c>
      <c r="F293" s="3" t="s">
        <v>385</v>
      </c>
      <c r="G293" s="3" t="s">
        <v>386</v>
      </c>
      <c r="H293" s="5"/>
      <c r="I293" s="5"/>
      <c r="J293" s="7" t="str">
        <f>IFERROR(__xludf.DUMMYFUNCTION("IF(AND(REGEXMATCH($H293,""50( ?['fF]([oO]{2})?[tT]?)?( ?[eE][rR]{2}[oO][rR])"")=FALSE,$H293&lt;&gt;"""",$I293&lt;&gt;""""),HYPERLINK(""https://www.munzee.com/m/""&amp;$H293&amp;""/""&amp;$I293&amp;""/map/?lat=""&amp;$D293&amp;""&amp;lon=""&amp;$E293&amp;""&amp;type=""&amp;$G293&amp;""&amp;name=""&amp;SUBSTITUTE($A293,""#"&amp;""",""%23""),$H293&amp;""/""&amp;$I293),IF($H293&lt;&gt;"""",IF(REGEXMATCH($H293,""50( ?['fF]([oO]{2})?[tT]?)?( ?[eE][rR]{2}[oO][rR])""),HYPERLINK(""https://www.munzee.com/map/?sandbox=1&amp;lat=""&amp;$D293&amp;""&amp;lon=""&amp;$E293&amp;""&amp;name=""&amp;SUBSTITUTE($A293,""#"",""%23""),""SANDBOX"""&amp;"),HYPERLINK(""https://www.munzee.com/m/""&amp;$H293&amp;""/deploys/0/type/""&amp;IFNA(VLOOKUP($G293,IMPORTRANGE(""https://docs.google.com/spreadsheets/d/1DliIGyDywdzxhd4svtjaewR0p9Y5UBTMNMQ2PcXsqss"",""type data!E2:F""),2,FALSE),$G293)&amp;""/"",$H293)),""""))"),"")</f>
        <v/>
      </c>
      <c r="K293" s="5" t="b">
        <v>0</v>
      </c>
      <c r="L293" s="7"/>
      <c r="M293" s="7"/>
    </row>
    <row r="294">
      <c r="A294" s="3" t="s">
        <v>440</v>
      </c>
      <c r="B294" s="3">
        <v>17.0</v>
      </c>
      <c r="C294" s="3">
        <v>22.0</v>
      </c>
      <c r="D294" s="4">
        <v>49.1880323982475</v>
      </c>
      <c r="E294" s="4">
        <v>-2.0931800685872</v>
      </c>
      <c r="F294" s="3" t="s">
        <v>385</v>
      </c>
      <c r="G294" s="3" t="s">
        <v>386</v>
      </c>
      <c r="H294" s="5"/>
      <c r="I294" s="5"/>
      <c r="J294" s="7" t="str">
        <f>IFERROR(__xludf.DUMMYFUNCTION("IF(AND(REGEXMATCH($H294,""50( ?['fF]([oO]{2})?[tT]?)?( ?[eE][rR]{2}[oO][rR])"")=FALSE,$H294&lt;&gt;"""",$I294&lt;&gt;""""),HYPERLINK(""https://www.munzee.com/m/""&amp;$H294&amp;""/""&amp;$I294&amp;""/map/?lat=""&amp;$D294&amp;""&amp;lon=""&amp;$E294&amp;""&amp;type=""&amp;$G294&amp;""&amp;name=""&amp;SUBSTITUTE($A294,""#"&amp;""",""%23""),$H294&amp;""/""&amp;$I294),IF($H294&lt;&gt;"""",IF(REGEXMATCH($H294,""50( ?['fF]([oO]{2})?[tT]?)?( ?[eE][rR]{2}[oO][rR])""),HYPERLINK(""https://www.munzee.com/map/?sandbox=1&amp;lat=""&amp;$D294&amp;""&amp;lon=""&amp;$E294&amp;""&amp;name=""&amp;SUBSTITUTE($A294,""#"",""%23""),""SANDBOX"""&amp;"),HYPERLINK(""https://www.munzee.com/m/""&amp;$H294&amp;""/deploys/0/type/""&amp;IFNA(VLOOKUP($G294,IMPORTRANGE(""https://docs.google.com/spreadsheets/d/1DliIGyDywdzxhd4svtjaewR0p9Y5UBTMNMQ2PcXsqss"",""type data!E2:F""),2,FALSE),$G294)&amp;""/"",$H294)),""""))"),"")</f>
        <v/>
      </c>
      <c r="K294" s="5" t="b">
        <v>0</v>
      </c>
      <c r="L294" s="7"/>
      <c r="M294" s="7"/>
    </row>
    <row r="295">
      <c r="A295" s="3" t="s">
        <v>441</v>
      </c>
      <c r="B295" s="3">
        <v>17.0</v>
      </c>
      <c r="C295" s="3">
        <v>23.0</v>
      </c>
      <c r="D295" s="4">
        <v>49.1879307653705</v>
      </c>
      <c r="E295" s="4">
        <v>-2.0930245669424</v>
      </c>
      <c r="F295" s="3" t="s">
        <v>385</v>
      </c>
      <c r="G295" s="3" t="s">
        <v>386</v>
      </c>
      <c r="H295" s="5"/>
      <c r="I295" s="5"/>
      <c r="J295" s="7" t="str">
        <f>IFERROR(__xludf.DUMMYFUNCTION("IF(AND(REGEXMATCH($H295,""50( ?['fF]([oO]{2})?[tT]?)?( ?[eE][rR]{2}[oO][rR])"")=FALSE,$H295&lt;&gt;"""",$I295&lt;&gt;""""),HYPERLINK(""https://www.munzee.com/m/""&amp;$H295&amp;""/""&amp;$I295&amp;""/map/?lat=""&amp;$D295&amp;""&amp;lon=""&amp;$E295&amp;""&amp;type=""&amp;$G295&amp;""&amp;name=""&amp;SUBSTITUTE($A295,""#"&amp;""",""%23""),$H295&amp;""/""&amp;$I295),IF($H295&lt;&gt;"""",IF(REGEXMATCH($H295,""50( ?['fF]([oO]{2})?[tT]?)?( ?[eE][rR]{2}[oO][rR])""),HYPERLINK(""https://www.munzee.com/map/?sandbox=1&amp;lat=""&amp;$D295&amp;""&amp;lon=""&amp;$E295&amp;""&amp;name=""&amp;SUBSTITUTE($A295,""#"",""%23""),""SANDBOX"""&amp;"),HYPERLINK(""https://www.munzee.com/m/""&amp;$H295&amp;""/deploys/0/type/""&amp;IFNA(VLOOKUP($G295,IMPORTRANGE(""https://docs.google.com/spreadsheets/d/1DliIGyDywdzxhd4svtjaewR0p9Y5UBTMNMQ2PcXsqss"",""type data!E2:F""),2,FALSE),$G295)&amp;""/"",$H295)),""""))"),"")</f>
        <v/>
      </c>
      <c r="K295" s="5" t="b">
        <v>0</v>
      </c>
      <c r="L295" s="7"/>
      <c r="M295" s="7"/>
    </row>
    <row r="296">
      <c r="A296" s="3" t="s">
        <v>442</v>
      </c>
      <c r="B296" s="3">
        <v>17.0</v>
      </c>
      <c r="C296" s="3">
        <v>24.0</v>
      </c>
      <c r="D296" s="4">
        <v>49.1878291324935</v>
      </c>
      <c r="E296" s="4">
        <v>-2.0928690656169</v>
      </c>
      <c r="F296" s="3" t="s">
        <v>329</v>
      </c>
      <c r="G296" s="3" t="s">
        <v>330</v>
      </c>
      <c r="H296" s="5"/>
      <c r="I296" s="5"/>
      <c r="J296" s="7" t="str">
        <f>IFERROR(__xludf.DUMMYFUNCTION("IF(AND(REGEXMATCH($H296,""50( ?['fF]([oO]{2})?[tT]?)?( ?[eE][rR]{2}[oO][rR])"")=FALSE,$H296&lt;&gt;"""",$I296&lt;&gt;""""),HYPERLINK(""https://www.munzee.com/m/""&amp;$H296&amp;""/""&amp;$I296&amp;""/map/?lat=""&amp;$D296&amp;""&amp;lon=""&amp;$E296&amp;""&amp;type=""&amp;$G296&amp;""&amp;name=""&amp;SUBSTITUTE($A296,""#"&amp;""",""%23""),$H296&amp;""/""&amp;$I296),IF($H296&lt;&gt;"""",IF(REGEXMATCH($H296,""50( ?['fF]([oO]{2})?[tT]?)?( ?[eE][rR]{2}[oO][rR])""),HYPERLINK(""https://www.munzee.com/map/?sandbox=1&amp;lat=""&amp;$D296&amp;""&amp;lon=""&amp;$E296&amp;""&amp;name=""&amp;SUBSTITUTE($A296,""#"",""%23""),""SANDBOX"""&amp;"),HYPERLINK(""https://www.munzee.com/m/""&amp;$H296&amp;""/deploys/0/type/""&amp;IFNA(VLOOKUP($G296,IMPORTRANGE(""https://docs.google.com/spreadsheets/d/1DliIGyDywdzxhd4svtjaewR0p9Y5UBTMNMQ2PcXsqss"",""type data!E2:F""),2,FALSE),$G296)&amp;""/"",$H296)),""""))"),"")</f>
        <v/>
      </c>
      <c r="K296" s="5" t="b">
        <v>0</v>
      </c>
      <c r="L296" s="7"/>
      <c r="M296" s="7"/>
    </row>
    <row r="297">
      <c r="A297" s="3" t="s">
        <v>443</v>
      </c>
      <c r="B297" s="3">
        <v>17.0</v>
      </c>
      <c r="C297" s="3">
        <v>25.0</v>
      </c>
      <c r="D297" s="4">
        <v>49.1877274996164</v>
      </c>
      <c r="E297" s="4">
        <v>-2.0927135646109</v>
      </c>
      <c r="F297" s="3" t="s">
        <v>250</v>
      </c>
      <c r="G297" s="3" t="s">
        <v>251</v>
      </c>
      <c r="H297" s="5"/>
      <c r="I297" s="5"/>
      <c r="J297" s="7" t="str">
        <f>IFERROR(__xludf.DUMMYFUNCTION("IF(AND(REGEXMATCH($H297,""50( ?['fF]([oO]{2})?[tT]?)?( ?[eE][rR]{2}[oO][rR])"")=FALSE,$H297&lt;&gt;"""",$I297&lt;&gt;""""),HYPERLINK(""https://www.munzee.com/m/""&amp;$H297&amp;""/""&amp;$I297&amp;""/map/?lat=""&amp;$D297&amp;""&amp;lon=""&amp;$E297&amp;""&amp;type=""&amp;$G297&amp;""&amp;name=""&amp;SUBSTITUTE($A297,""#"&amp;""",""%23""),$H297&amp;""/""&amp;$I297),IF($H297&lt;&gt;"""",IF(REGEXMATCH($H297,""50( ?['fF]([oO]{2})?[tT]?)?( ?[eE][rR]{2}[oO][rR])""),HYPERLINK(""https://www.munzee.com/map/?sandbox=1&amp;lat=""&amp;$D297&amp;""&amp;lon=""&amp;$E297&amp;""&amp;name=""&amp;SUBSTITUTE($A297,""#"",""%23""),""SANDBOX"""&amp;"),HYPERLINK(""https://www.munzee.com/m/""&amp;$H297&amp;""/deploys/0/type/""&amp;IFNA(VLOOKUP($G297,IMPORTRANGE(""https://docs.google.com/spreadsheets/d/1DliIGyDywdzxhd4svtjaewR0p9Y5UBTMNMQ2PcXsqss"",""type data!E2:F""),2,FALSE),$G297)&amp;""/"",$H297)),""""))"),"")</f>
        <v/>
      </c>
      <c r="K297" s="5" t="b">
        <v>0</v>
      </c>
      <c r="L297" s="7"/>
      <c r="M297" s="7"/>
    </row>
    <row r="298">
      <c r="A298" s="3" t="s">
        <v>444</v>
      </c>
      <c r="B298" s="3">
        <v>18.0</v>
      </c>
      <c r="C298" s="3">
        <v>6.0</v>
      </c>
      <c r="D298" s="4">
        <v>49.189556891403</v>
      </c>
      <c r="E298" s="4">
        <v>-2.0958236572428</v>
      </c>
      <c r="F298" s="3" t="s">
        <v>250</v>
      </c>
      <c r="G298" s="3" t="s">
        <v>251</v>
      </c>
      <c r="H298" s="5"/>
      <c r="I298" s="5"/>
      <c r="J298" s="7" t="str">
        <f>IFERROR(__xludf.DUMMYFUNCTION("IF(AND(REGEXMATCH($H298,""50( ?['fF]([oO]{2})?[tT]?)?( ?[eE][rR]{2}[oO][rR])"")=FALSE,$H298&lt;&gt;"""",$I298&lt;&gt;""""),HYPERLINK(""https://www.munzee.com/m/""&amp;$H298&amp;""/""&amp;$I298&amp;""/map/?lat=""&amp;$D298&amp;""&amp;lon=""&amp;$E298&amp;""&amp;type=""&amp;$G298&amp;""&amp;name=""&amp;SUBSTITUTE($A298,""#"&amp;""",""%23""),$H298&amp;""/""&amp;$I298),IF($H298&lt;&gt;"""",IF(REGEXMATCH($H298,""50( ?['fF]([oO]{2})?[tT]?)?( ?[eE][rR]{2}[oO][rR])""),HYPERLINK(""https://www.munzee.com/map/?sandbox=1&amp;lat=""&amp;$D298&amp;""&amp;lon=""&amp;$E298&amp;""&amp;name=""&amp;SUBSTITUTE($A298,""#"",""%23""),""SANDBOX"""&amp;"),HYPERLINK(""https://www.munzee.com/m/""&amp;$H298&amp;""/deploys/0/type/""&amp;IFNA(VLOOKUP($G298,IMPORTRANGE(""https://docs.google.com/spreadsheets/d/1DliIGyDywdzxhd4svtjaewR0p9Y5UBTMNMQ2PcXsqss"",""type data!E2:F""),2,FALSE),$G298)&amp;""/"",$H298)),""""))"),"")</f>
        <v/>
      </c>
      <c r="K298" s="5" t="b">
        <v>0</v>
      </c>
      <c r="L298" s="7"/>
      <c r="M298" s="7"/>
    </row>
    <row r="299">
      <c r="A299" s="3" t="s">
        <v>445</v>
      </c>
      <c r="B299" s="3">
        <v>18.0</v>
      </c>
      <c r="C299" s="3">
        <v>7.0</v>
      </c>
      <c r="D299" s="4">
        <v>49.189455258526</v>
      </c>
      <c r="E299" s="4">
        <v>-2.0956681508064</v>
      </c>
      <c r="F299" s="3" t="s">
        <v>250</v>
      </c>
      <c r="G299" s="3" t="s">
        <v>251</v>
      </c>
      <c r="H299" s="5"/>
      <c r="I299" s="5"/>
      <c r="J299" s="7" t="str">
        <f>IFERROR(__xludf.DUMMYFUNCTION("IF(AND(REGEXMATCH($H299,""50( ?['fF]([oO]{2})?[tT]?)?( ?[eE][rR]{2}[oO][rR])"")=FALSE,$H299&lt;&gt;"""",$I299&lt;&gt;""""),HYPERLINK(""https://www.munzee.com/m/""&amp;$H299&amp;""/""&amp;$I299&amp;""/map/?lat=""&amp;$D299&amp;""&amp;lon=""&amp;$E299&amp;""&amp;type=""&amp;$G299&amp;""&amp;name=""&amp;SUBSTITUTE($A299,""#"&amp;""",""%23""),$H299&amp;""/""&amp;$I299),IF($H299&lt;&gt;"""",IF(REGEXMATCH($H299,""50( ?['fF]([oO]{2})?[tT]?)?( ?[eE][rR]{2}[oO][rR])""),HYPERLINK(""https://www.munzee.com/map/?sandbox=1&amp;lat=""&amp;$D299&amp;""&amp;lon=""&amp;$E299&amp;""&amp;name=""&amp;SUBSTITUTE($A299,""#"",""%23""),""SANDBOX"""&amp;"),HYPERLINK(""https://www.munzee.com/m/""&amp;$H299&amp;""/deploys/0/type/""&amp;IFNA(VLOOKUP($G299,IMPORTRANGE(""https://docs.google.com/spreadsheets/d/1DliIGyDywdzxhd4svtjaewR0p9Y5UBTMNMQ2PcXsqss"",""type data!E2:F""),2,FALSE),$G299)&amp;""/"",$H299)),""""))"),"")</f>
        <v/>
      </c>
      <c r="K299" s="5" t="b">
        <v>0</v>
      </c>
      <c r="L299" s="7"/>
      <c r="M299" s="7"/>
    </row>
    <row r="300">
      <c r="A300" s="3" t="s">
        <v>446</v>
      </c>
      <c r="B300" s="3">
        <v>18.0</v>
      </c>
      <c r="C300" s="3">
        <v>8.0</v>
      </c>
      <c r="D300" s="4">
        <v>49.189353625649</v>
      </c>
      <c r="E300" s="4">
        <v>-2.0955126446895</v>
      </c>
      <c r="F300" s="3" t="s">
        <v>375</v>
      </c>
      <c r="G300" s="3" t="s">
        <v>376</v>
      </c>
      <c r="H300" s="5"/>
      <c r="I300" s="5"/>
      <c r="J300" s="7" t="str">
        <f>IFERROR(__xludf.DUMMYFUNCTION("IF(AND(REGEXMATCH($H300,""50( ?['fF]([oO]{2})?[tT]?)?( ?[eE][rR]{2}[oO][rR])"")=FALSE,$H300&lt;&gt;"""",$I300&lt;&gt;""""),HYPERLINK(""https://www.munzee.com/m/""&amp;$H300&amp;""/""&amp;$I300&amp;""/map/?lat=""&amp;$D300&amp;""&amp;lon=""&amp;$E300&amp;""&amp;type=""&amp;$G300&amp;""&amp;name=""&amp;SUBSTITUTE($A300,""#"&amp;""",""%23""),$H300&amp;""/""&amp;$I300),IF($H300&lt;&gt;"""",IF(REGEXMATCH($H300,""50( ?['fF]([oO]{2})?[tT]?)?( ?[eE][rR]{2}[oO][rR])""),HYPERLINK(""https://www.munzee.com/map/?sandbox=1&amp;lat=""&amp;$D300&amp;""&amp;lon=""&amp;$E300&amp;""&amp;name=""&amp;SUBSTITUTE($A300,""#"",""%23""),""SANDBOX"""&amp;"),HYPERLINK(""https://www.munzee.com/m/""&amp;$H300&amp;""/deploys/0/type/""&amp;IFNA(VLOOKUP($G300,IMPORTRANGE(""https://docs.google.com/spreadsheets/d/1DliIGyDywdzxhd4svtjaewR0p9Y5UBTMNMQ2PcXsqss"",""type data!E2:F""),2,FALSE),$G300)&amp;""/"",$H300)),""""))"),"")</f>
        <v/>
      </c>
      <c r="K300" s="5" t="b">
        <v>0</v>
      </c>
      <c r="L300" s="7"/>
      <c r="M300" s="7"/>
    </row>
    <row r="301">
      <c r="A301" s="3" t="s">
        <v>447</v>
      </c>
      <c r="B301" s="3">
        <v>18.0</v>
      </c>
      <c r="C301" s="3">
        <v>9.0</v>
      </c>
      <c r="D301" s="4">
        <v>49.1892519927719</v>
      </c>
      <c r="E301" s="4">
        <v>-2.095357138892</v>
      </c>
      <c r="F301" s="3" t="s">
        <v>385</v>
      </c>
      <c r="G301" s="3" t="s">
        <v>386</v>
      </c>
      <c r="H301" s="5"/>
      <c r="I301" s="5"/>
      <c r="J301" s="7" t="str">
        <f>IFERROR(__xludf.DUMMYFUNCTION("IF(AND(REGEXMATCH($H301,""50( ?['fF]([oO]{2})?[tT]?)?( ?[eE][rR]{2}[oO][rR])"")=FALSE,$H301&lt;&gt;"""",$I301&lt;&gt;""""),HYPERLINK(""https://www.munzee.com/m/""&amp;$H301&amp;""/""&amp;$I301&amp;""/map/?lat=""&amp;$D301&amp;""&amp;lon=""&amp;$E301&amp;""&amp;type=""&amp;$G301&amp;""&amp;name=""&amp;SUBSTITUTE($A301,""#"&amp;""",""%23""),$H301&amp;""/""&amp;$I301),IF($H301&lt;&gt;"""",IF(REGEXMATCH($H301,""50( ?['fF]([oO]{2})?[tT]?)?( ?[eE][rR]{2}[oO][rR])""),HYPERLINK(""https://www.munzee.com/map/?sandbox=1&amp;lat=""&amp;$D301&amp;""&amp;lon=""&amp;$E301&amp;""&amp;name=""&amp;SUBSTITUTE($A301,""#"",""%23""),""SANDBOX"""&amp;"),HYPERLINK(""https://www.munzee.com/m/""&amp;$H301&amp;""/deploys/0/type/""&amp;IFNA(VLOOKUP($G301,IMPORTRANGE(""https://docs.google.com/spreadsheets/d/1DliIGyDywdzxhd4svtjaewR0p9Y5UBTMNMQ2PcXsqss"",""type data!E2:F""),2,FALSE),$G301)&amp;""/"",$H301)),""""))"),"")</f>
        <v/>
      </c>
      <c r="K301" s="5" t="b">
        <v>0</v>
      </c>
      <c r="L301" s="7"/>
      <c r="M301" s="7"/>
    </row>
    <row r="302">
      <c r="A302" s="3" t="s">
        <v>448</v>
      </c>
      <c r="B302" s="3">
        <v>18.0</v>
      </c>
      <c r="C302" s="3">
        <v>10.0</v>
      </c>
      <c r="D302" s="4">
        <v>49.1891503598949</v>
      </c>
      <c r="E302" s="4">
        <v>-2.095201633414</v>
      </c>
      <c r="F302" s="3" t="s">
        <v>385</v>
      </c>
      <c r="G302" s="3" t="s">
        <v>386</v>
      </c>
      <c r="H302" s="5"/>
      <c r="I302" s="5"/>
      <c r="J302" s="7" t="str">
        <f>IFERROR(__xludf.DUMMYFUNCTION("IF(AND(REGEXMATCH($H302,""50( ?['fF]([oO]{2})?[tT]?)?( ?[eE][rR]{2}[oO][rR])"")=FALSE,$H302&lt;&gt;"""",$I302&lt;&gt;""""),HYPERLINK(""https://www.munzee.com/m/""&amp;$H302&amp;""/""&amp;$I302&amp;""/map/?lat=""&amp;$D302&amp;""&amp;lon=""&amp;$E302&amp;""&amp;type=""&amp;$G302&amp;""&amp;name=""&amp;SUBSTITUTE($A302,""#"&amp;""",""%23""),$H302&amp;""/""&amp;$I302),IF($H302&lt;&gt;"""",IF(REGEXMATCH($H302,""50( ?['fF]([oO]{2})?[tT]?)?( ?[eE][rR]{2}[oO][rR])""),HYPERLINK(""https://www.munzee.com/map/?sandbox=1&amp;lat=""&amp;$D302&amp;""&amp;lon=""&amp;$E302&amp;""&amp;name=""&amp;SUBSTITUTE($A302,""#"",""%23""),""SANDBOX"""&amp;"),HYPERLINK(""https://www.munzee.com/m/""&amp;$H302&amp;""/deploys/0/type/""&amp;IFNA(VLOOKUP($G302,IMPORTRANGE(""https://docs.google.com/spreadsheets/d/1DliIGyDywdzxhd4svtjaewR0p9Y5UBTMNMQ2PcXsqss"",""type data!E2:F""),2,FALSE),$G302)&amp;""/"",$H302)),""""))"),"")</f>
        <v/>
      </c>
      <c r="K302" s="5" t="b">
        <v>0</v>
      </c>
      <c r="L302" s="7"/>
      <c r="M302" s="7"/>
    </row>
    <row r="303">
      <c r="A303" s="3" t="s">
        <v>449</v>
      </c>
      <c r="B303" s="3">
        <v>18.0</v>
      </c>
      <c r="C303" s="3">
        <v>11.0</v>
      </c>
      <c r="D303" s="4">
        <v>49.1890487270179</v>
      </c>
      <c r="E303" s="4">
        <v>-2.0950461282555</v>
      </c>
      <c r="F303" s="3" t="s">
        <v>450</v>
      </c>
      <c r="G303" s="3" t="s">
        <v>451</v>
      </c>
      <c r="H303" s="5"/>
      <c r="I303" s="5"/>
      <c r="J303" s="7" t="str">
        <f>IFERROR(__xludf.DUMMYFUNCTION("IF(AND(REGEXMATCH($H303,""50( ?['fF]([oO]{2})?[tT]?)?( ?[eE][rR]{2}[oO][rR])"")=FALSE,$H303&lt;&gt;"""",$I303&lt;&gt;""""),HYPERLINK(""https://www.munzee.com/m/""&amp;$H303&amp;""/""&amp;$I303&amp;""/map/?lat=""&amp;$D303&amp;""&amp;lon=""&amp;$E303&amp;""&amp;type=""&amp;$G303&amp;""&amp;name=""&amp;SUBSTITUTE($A303,""#"&amp;""",""%23""),$H303&amp;""/""&amp;$I303),IF($H303&lt;&gt;"""",IF(REGEXMATCH($H303,""50( ?['fF]([oO]{2})?[tT]?)?( ?[eE][rR]{2}[oO][rR])""),HYPERLINK(""https://www.munzee.com/map/?sandbox=1&amp;lat=""&amp;$D303&amp;""&amp;lon=""&amp;$E303&amp;""&amp;name=""&amp;SUBSTITUTE($A303,""#"",""%23""),""SANDBOX"""&amp;"),HYPERLINK(""https://www.munzee.com/m/""&amp;$H303&amp;""/deploys/0/type/""&amp;IFNA(VLOOKUP($G303,IMPORTRANGE(""https://docs.google.com/spreadsheets/d/1DliIGyDywdzxhd4svtjaewR0p9Y5UBTMNMQ2PcXsqss"",""type data!E2:F""),2,FALSE),$G303)&amp;""/"",$H303)),""""))"),"")</f>
        <v/>
      </c>
      <c r="K303" s="5" t="b">
        <v>0</v>
      </c>
      <c r="L303" s="7"/>
      <c r="M303" s="7"/>
    </row>
    <row r="304">
      <c r="A304" s="3" t="s">
        <v>452</v>
      </c>
      <c r="B304" s="3">
        <v>18.0</v>
      </c>
      <c r="C304" s="3">
        <v>12.0</v>
      </c>
      <c r="D304" s="4">
        <v>49.1889470941408</v>
      </c>
      <c r="E304" s="4">
        <v>-2.0948906234164</v>
      </c>
      <c r="F304" s="3" t="s">
        <v>453</v>
      </c>
      <c r="G304" s="3" t="s">
        <v>454</v>
      </c>
      <c r="H304" s="5" t="s">
        <v>267</v>
      </c>
      <c r="I304" s="9">
        <v>524.0</v>
      </c>
      <c r="J304" s="6" t="str">
        <f>IFERROR(__xludf.DUMMYFUNCTION("IF(AND(REGEXMATCH($H304,""50( ?['fF]([oO]{2})?[tT]?)?( ?[eE][rR]{2}[oO][rR])"")=FALSE,$H304&lt;&gt;"""",$I304&lt;&gt;""""),HYPERLINK(""https://www.munzee.com/m/""&amp;$H304&amp;""/""&amp;$I304&amp;""/map/?lat=""&amp;$D304&amp;""&amp;lon=""&amp;$E304&amp;""&amp;type=""&amp;$G304&amp;""&amp;name=""&amp;SUBSTITUTE($A304,""#"&amp;""",""%23""),$H304&amp;""/""&amp;$I304),IF($H304&lt;&gt;"""",IF(REGEXMATCH($H304,""50( ?['fF]([oO]{2})?[tT]?)?( ?[eE][rR]{2}[oO][rR])""),HYPERLINK(""https://www.munzee.com/map/?sandbox=1&amp;lat=""&amp;$D304&amp;""&amp;lon=""&amp;$E304&amp;""&amp;name=""&amp;SUBSTITUTE($A304,""#"",""%23""),""SANDBOX"""&amp;"),HYPERLINK(""https://www.munzee.com/m/""&amp;$H304&amp;""/deploys/0/type/""&amp;IFNA(VLOOKUP($G304,IMPORTRANGE(""https://docs.google.com/spreadsheets/d/1DliIGyDywdzxhd4svtjaewR0p9Y5UBTMNMQ2PcXsqss"",""type data!E2:F""),2,FALSE),$G304)&amp;""/"",$H304)),""""))"),"miaiow/524")</f>
        <v>miaiow/524</v>
      </c>
      <c r="K304" s="5" t="b">
        <v>1</v>
      </c>
      <c r="L304" s="7"/>
      <c r="M304" s="7"/>
    </row>
    <row r="305">
      <c r="A305" s="3" t="s">
        <v>455</v>
      </c>
      <c r="B305" s="3">
        <v>18.0</v>
      </c>
      <c r="C305" s="3">
        <v>13.0</v>
      </c>
      <c r="D305" s="4">
        <v>49.1888454612638</v>
      </c>
      <c r="E305" s="4">
        <v>-2.0947351188967</v>
      </c>
      <c r="F305" s="3" t="s">
        <v>453</v>
      </c>
      <c r="G305" s="3" t="s">
        <v>454</v>
      </c>
      <c r="H305" s="5"/>
      <c r="I305" s="5"/>
      <c r="J305" s="7" t="str">
        <f>IFERROR(__xludf.DUMMYFUNCTION("IF(AND(REGEXMATCH($H305,""50( ?['fF]([oO]{2})?[tT]?)?( ?[eE][rR]{2}[oO][rR])"")=FALSE,$H305&lt;&gt;"""",$I305&lt;&gt;""""),HYPERLINK(""https://www.munzee.com/m/""&amp;$H305&amp;""/""&amp;$I305&amp;""/map/?lat=""&amp;$D305&amp;""&amp;lon=""&amp;$E305&amp;""&amp;type=""&amp;$G305&amp;""&amp;name=""&amp;SUBSTITUTE($A305,""#"&amp;""",""%23""),$H305&amp;""/""&amp;$I305),IF($H305&lt;&gt;"""",IF(REGEXMATCH($H305,""50( ?['fF]([oO]{2})?[tT]?)?( ?[eE][rR]{2}[oO][rR])""),HYPERLINK(""https://www.munzee.com/map/?sandbox=1&amp;lat=""&amp;$D305&amp;""&amp;lon=""&amp;$E305&amp;""&amp;name=""&amp;SUBSTITUTE($A305,""#"",""%23""),""SANDBOX"""&amp;"),HYPERLINK(""https://www.munzee.com/m/""&amp;$H305&amp;""/deploys/0/type/""&amp;IFNA(VLOOKUP($G305,IMPORTRANGE(""https://docs.google.com/spreadsheets/d/1DliIGyDywdzxhd4svtjaewR0p9Y5UBTMNMQ2PcXsqss"",""type data!E2:F""),2,FALSE),$G305)&amp;""/"",$H305)),""""))"),"")</f>
        <v/>
      </c>
      <c r="K305" s="5" t="b">
        <v>0</v>
      </c>
      <c r="L305" s="7"/>
      <c r="M305" s="7"/>
    </row>
    <row r="306">
      <c r="A306" s="3" t="s">
        <v>456</v>
      </c>
      <c r="B306" s="3">
        <v>18.0</v>
      </c>
      <c r="C306" s="3">
        <v>14.0</v>
      </c>
      <c r="D306" s="4">
        <v>49.1887438283868</v>
      </c>
      <c r="E306" s="4">
        <v>-2.0945796146964</v>
      </c>
      <c r="F306" s="3" t="s">
        <v>453</v>
      </c>
      <c r="G306" s="3" t="s">
        <v>454</v>
      </c>
      <c r="H306" s="5"/>
      <c r="I306" s="5"/>
      <c r="J306" s="7" t="str">
        <f>IFERROR(__xludf.DUMMYFUNCTION("IF(AND(REGEXMATCH($H306,""50( ?['fF]([oO]{2})?[tT]?)?( ?[eE][rR]{2}[oO][rR])"")=FALSE,$H306&lt;&gt;"""",$I306&lt;&gt;""""),HYPERLINK(""https://www.munzee.com/m/""&amp;$H306&amp;""/""&amp;$I306&amp;""/map/?lat=""&amp;$D306&amp;""&amp;lon=""&amp;$E306&amp;""&amp;type=""&amp;$G306&amp;""&amp;name=""&amp;SUBSTITUTE($A306,""#"&amp;""",""%23""),$H306&amp;""/""&amp;$I306),IF($H306&lt;&gt;"""",IF(REGEXMATCH($H306,""50( ?['fF]([oO]{2})?[tT]?)?( ?[eE][rR]{2}[oO][rR])""),HYPERLINK(""https://www.munzee.com/map/?sandbox=1&amp;lat=""&amp;$D306&amp;""&amp;lon=""&amp;$E306&amp;""&amp;name=""&amp;SUBSTITUTE($A306,""#"",""%23""),""SANDBOX"""&amp;"),HYPERLINK(""https://www.munzee.com/m/""&amp;$H306&amp;""/deploys/0/type/""&amp;IFNA(VLOOKUP($G306,IMPORTRANGE(""https://docs.google.com/spreadsheets/d/1DliIGyDywdzxhd4svtjaewR0p9Y5UBTMNMQ2PcXsqss"",""type data!E2:F""),2,FALSE),$G306)&amp;""/"",$H306)),""""))"),"")</f>
        <v/>
      </c>
      <c r="K306" s="5" t="b">
        <v>0</v>
      </c>
      <c r="L306" s="7"/>
      <c r="M306" s="7"/>
    </row>
    <row r="307">
      <c r="A307" s="3" t="s">
        <v>457</v>
      </c>
      <c r="B307" s="3">
        <v>18.0</v>
      </c>
      <c r="C307" s="3">
        <v>15.0</v>
      </c>
      <c r="D307" s="4">
        <v>49.1886421955097</v>
      </c>
      <c r="E307" s="4">
        <v>-2.0944241108156</v>
      </c>
      <c r="F307" s="3" t="s">
        <v>453</v>
      </c>
      <c r="G307" s="3" t="s">
        <v>454</v>
      </c>
      <c r="H307" s="5"/>
      <c r="I307" s="5"/>
      <c r="J307" s="7" t="str">
        <f>IFERROR(__xludf.DUMMYFUNCTION("IF(AND(REGEXMATCH($H307,""50( ?['fF]([oO]{2})?[tT]?)?( ?[eE][rR]{2}[oO][rR])"")=FALSE,$H307&lt;&gt;"""",$I307&lt;&gt;""""),HYPERLINK(""https://www.munzee.com/m/""&amp;$H307&amp;""/""&amp;$I307&amp;""/map/?lat=""&amp;$D307&amp;""&amp;lon=""&amp;$E307&amp;""&amp;type=""&amp;$G307&amp;""&amp;name=""&amp;SUBSTITUTE($A307,""#"&amp;""",""%23""),$H307&amp;""/""&amp;$I307),IF($H307&lt;&gt;"""",IF(REGEXMATCH($H307,""50( ?['fF]([oO]{2})?[tT]?)?( ?[eE][rR]{2}[oO][rR])""),HYPERLINK(""https://www.munzee.com/map/?sandbox=1&amp;lat=""&amp;$D307&amp;""&amp;lon=""&amp;$E307&amp;""&amp;name=""&amp;SUBSTITUTE($A307,""#"",""%23""),""SANDBOX"""&amp;"),HYPERLINK(""https://www.munzee.com/m/""&amp;$H307&amp;""/deploys/0/type/""&amp;IFNA(VLOOKUP($G307,IMPORTRANGE(""https://docs.google.com/spreadsheets/d/1DliIGyDywdzxhd4svtjaewR0p9Y5UBTMNMQ2PcXsqss"",""type data!E2:F""),2,FALSE),$G307)&amp;""/"",$H307)),""""))"),"")</f>
        <v/>
      </c>
      <c r="K307" s="5" t="b">
        <v>0</v>
      </c>
      <c r="L307" s="7"/>
      <c r="M307" s="7"/>
    </row>
    <row r="308">
      <c r="A308" s="3" t="s">
        <v>458</v>
      </c>
      <c r="B308" s="3">
        <v>18.0</v>
      </c>
      <c r="C308" s="3">
        <v>16.0</v>
      </c>
      <c r="D308" s="4">
        <v>49.1885405626327</v>
      </c>
      <c r="E308" s="4">
        <v>-2.0942686072542</v>
      </c>
      <c r="F308" s="3" t="s">
        <v>69</v>
      </c>
      <c r="G308" s="3" t="s">
        <v>70</v>
      </c>
      <c r="H308" s="5"/>
      <c r="I308" s="5"/>
      <c r="J308" s="7" t="str">
        <f>IFERROR(__xludf.DUMMYFUNCTION("IF(AND(REGEXMATCH($H308,""50( ?['fF]([oO]{2})?[tT]?)?( ?[eE][rR]{2}[oO][rR])"")=FALSE,$H308&lt;&gt;"""",$I308&lt;&gt;""""),HYPERLINK(""https://www.munzee.com/m/""&amp;$H308&amp;""/""&amp;$I308&amp;""/map/?lat=""&amp;$D308&amp;""&amp;lon=""&amp;$E308&amp;""&amp;type=""&amp;$G308&amp;""&amp;name=""&amp;SUBSTITUTE($A308,""#"&amp;""",""%23""),$H308&amp;""/""&amp;$I308),IF($H308&lt;&gt;"""",IF(REGEXMATCH($H308,""50( ?['fF]([oO]{2})?[tT]?)?( ?[eE][rR]{2}[oO][rR])""),HYPERLINK(""https://www.munzee.com/map/?sandbox=1&amp;lat=""&amp;$D308&amp;""&amp;lon=""&amp;$E308&amp;""&amp;name=""&amp;SUBSTITUTE($A308,""#"",""%23""),""SANDBOX"""&amp;"),HYPERLINK(""https://www.munzee.com/m/""&amp;$H308&amp;""/deploys/0/type/""&amp;IFNA(VLOOKUP($G308,IMPORTRANGE(""https://docs.google.com/spreadsheets/d/1DliIGyDywdzxhd4svtjaewR0p9Y5UBTMNMQ2PcXsqss"",""type data!E2:F""),2,FALSE),$G308)&amp;""/"",$H308)),""""))"),"")</f>
        <v/>
      </c>
      <c r="K308" s="5" t="b">
        <v>0</v>
      </c>
      <c r="L308" s="7"/>
      <c r="M308" s="7"/>
    </row>
    <row r="309">
      <c r="A309" s="3" t="s">
        <v>459</v>
      </c>
      <c r="B309" s="3">
        <v>18.0</v>
      </c>
      <c r="C309" s="3">
        <v>17.0</v>
      </c>
      <c r="D309" s="4">
        <v>49.1884389297557</v>
      </c>
      <c r="E309" s="4">
        <v>-2.0941131040122</v>
      </c>
      <c r="F309" s="3" t="s">
        <v>453</v>
      </c>
      <c r="G309" s="3" t="s">
        <v>454</v>
      </c>
      <c r="H309" s="5"/>
      <c r="I309" s="5"/>
      <c r="J309" s="7" t="str">
        <f>IFERROR(__xludf.DUMMYFUNCTION("IF(AND(REGEXMATCH($H309,""50( ?['fF]([oO]{2})?[tT]?)?( ?[eE][rR]{2}[oO][rR])"")=FALSE,$H309&lt;&gt;"""",$I309&lt;&gt;""""),HYPERLINK(""https://www.munzee.com/m/""&amp;$H309&amp;""/""&amp;$I309&amp;""/map/?lat=""&amp;$D309&amp;""&amp;lon=""&amp;$E309&amp;""&amp;type=""&amp;$G309&amp;""&amp;name=""&amp;SUBSTITUTE($A309,""#"&amp;""",""%23""),$H309&amp;""/""&amp;$I309),IF($H309&lt;&gt;"""",IF(REGEXMATCH($H309,""50( ?['fF]([oO]{2})?[tT]?)?( ?[eE][rR]{2}[oO][rR])""),HYPERLINK(""https://www.munzee.com/map/?sandbox=1&amp;lat=""&amp;$D309&amp;""&amp;lon=""&amp;$E309&amp;""&amp;name=""&amp;SUBSTITUTE($A309,""#"",""%23""),""SANDBOX"""&amp;"),HYPERLINK(""https://www.munzee.com/m/""&amp;$H309&amp;""/deploys/0/type/""&amp;IFNA(VLOOKUP($G309,IMPORTRANGE(""https://docs.google.com/spreadsheets/d/1DliIGyDywdzxhd4svtjaewR0p9Y5UBTMNMQ2PcXsqss"",""type data!E2:F""),2,FALSE),$G309)&amp;""/"",$H309)),""""))"),"")</f>
        <v/>
      </c>
      <c r="K309" s="5" t="b">
        <v>0</v>
      </c>
      <c r="L309" s="7"/>
      <c r="M309" s="7"/>
    </row>
    <row r="310">
      <c r="A310" s="3" t="s">
        <v>460</v>
      </c>
      <c r="B310" s="3">
        <v>18.0</v>
      </c>
      <c r="C310" s="3">
        <v>18.0</v>
      </c>
      <c r="D310" s="4">
        <v>49.1883372968786</v>
      </c>
      <c r="E310" s="4">
        <v>-2.0939576010896</v>
      </c>
      <c r="F310" s="3" t="s">
        <v>453</v>
      </c>
      <c r="G310" s="3" t="s">
        <v>454</v>
      </c>
      <c r="H310" s="5"/>
      <c r="I310" s="5"/>
      <c r="J310" s="7" t="str">
        <f>IFERROR(__xludf.DUMMYFUNCTION("IF(AND(REGEXMATCH($H310,""50( ?['fF]([oO]{2})?[tT]?)?( ?[eE][rR]{2}[oO][rR])"")=FALSE,$H310&lt;&gt;"""",$I310&lt;&gt;""""),HYPERLINK(""https://www.munzee.com/m/""&amp;$H310&amp;""/""&amp;$I310&amp;""/map/?lat=""&amp;$D310&amp;""&amp;lon=""&amp;$E310&amp;""&amp;type=""&amp;$G310&amp;""&amp;name=""&amp;SUBSTITUTE($A310,""#"&amp;""",""%23""),$H310&amp;""/""&amp;$I310),IF($H310&lt;&gt;"""",IF(REGEXMATCH($H310,""50( ?['fF]([oO]{2})?[tT]?)?( ?[eE][rR]{2}[oO][rR])""),HYPERLINK(""https://www.munzee.com/map/?sandbox=1&amp;lat=""&amp;$D310&amp;""&amp;lon=""&amp;$E310&amp;""&amp;name=""&amp;SUBSTITUTE($A310,""#"",""%23""),""SANDBOX"""&amp;"),HYPERLINK(""https://www.munzee.com/m/""&amp;$H310&amp;""/deploys/0/type/""&amp;IFNA(VLOOKUP($G310,IMPORTRANGE(""https://docs.google.com/spreadsheets/d/1DliIGyDywdzxhd4svtjaewR0p9Y5UBTMNMQ2PcXsqss"",""type data!E2:F""),2,FALSE),$G310)&amp;""/"",$H310)),""""))"),"")</f>
        <v/>
      </c>
      <c r="K310" s="5" t="b">
        <v>0</v>
      </c>
      <c r="L310" s="7"/>
      <c r="M310" s="7"/>
    </row>
    <row r="311">
      <c r="A311" s="3" t="s">
        <v>461</v>
      </c>
      <c r="B311" s="3">
        <v>18.0</v>
      </c>
      <c r="C311" s="3">
        <v>19.0</v>
      </c>
      <c r="D311" s="4">
        <v>49.1882356640016</v>
      </c>
      <c r="E311" s="4">
        <v>-2.0938020984865</v>
      </c>
      <c r="F311" s="3" t="s">
        <v>453</v>
      </c>
      <c r="G311" s="3" t="s">
        <v>454</v>
      </c>
      <c r="H311" s="5"/>
      <c r="I311" s="5"/>
      <c r="J311" s="7" t="str">
        <f>IFERROR(__xludf.DUMMYFUNCTION("IF(AND(REGEXMATCH($H311,""50( ?['fF]([oO]{2})?[tT]?)?( ?[eE][rR]{2}[oO][rR])"")=FALSE,$H311&lt;&gt;"""",$I311&lt;&gt;""""),HYPERLINK(""https://www.munzee.com/m/""&amp;$H311&amp;""/""&amp;$I311&amp;""/map/?lat=""&amp;$D311&amp;""&amp;lon=""&amp;$E311&amp;""&amp;type=""&amp;$G311&amp;""&amp;name=""&amp;SUBSTITUTE($A311,""#"&amp;""",""%23""),$H311&amp;""/""&amp;$I311),IF($H311&lt;&gt;"""",IF(REGEXMATCH($H311,""50( ?['fF]([oO]{2})?[tT]?)?( ?[eE][rR]{2}[oO][rR])""),HYPERLINK(""https://www.munzee.com/map/?sandbox=1&amp;lat=""&amp;$D311&amp;""&amp;lon=""&amp;$E311&amp;""&amp;name=""&amp;SUBSTITUTE($A311,""#"",""%23""),""SANDBOX"""&amp;"),HYPERLINK(""https://www.munzee.com/m/""&amp;$H311&amp;""/deploys/0/type/""&amp;IFNA(VLOOKUP($G311,IMPORTRANGE(""https://docs.google.com/spreadsheets/d/1DliIGyDywdzxhd4svtjaewR0p9Y5UBTMNMQ2PcXsqss"",""type data!E2:F""),2,FALSE),$G311)&amp;""/"",$H311)),""""))"),"")</f>
        <v/>
      </c>
      <c r="K311" s="5" t="b">
        <v>0</v>
      </c>
      <c r="L311" s="7"/>
      <c r="M311" s="7"/>
    </row>
    <row r="312">
      <c r="A312" s="3" t="s">
        <v>462</v>
      </c>
      <c r="B312" s="3">
        <v>18.0</v>
      </c>
      <c r="C312" s="3">
        <v>20.0</v>
      </c>
      <c r="D312" s="4">
        <v>49.1881340311246</v>
      </c>
      <c r="E312" s="4">
        <v>-2.0936465962029</v>
      </c>
      <c r="F312" s="3" t="s">
        <v>453</v>
      </c>
      <c r="G312" s="3" t="s">
        <v>454</v>
      </c>
      <c r="H312" s="5"/>
      <c r="I312" s="5"/>
      <c r="J312" s="7" t="str">
        <f>IFERROR(__xludf.DUMMYFUNCTION("IF(AND(REGEXMATCH($H312,""50( ?['fF]([oO]{2})?[tT]?)?( ?[eE][rR]{2}[oO][rR])"")=FALSE,$H312&lt;&gt;"""",$I312&lt;&gt;""""),HYPERLINK(""https://www.munzee.com/m/""&amp;$H312&amp;""/""&amp;$I312&amp;""/map/?lat=""&amp;$D312&amp;""&amp;lon=""&amp;$E312&amp;""&amp;type=""&amp;$G312&amp;""&amp;name=""&amp;SUBSTITUTE($A312,""#"&amp;""",""%23""),$H312&amp;""/""&amp;$I312),IF($H312&lt;&gt;"""",IF(REGEXMATCH($H312,""50( ?['fF]([oO]{2})?[tT]?)?( ?[eE][rR]{2}[oO][rR])""),HYPERLINK(""https://www.munzee.com/map/?sandbox=1&amp;lat=""&amp;$D312&amp;""&amp;lon=""&amp;$E312&amp;""&amp;name=""&amp;SUBSTITUTE($A312,""#"",""%23""),""SANDBOX"""&amp;"),HYPERLINK(""https://www.munzee.com/m/""&amp;$H312&amp;""/deploys/0/type/""&amp;IFNA(VLOOKUP($G312,IMPORTRANGE(""https://docs.google.com/spreadsheets/d/1DliIGyDywdzxhd4svtjaewR0p9Y5UBTMNMQ2PcXsqss"",""type data!E2:F""),2,FALSE),$G312)&amp;""/"",$H312)),""""))"),"")</f>
        <v/>
      </c>
      <c r="K312" s="5" t="b">
        <v>0</v>
      </c>
      <c r="L312" s="7"/>
      <c r="M312" s="7"/>
    </row>
    <row r="313">
      <c r="A313" s="3" t="s">
        <v>463</v>
      </c>
      <c r="B313" s="3">
        <v>18.0</v>
      </c>
      <c r="C313" s="3">
        <v>21.0</v>
      </c>
      <c r="D313" s="4">
        <v>49.1880323982475</v>
      </c>
      <c r="E313" s="4">
        <v>-2.0934910942386</v>
      </c>
      <c r="F313" s="3" t="s">
        <v>464</v>
      </c>
      <c r="G313" s="3" t="s">
        <v>465</v>
      </c>
      <c r="H313" s="5"/>
      <c r="I313" s="5"/>
      <c r="J313" s="7" t="str">
        <f>IFERROR(__xludf.DUMMYFUNCTION("IF(AND(REGEXMATCH($H313,""50( ?['fF]([oO]{2})?[tT]?)?( ?[eE][rR]{2}[oO][rR])"")=FALSE,$H313&lt;&gt;"""",$I313&lt;&gt;""""),HYPERLINK(""https://www.munzee.com/m/""&amp;$H313&amp;""/""&amp;$I313&amp;""/map/?lat=""&amp;$D313&amp;""&amp;lon=""&amp;$E313&amp;""&amp;type=""&amp;$G313&amp;""&amp;name=""&amp;SUBSTITUTE($A313,""#"&amp;""",""%23""),$H313&amp;""/""&amp;$I313),IF($H313&lt;&gt;"""",IF(REGEXMATCH($H313,""50( ?['fF]([oO]{2})?[tT]?)?( ?[eE][rR]{2}[oO][rR])""),HYPERLINK(""https://www.munzee.com/map/?sandbox=1&amp;lat=""&amp;$D313&amp;""&amp;lon=""&amp;$E313&amp;""&amp;name=""&amp;SUBSTITUTE($A313,""#"",""%23""),""SANDBOX"""&amp;"),HYPERLINK(""https://www.munzee.com/m/""&amp;$H313&amp;""/deploys/0/type/""&amp;IFNA(VLOOKUP($G313,IMPORTRANGE(""https://docs.google.com/spreadsheets/d/1DliIGyDywdzxhd4svtjaewR0p9Y5UBTMNMQ2PcXsqss"",""type data!E2:F""),2,FALSE),$G313)&amp;""/"",$H313)),""""))"),"")</f>
        <v/>
      </c>
      <c r="K313" s="5" t="b">
        <v>0</v>
      </c>
      <c r="L313" s="7"/>
      <c r="M313" s="7"/>
    </row>
    <row r="314">
      <c r="A314" s="3" t="s">
        <v>466</v>
      </c>
      <c r="B314" s="3">
        <v>18.0</v>
      </c>
      <c r="C314" s="3">
        <v>22.0</v>
      </c>
      <c r="D314" s="4">
        <v>49.1879307653705</v>
      </c>
      <c r="E314" s="4">
        <v>-2.0933355925938</v>
      </c>
      <c r="F314" s="3" t="s">
        <v>385</v>
      </c>
      <c r="G314" s="3" t="s">
        <v>386</v>
      </c>
      <c r="H314" s="5"/>
      <c r="I314" s="5"/>
      <c r="J314" s="7" t="str">
        <f>IFERROR(__xludf.DUMMYFUNCTION("IF(AND(REGEXMATCH($H314,""50( ?['fF]([oO]{2})?[tT]?)?( ?[eE][rR]{2}[oO][rR])"")=FALSE,$H314&lt;&gt;"""",$I314&lt;&gt;""""),HYPERLINK(""https://www.munzee.com/m/""&amp;$H314&amp;""/""&amp;$I314&amp;""/map/?lat=""&amp;$D314&amp;""&amp;lon=""&amp;$E314&amp;""&amp;type=""&amp;$G314&amp;""&amp;name=""&amp;SUBSTITUTE($A314,""#"&amp;""",""%23""),$H314&amp;""/""&amp;$I314),IF($H314&lt;&gt;"""",IF(REGEXMATCH($H314,""50( ?['fF]([oO]{2})?[tT]?)?( ?[eE][rR]{2}[oO][rR])""),HYPERLINK(""https://www.munzee.com/map/?sandbox=1&amp;lat=""&amp;$D314&amp;""&amp;lon=""&amp;$E314&amp;""&amp;name=""&amp;SUBSTITUTE($A314,""#"",""%23""),""SANDBOX"""&amp;"),HYPERLINK(""https://www.munzee.com/m/""&amp;$H314&amp;""/deploys/0/type/""&amp;IFNA(VLOOKUP($G314,IMPORTRANGE(""https://docs.google.com/spreadsheets/d/1DliIGyDywdzxhd4svtjaewR0p9Y5UBTMNMQ2PcXsqss"",""type data!E2:F""),2,FALSE),$G314)&amp;""/"",$H314)),""""))"),"")</f>
        <v/>
      </c>
      <c r="K314" s="5" t="b">
        <v>0</v>
      </c>
      <c r="L314" s="7"/>
      <c r="M314" s="7"/>
    </row>
    <row r="315">
      <c r="A315" s="3" t="s">
        <v>467</v>
      </c>
      <c r="B315" s="3">
        <v>18.0</v>
      </c>
      <c r="C315" s="3">
        <v>23.0</v>
      </c>
      <c r="D315" s="4">
        <v>49.1878291324935</v>
      </c>
      <c r="E315" s="4">
        <v>-2.0931800912683</v>
      </c>
      <c r="F315" s="3" t="s">
        <v>385</v>
      </c>
      <c r="G315" s="3" t="s">
        <v>386</v>
      </c>
      <c r="H315" s="5"/>
      <c r="I315" s="5"/>
      <c r="J315" s="7" t="str">
        <f>IFERROR(__xludf.DUMMYFUNCTION("IF(AND(REGEXMATCH($H315,""50( ?['fF]([oO]{2})?[tT]?)?( ?[eE][rR]{2}[oO][rR])"")=FALSE,$H315&lt;&gt;"""",$I315&lt;&gt;""""),HYPERLINK(""https://www.munzee.com/m/""&amp;$H315&amp;""/""&amp;$I315&amp;""/map/?lat=""&amp;$D315&amp;""&amp;lon=""&amp;$E315&amp;""&amp;type=""&amp;$G315&amp;""&amp;name=""&amp;SUBSTITUTE($A315,""#"&amp;""",""%23""),$H315&amp;""/""&amp;$I315),IF($H315&lt;&gt;"""",IF(REGEXMATCH($H315,""50( ?['fF]([oO]{2})?[tT]?)?( ?[eE][rR]{2}[oO][rR])""),HYPERLINK(""https://www.munzee.com/map/?sandbox=1&amp;lat=""&amp;$D315&amp;""&amp;lon=""&amp;$E315&amp;""&amp;name=""&amp;SUBSTITUTE($A315,""#"",""%23""),""SANDBOX"""&amp;"),HYPERLINK(""https://www.munzee.com/m/""&amp;$H315&amp;""/deploys/0/type/""&amp;IFNA(VLOOKUP($G315,IMPORTRANGE(""https://docs.google.com/spreadsheets/d/1DliIGyDywdzxhd4svtjaewR0p9Y5UBTMNMQ2PcXsqss"",""type data!E2:F""),2,FALSE),$G315)&amp;""/"",$H315)),""""))"),"")</f>
        <v/>
      </c>
      <c r="K315" s="5" t="b">
        <v>0</v>
      </c>
      <c r="L315" s="7"/>
      <c r="M315" s="7"/>
    </row>
    <row r="316">
      <c r="A316" s="3" t="s">
        <v>468</v>
      </c>
      <c r="B316" s="3">
        <v>18.0</v>
      </c>
      <c r="C316" s="3">
        <v>24.0</v>
      </c>
      <c r="D316" s="4">
        <v>49.1877274996164</v>
      </c>
      <c r="E316" s="4">
        <v>-2.0930245902623</v>
      </c>
      <c r="F316" s="3" t="s">
        <v>385</v>
      </c>
      <c r="G316" s="3" t="s">
        <v>386</v>
      </c>
      <c r="H316" s="5"/>
      <c r="I316" s="5"/>
      <c r="J316" s="7" t="str">
        <f>IFERROR(__xludf.DUMMYFUNCTION("IF(AND(REGEXMATCH($H316,""50( ?['fF]([oO]{2})?[tT]?)?( ?[eE][rR]{2}[oO][rR])"")=FALSE,$H316&lt;&gt;"""",$I316&lt;&gt;""""),HYPERLINK(""https://www.munzee.com/m/""&amp;$H316&amp;""/""&amp;$I316&amp;""/map/?lat=""&amp;$D316&amp;""&amp;lon=""&amp;$E316&amp;""&amp;type=""&amp;$G316&amp;""&amp;name=""&amp;SUBSTITUTE($A316,""#"&amp;""",""%23""),$H316&amp;""/""&amp;$I316),IF($H316&lt;&gt;"""",IF(REGEXMATCH($H316,""50( ?['fF]([oO]{2})?[tT]?)?( ?[eE][rR]{2}[oO][rR])""),HYPERLINK(""https://www.munzee.com/map/?sandbox=1&amp;lat=""&amp;$D316&amp;""&amp;lon=""&amp;$E316&amp;""&amp;name=""&amp;SUBSTITUTE($A316,""#"",""%23""),""SANDBOX"""&amp;"),HYPERLINK(""https://www.munzee.com/m/""&amp;$H316&amp;""/deploys/0/type/""&amp;IFNA(VLOOKUP($G316,IMPORTRANGE(""https://docs.google.com/spreadsheets/d/1DliIGyDywdzxhd4svtjaewR0p9Y5UBTMNMQ2PcXsqss"",""type data!E2:F""),2,FALSE),$G316)&amp;""/"",$H316)),""""))"),"")</f>
        <v/>
      </c>
      <c r="K316" s="5" t="b">
        <v>0</v>
      </c>
      <c r="L316" s="7"/>
      <c r="M316" s="7"/>
    </row>
    <row r="317">
      <c r="A317" s="3" t="s">
        <v>469</v>
      </c>
      <c r="B317" s="3">
        <v>18.0</v>
      </c>
      <c r="C317" s="3">
        <v>25.0</v>
      </c>
      <c r="D317" s="4">
        <v>49.1876258667394</v>
      </c>
      <c r="E317" s="4">
        <v>-2.0928690895757</v>
      </c>
      <c r="F317" s="3" t="s">
        <v>329</v>
      </c>
      <c r="G317" s="3" t="s">
        <v>330</v>
      </c>
      <c r="H317" s="5"/>
      <c r="I317" s="5"/>
      <c r="J317" s="7" t="str">
        <f>IFERROR(__xludf.DUMMYFUNCTION("IF(AND(REGEXMATCH($H317,""50( ?['fF]([oO]{2})?[tT]?)?( ?[eE][rR]{2}[oO][rR])"")=FALSE,$H317&lt;&gt;"""",$I317&lt;&gt;""""),HYPERLINK(""https://www.munzee.com/m/""&amp;$H317&amp;""/""&amp;$I317&amp;""/map/?lat=""&amp;$D317&amp;""&amp;lon=""&amp;$E317&amp;""&amp;type=""&amp;$G317&amp;""&amp;name=""&amp;SUBSTITUTE($A317,""#"&amp;""",""%23""),$H317&amp;""/""&amp;$I317),IF($H317&lt;&gt;"""",IF(REGEXMATCH($H317,""50( ?['fF]([oO]{2})?[tT]?)?( ?[eE][rR]{2}[oO][rR])""),HYPERLINK(""https://www.munzee.com/map/?sandbox=1&amp;lat=""&amp;$D317&amp;""&amp;lon=""&amp;$E317&amp;""&amp;name=""&amp;SUBSTITUTE($A317,""#"",""%23""),""SANDBOX"""&amp;"),HYPERLINK(""https://www.munzee.com/m/""&amp;$H317&amp;""/deploys/0/type/""&amp;IFNA(VLOOKUP($G317,IMPORTRANGE(""https://docs.google.com/spreadsheets/d/1DliIGyDywdzxhd4svtjaewR0p9Y5UBTMNMQ2PcXsqss"",""type data!E2:F""),2,FALSE),$G317)&amp;""/"",$H317)),""""))"),"")</f>
        <v/>
      </c>
      <c r="K317" s="5" t="b">
        <v>0</v>
      </c>
      <c r="L317" s="7"/>
      <c r="M317" s="7"/>
    </row>
    <row r="318">
      <c r="A318" s="3" t="s">
        <v>470</v>
      </c>
      <c r="B318" s="3">
        <v>18.0</v>
      </c>
      <c r="C318" s="3">
        <v>26.0</v>
      </c>
      <c r="D318" s="4">
        <v>49.1875242338624</v>
      </c>
      <c r="E318" s="4">
        <v>-2.0927135892085</v>
      </c>
      <c r="F318" s="3" t="s">
        <v>250</v>
      </c>
      <c r="G318" s="3" t="s">
        <v>251</v>
      </c>
      <c r="H318" s="5"/>
      <c r="I318" s="5"/>
      <c r="J318" s="7" t="str">
        <f>IFERROR(__xludf.DUMMYFUNCTION("IF(AND(REGEXMATCH($H318,""50( ?['fF]([oO]{2})?[tT]?)?( ?[eE][rR]{2}[oO][rR])"")=FALSE,$H318&lt;&gt;"""",$I318&lt;&gt;""""),HYPERLINK(""https://www.munzee.com/m/""&amp;$H318&amp;""/""&amp;$I318&amp;""/map/?lat=""&amp;$D318&amp;""&amp;lon=""&amp;$E318&amp;""&amp;type=""&amp;$G318&amp;""&amp;name=""&amp;SUBSTITUTE($A318,""#"&amp;""",""%23""),$H318&amp;""/""&amp;$I318),IF($H318&lt;&gt;"""",IF(REGEXMATCH($H318,""50( ?['fF]([oO]{2})?[tT]?)?( ?[eE][rR]{2}[oO][rR])""),HYPERLINK(""https://www.munzee.com/map/?sandbox=1&amp;lat=""&amp;$D318&amp;""&amp;lon=""&amp;$E318&amp;""&amp;name=""&amp;SUBSTITUTE($A318,""#"",""%23""),""SANDBOX"""&amp;"),HYPERLINK(""https://www.munzee.com/m/""&amp;$H318&amp;""/deploys/0/type/""&amp;IFNA(VLOOKUP($G318,IMPORTRANGE(""https://docs.google.com/spreadsheets/d/1DliIGyDywdzxhd4svtjaewR0p9Y5UBTMNMQ2PcXsqss"",""type data!E2:F""),2,FALSE),$G318)&amp;""/"",$H318)),""""))"),"")</f>
        <v/>
      </c>
      <c r="K318" s="5" t="b">
        <v>0</v>
      </c>
      <c r="L318" s="7"/>
      <c r="M318" s="7"/>
    </row>
    <row r="319">
      <c r="A319" s="3" t="s">
        <v>471</v>
      </c>
      <c r="B319" s="3">
        <v>19.0</v>
      </c>
      <c r="C319" s="3">
        <v>6.0</v>
      </c>
      <c r="D319" s="4">
        <v>49.189455258526</v>
      </c>
      <c r="E319" s="4">
        <v>-2.0959791758187</v>
      </c>
      <c r="F319" s="3" t="s">
        <v>250</v>
      </c>
      <c r="G319" s="3" t="s">
        <v>251</v>
      </c>
      <c r="H319" s="5"/>
      <c r="I319" s="5"/>
      <c r="J319" s="7" t="str">
        <f>IFERROR(__xludf.DUMMYFUNCTION("IF(AND(REGEXMATCH($H319,""50( ?['fF]([oO]{2})?[tT]?)?( ?[eE][rR]{2}[oO][rR])"")=FALSE,$H319&lt;&gt;"""",$I319&lt;&gt;""""),HYPERLINK(""https://www.munzee.com/m/""&amp;$H319&amp;""/""&amp;$I319&amp;""/map/?lat=""&amp;$D319&amp;""&amp;lon=""&amp;$E319&amp;""&amp;type=""&amp;$G319&amp;""&amp;name=""&amp;SUBSTITUTE($A319,""#"&amp;""",""%23""),$H319&amp;""/""&amp;$I319),IF($H319&lt;&gt;"""",IF(REGEXMATCH($H319,""50( ?['fF]([oO]{2})?[tT]?)?( ?[eE][rR]{2}[oO][rR])""),HYPERLINK(""https://www.munzee.com/map/?sandbox=1&amp;lat=""&amp;$D319&amp;""&amp;lon=""&amp;$E319&amp;""&amp;name=""&amp;SUBSTITUTE($A319,""#"",""%23""),""SANDBOX"""&amp;"),HYPERLINK(""https://www.munzee.com/m/""&amp;$H319&amp;""/deploys/0/type/""&amp;IFNA(VLOOKUP($G319,IMPORTRANGE(""https://docs.google.com/spreadsheets/d/1DliIGyDywdzxhd4svtjaewR0p9Y5UBTMNMQ2PcXsqss"",""type data!E2:F""),2,FALSE),$G319)&amp;""/"",$H319)),""""))"),"")</f>
        <v/>
      </c>
      <c r="K319" s="5" t="b">
        <v>0</v>
      </c>
      <c r="L319" s="7"/>
      <c r="M319" s="7"/>
    </row>
    <row r="320">
      <c r="A320" s="3" t="s">
        <v>472</v>
      </c>
      <c r="B320" s="3">
        <v>19.0</v>
      </c>
      <c r="C320" s="3">
        <v>7.0</v>
      </c>
      <c r="D320" s="4">
        <v>49.189353625649</v>
      </c>
      <c r="E320" s="4">
        <v>-2.0958236697018</v>
      </c>
      <c r="F320" s="3" t="s">
        <v>329</v>
      </c>
      <c r="G320" s="3" t="s">
        <v>330</v>
      </c>
      <c r="H320" s="5"/>
      <c r="I320" s="5"/>
      <c r="J320" s="7" t="str">
        <f>IFERROR(__xludf.DUMMYFUNCTION("IF(AND(REGEXMATCH($H320,""50( ?['fF]([oO]{2})?[tT]?)?( ?[eE][rR]{2}[oO][rR])"")=FALSE,$H320&lt;&gt;"""",$I320&lt;&gt;""""),HYPERLINK(""https://www.munzee.com/m/""&amp;$H320&amp;""/""&amp;$I320&amp;""/map/?lat=""&amp;$D320&amp;""&amp;lon=""&amp;$E320&amp;""&amp;type=""&amp;$G320&amp;""&amp;name=""&amp;SUBSTITUTE($A320,""#"&amp;""",""%23""),$H320&amp;""/""&amp;$I320),IF($H320&lt;&gt;"""",IF(REGEXMATCH($H320,""50( ?['fF]([oO]{2})?[tT]?)?( ?[eE][rR]{2}[oO][rR])""),HYPERLINK(""https://www.munzee.com/map/?sandbox=1&amp;lat=""&amp;$D320&amp;""&amp;lon=""&amp;$E320&amp;""&amp;name=""&amp;SUBSTITUTE($A320,""#"",""%23""),""SANDBOX"""&amp;"),HYPERLINK(""https://www.munzee.com/m/""&amp;$H320&amp;""/deploys/0/type/""&amp;IFNA(VLOOKUP($G320,IMPORTRANGE(""https://docs.google.com/spreadsheets/d/1DliIGyDywdzxhd4svtjaewR0p9Y5UBTMNMQ2PcXsqss"",""type data!E2:F""),2,FALSE),$G320)&amp;""/"",$H320)),""""))"),"")</f>
        <v/>
      </c>
      <c r="K320" s="5" t="b">
        <v>0</v>
      </c>
      <c r="L320" s="7"/>
      <c r="M320" s="7"/>
    </row>
    <row r="321">
      <c r="A321" s="3" t="s">
        <v>473</v>
      </c>
      <c r="B321" s="3">
        <v>19.0</v>
      </c>
      <c r="C321" s="3">
        <v>8.0</v>
      </c>
      <c r="D321" s="4">
        <v>49.1892519927719</v>
      </c>
      <c r="E321" s="4">
        <v>-2.0956681639043</v>
      </c>
      <c r="F321" s="3" t="s">
        <v>385</v>
      </c>
      <c r="G321" s="3" t="s">
        <v>386</v>
      </c>
      <c r="H321" s="5"/>
      <c r="I321" s="5"/>
      <c r="J321" s="7" t="str">
        <f>IFERROR(__xludf.DUMMYFUNCTION("IF(AND(REGEXMATCH($H321,""50( ?['fF]([oO]{2})?[tT]?)?( ?[eE][rR]{2}[oO][rR])"")=FALSE,$H321&lt;&gt;"""",$I321&lt;&gt;""""),HYPERLINK(""https://www.munzee.com/m/""&amp;$H321&amp;""/""&amp;$I321&amp;""/map/?lat=""&amp;$D321&amp;""&amp;lon=""&amp;$E321&amp;""&amp;type=""&amp;$G321&amp;""&amp;name=""&amp;SUBSTITUTE($A321,""#"&amp;""",""%23""),$H321&amp;""/""&amp;$I321),IF($H321&lt;&gt;"""",IF(REGEXMATCH($H321,""50( ?['fF]([oO]{2})?[tT]?)?( ?[eE][rR]{2}[oO][rR])""),HYPERLINK(""https://www.munzee.com/map/?sandbox=1&amp;lat=""&amp;$D321&amp;""&amp;lon=""&amp;$E321&amp;""&amp;name=""&amp;SUBSTITUTE($A321,""#"",""%23""),""SANDBOX"""&amp;"),HYPERLINK(""https://www.munzee.com/m/""&amp;$H321&amp;""/deploys/0/type/""&amp;IFNA(VLOOKUP($G321,IMPORTRANGE(""https://docs.google.com/spreadsheets/d/1DliIGyDywdzxhd4svtjaewR0p9Y5UBTMNMQ2PcXsqss"",""type data!E2:F""),2,FALSE),$G321)&amp;""/"",$H321)),""""))"),"")</f>
        <v/>
      </c>
      <c r="K321" s="5" t="b">
        <v>0</v>
      </c>
      <c r="L321" s="7"/>
      <c r="M321" s="7"/>
    </row>
    <row r="322">
      <c r="A322" s="3" t="s">
        <v>474</v>
      </c>
      <c r="B322" s="3">
        <v>19.0</v>
      </c>
      <c r="C322" s="3">
        <v>9.0</v>
      </c>
      <c r="D322" s="4">
        <v>49.1891503598949</v>
      </c>
      <c r="E322" s="4">
        <v>-2.0955126584263</v>
      </c>
      <c r="F322" s="3" t="s">
        <v>385</v>
      </c>
      <c r="G322" s="3" t="s">
        <v>386</v>
      </c>
      <c r="H322" s="5"/>
      <c r="I322" s="5"/>
      <c r="J322" s="7" t="str">
        <f>IFERROR(__xludf.DUMMYFUNCTION("IF(AND(REGEXMATCH($H322,""50( ?['fF]([oO]{2})?[tT]?)?( ?[eE][rR]{2}[oO][rR])"")=FALSE,$H322&lt;&gt;"""",$I322&lt;&gt;""""),HYPERLINK(""https://www.munzee.com/m/""&amp;$H322&amp;""/""&amp;$I322&amp;""/map/?lat=""&amp;$D322&amp;""&amp;lon=""&amp;$E322&amp;""&amp;type=""&amp;$G322&amp;""&amp;name=""&amp;SUBSTITUTE($A322,""#"&amp;""",""%23""),$H322&amp;""/""&amp;$I322),IF($H322&lt;&gt;"""",IF(REGEXMATCH($H322,""50( ?['fF]([oO]{2})?[tT]?)?( ?[eE][rR]{2}[oO][rR])""),HYPERLINK(""https://www.munzee.com/map/?sandbox=1&amp;lat=""&amp;$D322&amp;""&amp;lon=""&amp;$E322&amp;""&amp;name=""&amp;SUBSTITUTE($A322,""#"",""%23""),""SANDBOX"""&amp;"),HYPERLINK(""https://www.munzee.com/m/""&amp;$H322&amp;""/deploys/0/type/""&amp;IFNA(VLOOKUP($G322,IMPORTRANGE(""https://docs.google.com/spreadsheets/d/1DliIGyDywdzxhd4svtjaewR0p9Y5UBTMNMQ2PcXsqss"",""type data!E2:F""),2,FALSE),$G322)&amp;""/"",$H322)),""""))"),"")</f>
        <v/>
      </c>
      <c r="K322" s="5" t="b">
        <v>0</v>
      </c>
      <c r="L322" s="7"/>
      <c r="M322" s="7"/>
    </row>
    <row r="323">
      <c r="A323" s="3" t="s">
        <v>475</v>
      </c>
      <c r="B323" s="3">
        <v>19.0</v>
      </c>
      <c r="C323" s="3">
        <v>10.0</v>
      </c>
      <c r="D323" s="4">
        <v>49.1890487270179</v>
      </c>
      <c r="E323" s="4">
        <v>-2.0953571532677</v>
      </c>
      <c r="F323" s="3" t="s">
        <v>476</v>
      </c>
      <c r="G323" s="3" t="s">
        <v>477</v>
      </c>
      <c r="H323" s="5"/>
      <c r="I323" s="5"/>
      <c r="J323" s="7" t="str">
        <f>IFERROR(__xludf.DUMMYFUNCTION("IF(AND(REGEXMATCH($H323,""50( ?['fF]([oO]{2})?[tT]?)?( ?[eE][rR]{2}[oO][rR])"")=FALSE,$H323&lt;&gt;"""",$I323&lt;&gt;""""),HYPERLINK(""https://www.munzee.com/m/""&amp;$H323&amp;""/""&amp;$I323&amp;""/map/?lat=""&amp;$D323&amp;""&amp;lon=""&amp;$E323&amp;""&amp;type=""&amp;$G323&amp;""&amp;name=""&amp;SUBSTITUTE($A323,""#"&amp;""",""%23""),$H323&amp;""/""&amp;$I323),IF($H323&lt;&gt;"""",IF(REGEXMATCH($H323,""50( ?['fF]([oO]{2})?[tT]?)?( ?[eE][rR]{2}[oO][rR])""),HYPERLINK(""https://www.munzee.com/map/?sandbox=1&amp;lat=""&amp;$D323&amp;""&amp;lon=""&amp;$E323&amp;""&amp;name=""&amp;SUBSTITUTE($A323,""#"",""%23""),""SANDBOX"""&amp;"),HYPERLINK(""https://www.munzee.com/m/""&amp;$H323&amp;""/deploys/0/type/""&amp;IFNA(VLOOKUP($G323,IMPORTRANGE(""https://docs.google.com/spreadsheets/d/1DliIGyDywdzxhd4svtjaewR0p9Y5UBTMNMQ2PcXsqss"",""type data!E2:F""),2,FALSE),$G323)&amp;""/"",$H323)),""""))"),"")</f>
        <v/>
      </c>
      <c r="K323" s="5" t="b">
        <v>0</v>
      </c>
      <c r="L323" s="7"/>
      <c r="M323" s="7"/>
    </row>
    <row r="324">
      <c r="A324" s="3" t="s">
        <v>478</v>
      </c>
      <c r="B324" s="3">
        <v>19.0</v>
      </c>
      <c r="C324" s="3">
        <v>11.0</v>
      </c>
      <c r="D324" s="4">
        <v>49.1889470941408</v>
      </c>
      <c r="E324" s="4">
        <v>-2.0952016484287</v>
      </c>
      <c r="F324" s="3" t="s">
        <v>453</v>
      </c>
      <c r="G324" s="3" t="s">
        <v>454</v>
      </c>
      <c r="H324" s="5"/>
      <c r="I324" s="5"/>
      <c r="J324" s="7" t="str">
        <f>IFERROR(__xludf.DUMMYFUNCTION("IF(AND(REGEXMATCH($H324,""50( ?['fF]([oO]{2})?[tT]?)?( ?[eE][rR]{2}[oO][rR])"")=FALSE,$H324&lt;&gt;"""",$I324&lt;&gt;""""),HYPERLINK(""https://www.munzee.com/m/""&amp;$H324&amp;""/""&amp;$I324&amp;""/map/?lat=""&amp;$D324&amp;""&amp;lon=""&amp;$E324&amp;""&amp;type=""&amp;$G324&amp;""&amp;name=""&amp;SUBSTITUTE($A324,""#"&amp;""",""%23""),$H324&amp;""/""&amp;$I324),IF($H324&lt;&gt;"""",IF(REGEXMATCH($H324,""50( ?['fF]([oO]{2})?[tT]?)?( ?[eE][rR]{2}[oO][rR])""),HYPERLINK(""https://www.munzee.com/map/?sandbox=1&amp;lat=""&amp;$D324&amp;""&amp;lon=""&amp;$E324&amp;""&amp;name=""&amp;SUBSTITUTE($A324,""#"",""%23""),""SANDBOX"""&amp;"),HYPERLINK(""https://www.munzee.com/m/""&amp;$H324&amp;""/deploys/0/type/""&amp;IFNA(VLOOKUP($G324,IMPORTRANGE(""https://docs.google.com/spreadsheets/d/1DliIGyDywdzxhd4svtjaewR0p9Y5UBTMNMQ2PcXsqss"",""type data!E2:F""),2,FALSE),$G324)&amp;""/"",$H324)),""""))"),"")</f>
        <v/>
      </c>
      <c r="K324" s="5" t="b">
        <v>0</v>
      </c>
      <c r="L324" s="7"/>
      <c r="M324" s="7"/>
    </row>
    <row r="325">
      <c r="A325" s="3" t="s">
        <v>479</v>
      </c>
      <c r="B325" s="3">
        <v>19.0</v>
      </c>
      <c r="C325" s="3">
        <v>12.0</v>
      </c>
      <c r="D325" s="4">
        <v>49.1888454612638</v>
      </c>
      <c r="E325" s="4">
        <v>-2.0950461439089</v>
      </c>
      <c r="F325" s="3" t="s">
        <v>453</v>
      </c>
      <c r="G325" s="3" t="s">
        <v>454</v>
      </c>
      <c r="H325" s="5"/>
      <c r="I325" s="5"/>
      <c r="J325" s="7" t="str">
        <f>IFERROR(__xludf.DUMMYFUNCTION("IF(AND(REGEXMATCH($H325,""50( ?['fF]([oO]{2})?[tT]?)?( ?[eE][rR]{2}[oO][rR])"")=FALSE,$H325&lt;&gt;"""",$I325&lt;&gt;""""),HYPERLINK(""https://www.munzee.com/m/""&amp;$H325&amp;""/""&amp;$I325&amp;""/map/?lat=""&amp;$D325&amp;""&amp;lon=""&amp;$E325&amp;""&amp;type=""&amp;$G325&amp;""&amp;name=""&amp;SUBSTITUTE($A325,""#"&amp;""",""%23""),$H325&amp;""/""&amp;$I325),IF($H325&lt;&gt;"""",IF(REGEXMATCH($H325,""50( ?['fF]([oO]{2})?[tT]?)?( ?[eE][rR]{2}[oO][rR])""),HYPERLINK(""https://www.munzee.com/map/?sandbox=1&amp;lat=""&amp;$D325&amp;""&amp;lon=""&amp;$E325&amp;""&amp;name=""&amp;SUBSTITUTE($A325,""#"",""%23""),""SANDBOX"""&amp;"),HYPERLINK(""https://www.munzee.com/m/""&amp;$H325&amp;""/deploys/0/type/""&amp;IFNA(VLOOKUP($G325,IMPORTRANGE(""https://docs.google.com/spreadsheets/d/1DliIGyDywdzxhd4svtjaewR0p9Y5UBTMNMQ2PcXsqss"",""type data!E2:F""),2,FALSE),$G325)&amp;""/"",$H325)),""""))"),"")</f>
        <v/>
      </c>
      <c r="K325" s="5" t="b">
        <v>0</v>
      </c>
      <c r="L325" s="7"/>
      <c r="M325" s="7"/>
    </row>
    <row r="326">
      <c r="A326" s="3" t="s">
        <v>480</v>
      </c>
      <c r="B326" s="3">
        <v>19.0</v>
      </c>
      <c r="C326" s="3">
        <v>13.0</v>
      </c>
      <c r="D326" s="4">
        <v>49.1887438283868</v>
      </c>
      <c r="E326" s="4">
        <v>-2.0948906397086</v>
      </c>
      <c r="F326" s="3" t="s">
        <v>366</v>
      </c>
      <c r="G326" s="3" t="s">
        <v>367</v>
      </c>
      <c r="H326" s="5"/>
      <c r="I326" s="5"/>
      <c r="J326" s="7" t="str">
        <f>IFERROR(__xludf.DUMMYFUNCTION("IF(AND(REGEXMATCH($H326,""50( ?['fF]([oO]{2})?[tT]?)?( ?[eE][rR]{2}[oO][rR])"")=FALSE,$H326&lt;&gt;"""",$I326&lt;&gt;""""),HYPERLINK(""https://www.munzee.com/m/""&amp;$H326&amp;""/""&amp;$I326&amp;""/map/?lat=""&amp;$D326&amp;""&amp;lon=""&amp;$E326&amp;""&amp;type=""&amp;$G326&amp;""&amp;name=""&amp;SUBSTITUTE($A326,""#"&amp;""",""%23""),$H326&amp;""/""&amp;$I326),IF($H326&lt;&gt;"""",IF(REGEXMATCH($H326,""50( ?['fF]([oO]{2})?[tT]?)?( ?[eE][rR]{2}[oO][rR])""),HYPERLINK(""https://www.munzee.com/map/?sandbox=1&amp;lat=""&amp;$D326&amp;""&amp;lon=""&amp;$E326&amp;""&amp;name=""&amp;SUBSTITUTE($A326,""#"",""%23""),""SANDBOX"""&amp;"),HYPERLINK(""https://www.munzee.com/m/""&amp;$H326&amp;""/deploys/0/type/""&amp;IFNA(VLOOKUP($G326,IMPORTRANGE(""https://docs.google.com/spreadsheets/d/1DliIGyDywdzxhd4svtjaewR0p9Y5UBTMNMQ2PcXsqss"",""type data!E2:F""),2,FALSE),$G326)&amp;""/"",$H326)),""""))"),"")</f>
        <v/>
      </c>
      <c r="K326" s="5" t="b">
        <v>0</v>
      </c>
      <c r="L326" s="7"/>
      <c r="M326" s="7"/>
    </row>
    <row r="327">
      <c r="A327" s="3" t="s">
        <v>481</v>
      </c>
      <c r="B327" s="3">
        <v>19.0</v>
      </c>
      <c r="C327" s="3">
        <v>14.0</v>
      </c>
      <c r="D327" s="4">
        <v>49.1886421955097</v>
      </c>
      <c r="E327" s="4">
        <v>-2.0947351358278</v>
      </c>
      <c r="F327" s="3" t="s">
        <v>366</v>
      </c>
      <c r="G327" s="3" t="s">
        <v>367</v>
      </c>
      <c r="H327" s="5"/>
      <c r="I327" s="5"/>
      <c r="J327" s="7" t="str">
        <f>IFERROR(__xludf.DUMMYFUNCTION("IF(AND(REGEXMATCH($H327,""50( ?['fF]([oO]{2})?[tT]?)?( ?[eE][rR]{2}[oO][rR])"")=FALSE,$H327&lt;&gt;"""",$I327&lt;&gt;""""),HYPERLINK(""https://www.munzee.com/m/""&amp;$H327&amp;""/""&amp;$I327&amp;""/map/?lat=""&amp;$D327&amp;""&amp;lon=""&amp;$E327&amp;""&amp;type=""&amp;$G327&amp;""&amp;name=""&amp;SUBSTITUTE($A327,""#"&amp;""",""%23""),$H327&amp;""/""&amp;$I327),IF($H327&lt;&gt;"""",IF(REGEXMATCH($H327,""50( ?['fF]([oO]{2})?[tT]?)?( ?[eE][rR]{2}[oO][rR])""),HYPERLINK(""https://www.munzee.com/map/?sandbox=1&amp;lat=""&amp;$D327&amp;""&amp;lon=""&amp;$E327&amp;""&amp;name=""&amp;SUBSTITUTE($A327,""#"",""%23""),""SANDBOX"""&amp;"),HYPERLINK(""https://www.munzee.com/m/""&amp;$H327&amp;""/deploys/0/type/""&amp;IFNA(VLOOKUP($G327,IMPORTRANGE(""https://docs.google.com/spreadsheets/d/1DliIGyDywdzxhd4svtjaewR0p9Y5UBTMNMQ2PcXsqss"",""type data!E2:F""),2,FALSE),$G327)&amp;""/"",$H327)),""""))"),"")</f>
        <v/>
      </c>
      <c r="K327" s="5" t="b">
        <v>0</v>
      </c>
      <c r="L327" s="7"/>
      <c r="M327" s="7"/>
    </row>
    <row r="328">
      <c r="A328" s="3" t="s">
        <v>482</v>
      </c>
      <c r="B328" s="3">
        <v>19.0</v>
      </c>
      <c r="C328" s="3">
        <v>15.0</v>
      </c>
      <c r="D328" s="4">
        <v>49.1885405626327</v>
      </c>
      <c r="E328" s="4">
        <v>-2.0945796322665</v>
      </c>
      <c r="F328" s="3" t="s">
        <v>366</v>
      </c>
      <c r="G328" s="3" t="s">
        <v>367</v>
      </c>
      <c r="H328" s="5"/>
      <c r="I328" s="5"/>
      <c r="J328" s="7" t="str">
        <f>IFERROR(__xludf.DUMMYFUNCTION("IF(AND(REGEXMATCH($H328,""50( ?['fF]([oO]{2})?[tT]?)?( ?[eE][rR]{2}[oO][rR])"")=FALSE,$H328&lt;&gt;"""",$I328&lt;&gt;""""),HYPERLINK(""https://www.munzee.com/m/""&amp;$H328&amp;""/""&amp;$I328&amp;""/map/?lat=""&amp;$D328&amp;""&amp;lon=""&amp;$E328&amp;""&amp;type=""&amp;$G328&amp;""&amp;name=""&amp;SUBSTITUTE($A328,""#"&amp;""",""%23""),$H328&amp;""/""&amp;$I328),IF($H328&lt;&gt;"""",IF(REGEXMATCH($H328,""50( ?['fF]([oO]{2})?[tT]?)?( ?[eE][rR]{2}[oO][rR])""),HYPERLINK(""https://www.munzee.com/map/?sandbox=1&amp;lat=""&amp;$D328&amp;""&amp;lon=""&amp;$E328&amp;""&amp;name=""&amp;SUBSTITUTE($A328,""#"",""%23""),""SANDBOX"""&amp;"),HYPERLINK(""https://www.munzee.com/m/""&amp;$H328&amp;""/deploys/0/type/""&amp;IFNA(VLOOKUP($G328,IMPORTRANGE(""https://docs.google.com/spreadsheets/d/1DliIGyDywdzxhd4svtjaewR0p9Y5UBTMNMQ2PcXsqss"",""type data!E2:F""),2,FALSE),$G328)&amp;""/"",$H328)),""""))"),"")</f>
        <v/>
      </c>
      <c r="K328" s="5" t="b">
        <v>0</v>
      </c>
      <c r="L328" s="7"/>
      <c r="M328" s="7"/>
    </row>
    <row r="329">
      <c r="A329" s="3" t="s">
        <v>483</v>
      </c>
      <c r="B329" s="3">
        <v>19.0</v>
      </c>
      <c r="C329" s="3">
        <v>16.0</v>
      </c>
      <c r="D329" s="4">
        <v>49.1884389297557</v>
      </c>
      <c r="E329" s="4">
        <v>-2.0944241290244</v>
      </c>
      <c r="F329" s="3" t="s">
        <v>484</v>
      </c>
      <c r="G329" s="3" t="s">
        <v>485</v>
      </c>
      <c r="H329" s="5"/>
      <c r="I329" s="5"/>
      <c r="J329" s="7" t="str">
        <f>IFERROR(__xludf.DUMMYFUNCTION("IF(AND(REGEXMATCH($H329,""50( ?['fF]([oO]{2})?[tT]?)?( ?[eE][rR]{2}[oO][rR])"")=FALSE,$H329&lt;&gt;"""",$I329&lt;&gt;""""),HYPERLINK(""https://www.munzee.com/m/""&amp;$H329&amp;""/""&amp;$I329&amp;""/map/?lat=""&amp;$D329&amp;""&amp;lon=""&amp;$E329&amp;""&amp;type=""&amp;$G329&amp;""&amp;name=""&amp;SUBSTITUTE($A329,""#"&amp;""",""%23""),$H329&amp;""/""&amp;$I329),IF($H329&lt;&gt;"""",IF(REGEXMATCH($H329,""50( ?['fF]([oO]{2})?[tT]?)?( ?[eE][rR]{2}[oO][rR])""),HYPERLINK(""https://www.munzee.com/map/?sandbox=1&amp;lat=""&amp;$D329&amp;""&amp;lon=""&amp;$E329&amp;""&amp;name=""&amp;SUBSTITUTE($A329,""#"",""%23""),""SANDBOX"""&amp;"),HYPERLINK(""https://www.munzee.com/m/""&amp;$H329&amp;""/deploys/0/type/""&amp;IFNA(VLOOKUP($G329,IMPORTRANGE(""https://docs.google.com/spreadsheets/d/1DliIGyDywdzxhd4svtjaewR0p9Y5UBTMNMQ2PcXsqss"",""type data!E2:F""),2,FALSE),$G329)&amp;""/"",$H329)),""""))"),"")</f>
        <v/>
      </c>
      <c r="K329" s="5" t="b">
        <v>0</v>
      </c>
      <c r="L329" s="7"/>
      <c r="M329" s="7"/>
    </row>
    <row r="330">
      <c r="A330" s="3" t="s">
        <v>486</v>
      </c>
      <c r="B330" s="3">
        <v>19.0</v>
      </c>
      <c r="C330" s="3">
        <v>17.0</v>
      </c>
      <c r="D330" s="4">
        <v>49.1883372968786</v>
      </c>
      <c r="E330" s="4">
        <v>-2.0942686261019</v>
      </c>
      <c r="F330" s="3" t="s">
        <v>484</v>
      </c>
      <c r="G330" s="3" t="s">
        <v>485</v>
      </c>
      <c r="H330" s="5"/>
      <c r="I330" s="5"/>
      <c r="J330" s="7" t="str">
        <f>IFERROR(__xludf.DUMMYFUNCTION("IF(AND(REGEXMATCH($H330,""50( ?['fF]([oO]{2})?[tT]?)?( ?[eE][rR]{2}[oO][rR])"")=FALSE,$H330&lt;&gt;"""",$I330&lt;&gt;""""),HYPERLINK(""https://www.munzee.com/m/""&amp;$H330&amp;""/""&amp;$I330&amp;""/map/?lat=""&amp;$D330&amp;""&amp;lon=""&amp;$E330&amp;""&amp;type=""&amp;$G330&amp;""&amp;name=""&amp;SUBSTITUTE($A330,""#"&amp;""",""%23""),$H330&amp;""/""&amp;$I330),IF($H330&lt;&gt;"""",IF(REGEXMATCH($H330,""50( ?['fF]([oO]{2})?[tT]?)?( ?[eE][rR]{2}[oO][rR])""),HYPERLINK(""https://www.munzee.com/map/?sandbox=1&amp;lat=""&amp;$D330&amp;""&amp;lon=""&amp;$E330&amp;""&amp;name=""&amp;SUBSTITUTE($A330,""#"",""%23""),""SANDBOX"""&amp;"),HYPERLINK(""https://www.munzee.com/m/""&amp;$H330&amp;""/deploys/0/type/""&amp;IFNA(VLOOKUP($G330,IMPORTRANGE(""https://docs.google.com/spreadsheets/d/1DliIGyDywdzxhd4svtjaewR0p9Y5UBTMNMQ2PcXsqss"",""type data!E2:F""),2,FALSE),$G330)&amp;""/"",$H330)),""""))"),"")</f>
        <v/>
      </c>
      <c r="K330" s="5" t="b">
        <v>0</v>
      </c>
      <c r="L330" s="7"/>
      <c r="M330" s="7"/>
    </row>
    <row r="331">
      <c r="A331" s="3" t="s">
        <v>487</v>
      </c>
      <c r="B331" s="3">
        <v>19.0</v>
      </c>
      <c r="C331" s="3">
        <v>18.0</v>
      </c>
      <c r="D331" s="4">
        <v>49.1882356640016</v>
      </c>
      <c r="E331" s="4">
        <v>-2.0941131234988</v>
      </c>
      <c r="F331" s="3" t="s">
        <v>296</v>
      </c>
      <c r="G331" s="3" t="s">
        <v>297</v>
      </c>
      <c r="H331" s="5"/>
      <c r="I331" s="5"/>
      <c r="J331" s="7" t="str">
        <f>IFERROR(__xludf.DUMMYFUNCTION("IF(AND(REGEXMATCH($H331,""50( ?['fF]([oO]{2})?[tT]?)?( ?[eE][rR]{2}[oO][rR])"")=FALSE,$H331&lt;&gt;"""",$I331&lt;&gt;""""),HYPERLINK(""https://www.munzee.com/m/""&amp;$H331&amp;""/""&amp;$I331&amp;""/map/?lat=""&amp;$D331&amp;""&amp;lon=""&amp;$E331&amp;""&amp;type=""&amp;$G331&amp;""&amp;name=""&amp;SUBSTITUTE($A331,""#"&amp;""",""%23""),$H331&amp;""/""&amp;$I331),IF($H331&lt;&gt;"""",IF(REGEXMATCH($H331,""50( ?['fF]([oO]{2})?[tT]?)?( ?[eE][rR]{2}[oO][rR])""),HYPERLINK(""https://www.munzee.com/map/?sandbox=1&amp;lat=""&amp;$D331&amp;""&amp;lon=""&amp;$E331&amp;""&amp;name=""&amp;SUBSTITUTE($A331,""#"",""%23""),""SANDBOX"""&amp;"),HYPERLINK(""https://www.munzee.com/m/""&amp;$H331&amp;""/deploys/0/type/""&amp;IFNA(VLOOKUP($G331,IMPORTRANGE(""https://docs.google.com/spreadsheets/d/1DliIGyDywdzxhd4svtjaewR0p9Y5UBTMNMQ2PcXsqss"",""type data!E2:F""),2,FALSE),$G331)&amp;""/"",$H331)),""""))"),"")</f>
        <v/>
      </c>
      <c r="K331" s="5" t="b">
        <v>0</v>
      </c>
      <c r="L331" s="7"/>
      <c r="M331" s="7"/>
    </row>
    <row r="332">
      <c r="A332" s="3" t="s">
        <v>488</v>
      </c>
      <c r="B332" s="3">
        <v>19.0</v>
      </c>
      <c r="C332" s="3">
        <v>19.0</v>
      </c>
      <c r="D332" s="4">
        <v>49.1881340311246</v>
      </c>
      <c r="E332" s="4">
        <v>-2.0939576212152</v>
      </c>
      <c r="F332" s="3" t="s">
        <v>296</v>
      </c>
      <c r="G332" s="3" t="s">
        <v>297</v>
      </c>
      <c r="H332" s="5"/>
      <c r="I332" s="5"/>
      <c r="J332" s="7" t="str">
        <f>IFERROR(__xludf.DUMMYFUNCTION("IF(AND(REGEXMATCH($H332,""50( ?['fF]([oO]{2})?[tT]?)?( ?[eE][rR]{2}[oO][rR])"")=FALSE,$H332&lt;&gt;"""",$I332&lt;&gt;""""),HYPERLINK(""https://www.munzee.com/m/""&amp;$H332&amp;""/""&amp;$I332&amp;""/map/?lat=""&amp;$D332&amp;""&amp;lon=""&amp;$E332&amp;""&amp;type=""&amp;$G332&amp;""&amp;name=""&amp;SUBSTITUTE($A332,""#"&amp;""",""%23""),$H332&amp;""/""&amp;$I332),IF($H332&lt;&gt;"""",IF(REGEXMATCH($H332,""50( ?['fF]([oO]{2})?[tT]?)?( ?[eE][rR]{2}[oO][rR])""),HYPERLINK(""https://www.munzee.com/map/?sandbox=1&amp;lat=""&amp;$D332&amp;""&amp;lon=""&amp;$E332&amp;""&amp;name=""&amp;SUBSTITUTE($A332,""#"",""%23""),""SANDBOX"""&amp;"),HYPERLINK(""https://www.munzee.com/m/""&amp;$H332&amp;""/deploys/0/type/""&amp;IFNA(VLOOKUP($G332,IMPORTRANGE(""https://docs.google.com/spreadsheets/d/1DliIGyDywdzxhd4svtjaewR0p9Y5UBTMNMQ2PcXsqss"",""type data!E2:F""),2,FALSE),$G332)&amp;""/"",$H332)),""""))"),"")</f>
        <v/>
      </c>
      <c r="K332" s="5" t="b">
        <v>0</v>
      </c>
      <c r="L332" s="7"/>
      <c r="M332" s="7"/>
    </row>
    <row r="333">
      <c r="A333" s="3" t="s">
        <v>489</v>
      </c>
      <c r="B333" s="3">
        <v>19.0</v>
      </c>
      <c r="C333" s="3">
        <v>20.0</v>
      </c>
      <c r="D333" s="4">
        <v>49.1880323982475</v>
      </c>
      <c r="E333" s="4">
        <v>-2.0938021192509</v>
      </c>
      <c r="F333" s="3" t="s">
        <v>450</v>
      </c>
      <c r="G333" s="3" t="s">
        <v>451</v>
      </c>
      <c r="H333" s="5"/>
      <c r="I333" s="5"/>
      <c r="J333" s="7" t="str">
        <f>IFERROR(__xludf.DUMMYFUNCTION("IF(AND(REGEXMATCH($H333,""50( ?['fF]([oO]{2})?[tT]?)?( ?[eE][rR]{2}[oO][rR])"")=FALSE,$H333&lt;&gt;"""",$I333&lt;&gt;""""),HYPERLINK(""https://www.munzee.com/m/""&amp;$H333&amp;""/""&amp;$I333&amp;""/map/?lat=""&amp;$D333&amp;""&amp;lon=""&amp;$E333&amp;""&amp;type=""&amp;$G333&amp;""&amp;name=""&amp;SUBSTITUTE($A333,""#"&amp;""",""%23""),$H333&amp;""/""&amp;$I333),IF($H333&lt;&gt;"""",IF(REGEXMATCH($H333,""50( ?['fF]([oO]{2})?[tT]?)?( ?[eE][rR]{2}[oO][rR])""),HYPERLINK(""https://www.munzee.com/map/?sandbox=1&amp;lat=""&amp;$D333&amp;""&amp;lon=""&amp;$E333&amp;""&amp;name=""&amp;SUBSTITUTE($A333,""#"",""%23""),""SANDBOX"""&amp;"),HYPERLINK(""https://www.munzee.com/m/""&amp;$H333&amp;""/deploys/0/type/""&amp;IFNA(VLOOKUP($G333,IMPORTRANGE(""https://docs.google.com/spreadsheets/d/1DliIGyDywdzxhd4svtjaewR0p9Y5UBTMNMQ2PcXsqss"",""type data!E2:F""),2,FALSE),$G333)&amp;""/"",$H333)),""""))"),"")</f>
        <v/>
      </c>
      <c r="K333" s="5" t="b">
        <v>0</v>
      </c>
      <c r="L333" s="7"/>
      <c r="M333" s="7"/>
    </row>
    <row r="334">
      <c r="A334" s="3" t="s">
        <v>490</v>
      </c>
      <c r="B334" s="3">
        <v>19.0</v>
      </c>
      <c r="C334" s="3">
        <v>21.0</v>
      </c>
      <c r="D334" s="4">
        <v>49.1879307653705</v>
      </c>
      <c r="E334" s="4">
        <v>-2.0936466176061</v>
      </c>
      <c r="F334" s="3" t="s">
        <v>453</v>
      </c>
      <c r="G334" s="3" t="s">
        <v>454</v>
      </c>
      <c r="H334" s="5"/>
      <c r="I334" s="5"/>
      <c r="J334" s="7" t="str">
        <f>IFERROR(__xludf.DUMMYFUNCTION("IF(AND(REGEXMATCH($H334,""50( ?['fF]([oO]{2})?[tT]?)?( ?[eE][rR]{2}[oO][rR])"")=FALSE,$H334&lt;&gt;"""",$I334&lt;&gt;""""),HYPERLINK(""https://www.munzee.com/m/""&amp;$H334&amp;""/""&amp;$I334&amp;""/map/?lat=""&amp;$D334&amp;""&amp;lon=""&amp;$E334&amp;""&amp;type=""&amp;$G334&amp;""&amp;name=""&amp;SUBSTITUTE($A334,""#"&amp;""",""%23""),$H334&amp;""/""&amp;$I334),IF($H334&lt;&gt;"""",IF(REGEXMATCH($H334,""50( ?['fF]([oO]{2})?[tT]?)?( ?[eE][rR]{2}[oO][rR])""),HYPERLINK(""https://www.munzee.com/map/?sandbox=1&amp;lat=""&amp;$D334&amp;""&amp;lon=""&amp;$E334&amp;""&amp;name=""&amp;SUBSTITUTE($A334,""#"",""%23""),""SANDBOX"""&amp;"),HYPERLINK(""https://www.munzee.com/m/""&amp;$H334&amp;""/deploys/0/type/""&amp;IFNA(VLOOKUP($G334,IMPORTRANGE(""https://docs.google.com/spreadsheets/d/1DliIGyDywdzxhd4svtjaewR0p9Y5UBTMNMQ2PcXsqss"",""type data!E2:F""),2,FALSE),$G334)&amp;""/"",$H334)),""""))"),"")</f>
        <v/>
      </c>
      <c r="K334" s="5" t="b">
        <v>0</v>
      </c>
      <c r="L334" s="7"/>
      <c r="M334" s="7"/>
    </row>
    <row r="335">
      <c r="A335" s="3" t="s">
        <v>491</v>
      </c>
      <c r="B335" s="3">
        <v>19.0</v>
      </c>
      <c r="C335" s="3">
        <v>22.0</v>
      </c>
      <c r="D335" s="4">
        <v>49.1878291324935</v>
      </c>
      <c r="E335" s="4">
        <v>-2.0934911162806</v>
      </c>
      <c r="F335" s="3" t="s">
        <v>476</v>
      </c>
      <c r="G335" s="3" t="s">
        <v>477</v>
      </c>
      <c r="H335" s="5"/>
      <c r="I335" s="5"/>
      <c r="J335" s="7" t="str">
        <f>IFERROR(__xludf.DUMMYFUNCTION("IF(AND(REGEXMATCH($H335,""50( ?['fF]([oO]{2})?[tT]?)?( ?[eE][rR]{2}[oO][rR])"")=FALSE,$H335&lt;&gt;"""",$I335&lt;&gt;""""),HYPERLINK(""https://www.munzee.com/m/""&amp;$H335&amp;""/""&amp;$I335&amp;""/map/?lat=""&amp;$D335&amp;""&amp;lon=""&amp;$E335&amp;""&amp;type=""&amp;$G335&amp;""&amp;name=""&amp;SUBSTITUTE($A335,""#"&amp;""",""%23""),$H335&amp;""/""&amp;$I335),IF($H335&lt;&gt;"""",IF(REGEXMATCH($H335,""50( ?['fF]([oO]{2})?[tT]?)?( ?[eE][rR]{2}[oO][rR])""),HYPERLINK(""https://www.munzee.com/map/?sandbox=1&amp;lat=""&amp;$D335&amp;""&amp;lon=""&amp;$E335&amp;""&amp;name=""&amp;SUBSTITUTE($A335,""#"",""%23""),""SANDBOX"""&amp;"),HYPERLINK(""https://www.munzee.com/m/""&amp;$H335&amp;""/deploys/0/type/""&amp;IFNA(VLOOKUP($G335,IMPORTRANGE(""https://docs.google.com/spreadsheets/d/1DliIGyDywdzxhd4svtjaewR0p9Y5UBTMNMQ2PcXsqss"",""type data!E2:F""),2,FALSE),$G335)&amp;""/"",$H335)),""""))"),"")</f>
        <v/>
      </c>
      <c r="K335" s="5" t="b">
        <v>0</v>
      </c>
      <c r="L335" s="7"/>
      <c r="M335" s="7"/>
    </row>
    <row r="336">
      <c r="A336" s="3" t="s">
        <v>492</v>
      </c>
      <c r="B336" s="3">
        <v>19.0</v>
      </c>
      <c r="C336" s="3">
        <v>23.0</v>
      </c>
      <c r="D336" s="4">
        <v>49.1877274996164</v>
      </c>
      <c r="E336" s="4">
        <v>-2.0933356152746</v>
      </c>
      <c r="F336" s="3" t="s">
        <v>385</v>
      </c>
      <c r="G336" s="3" t="s">
        <v>386</v>
      </c>
      <c r="H336" s="5"/>
      <c r="I336" s="5"/>
      <c r="J336" s="7" t="str">
        <f>IFERROR(__xludf.DUMMYFUNCTION("IF(AND(REGEXMATCH($H336,""50( ?['fF]([oO]{2})?[tT]?)?( ?[eE][rR]{2}[oO][rR])"")=FALSE,$H336&lt;&gt;"""",$I336&lt;&gt;""""),HYPERLINK(""https://www.munzee.com/m/""&amp;$H336&amp;""/""&amp;$I336&amp;""/map/?lat=""&amp;$D336&amp;""&amp;lon=""&amp;$E336&amp;""&amp;type=""&amp;$G336&amp;""&amp;name=""&amp;SUBSTITUTE($A336,""#"&amp;""",""%23""),$H336&amp;""/""&amp;$I336),IF($H336&lt;&gt;"""",IF(REGEXMATCH($H336,""50( ?['fF]([oO]{2})?[tT]?)?( ?[eE][rR]{2}[oO][rR])""),HYPERLINK(""https://www.munzee.com/map/?sandbox=1&amp;lat=""&amp;$D336&amp;""&amp;lon=""&amp;$E336&amp;""&amp;name=""&amp;SUBSTITUTE($A336,""#"",""%23""),""SANDBOX"""&amp;"),HYPERLINK(""https://www.munzee.com/m/""&amp;$H336&amp;""/deploys/0/type/""&amp;IFNA(VLOOKUP($G336,IMPORTRANGE(""https://docs.google.com/spreadsheets/d/1DliIGyDywdzxhd4svtjaewR0p9Y5UBTMNMQ2PcXsqss"",""type data!E2:F""),2,FALSE),$G336)&amp;""/"",$H336)),""""))"),"")</f>
        <v/>
      </c>
      <c r="K336" s="5" t="b">
        <v>0</v>
      </c>
      <c r="L336" s="7"/>
      <c r="M336" s="7"/>
    </row>
    <row r="337">
      <c r="A337" s="3" t="s">
        <v>493</v>
      </c>
      <c r="B337" s="3">
        <v>19.0</v>
      </c>
      <c r="C337" s="3">
        <v>24.0</v>
      </c>
      <c r="D337" s="4">
        <v>49.1876258667394</v>
      </c>
      <c r="E337" s="4">
        <v>-2.093180114588</v>
      </c>
      <c r="F337" s="3" t="s">
        <v>385</v>
      </c>
      <c r="G337" s="3" t="s">
        <v>386</v>
      </c>
      <c r="H337" s="5"/>
      <c r="I337" s="5"/>
      <c r="J337" s="7" t="str">
        <f>IFERROR(__xludf.DUMMYFUNCTION("IF(AND(REGEXMATCH($H337,""50( ?['fF]([oO]{2})?[tT]?)?( ?[eE][rR]{2}[oO][rR])"")=FALSE,$H337&lt;&gt;"""",$I337&lt;&gt;""""),HYPERLINK(""https://www.munzee.com/m/""&amp;$H337&amp;""/""&amp;$I337&amp;""/map/?lat=""&amp;$D337&amp;""&amp;lon=""&amp;$E337&amp;""&amp;type=""&amp;$G337&amp;""&amp;name=""&amp;SUBSTITUTE($A337,""#"&amp;""",""%23""),$H337&amp;""/""&amp;$I337),IF($H337&lt;&gt;"""",IF(REGEXMATCH($H337,""50( ?['fF]([oO]{2})?[tT]?)?( ?[eE][rR]{2}[oO][rR])""),HYPERLINK(""https://www.munzee.com/map/?sandbox=1&amp;lat=""&amp;$D337&amp;""&amp;lon=""&amp;$E337&amp;""&amp;name=""&amp;SUBSTITUTE($A337,""#"",""%23""),""SANDBOX"""&amp;"),HYPERLINK(""https://www.munzee.com/m/""&amp;$H337&amp;""/deploys/0/type/""&amp;IFNA(VLOOKUP($G337,IMPORTRANGE(""https://docs.google.com/spreadsheets/d/1DliIGyDywdzxhd4svtjaewR0p9Y5UBTMNMQ2PcXsqss"",""type data!E2:F""),2,FALSE),$G337)&amp;""/"",$H337)),""""))"),"")</f>
        <v/>
      </c>
      <c r="K337" s="5" t="b">
        <v>0</v>
      </c>
      <c r="L337" s="7"/>
      <c r="M337" s="7"/>
    </row>
    <row r="338">
      <c r="A338" s="3" t="s">
        <v>494</v>
      </c>
      <c r="B338" s="3">
        <v>19.0</v>
      </c>
      <c r="C338" s="3">
        <v>25.0</v>
      </c>
      <c r="D338" s="4">
        <v>49.1875242338624</v>
      </c>
      <c r="E338" s="4">
        <v>-2.0930246142208</v>
      </c>
      <c r="F338" s="3" t="s">
        <v>329</v>
      </c>
      <c r="G338" s="3" t="s">
        <v>330</v>
      </c>
      <c r="H338" s="5"/>
      <c r="I338" s="5"/>
      <c r="J338" s="7" t="str">
        <f>IFERROR(__xludf.DUMMYFUNCTION("IF(AND(REGEXMATCH($H338,""50( ?['fF]([oO]{2})?[tT]?)?( ?[eE][rR]{2}[oO][rR])"")=FALSE,$H338&lt;&gt;"""",$I338&lt;&gt;""""),HYPERLINK(""https://www.munzee.com/m/""&amp;$H338&amp;""/""&amp;$I338&amp;""/map/?lat=""&amp;$D338&amp;""&amp;lon=""&amp;$E338&amp;""&amp;type=""&amp;$G338&amp;""&amp;name=""&amp;SUBSTITUTE($A338,""#"&amp;""",""%23""),$H338&amp;""/""&amp;$I338),IF($H338&lt;&gt;"""",IF(REGEXMATCH($H338,""50( ?['fF]([oO]{2})?[tT]?)?( ?[eE][rR]{2}[oO][rR])""),HYPERLINK(""https://www.munzee.com/map/?sandbox=1&amp;lat=""&amp;$D338&amp;""&amp;lon=""&amp;$E338&amp;""&amp;name=""&amp;SUBSTITUTE($A338,""#"",""%23""),""SANDBOX"""&amp;"),HYPERLINK(""https://www.munzee.com/m/""&amp;$H338&amp;""/deploys/0/type/""&amp;IFNA(VLOOKUP($G338,IMPORTRANGE(""https://docs.google.com/spreadsheets/d/1DliIGyDywdzxhd4svtjaewR0p9Y5UBTMNMQ2PcXsqss"",""type data!E2:F""),2,FALSE),$G338)&amp;""/"",$H338)),""""))"),"")</f>
        <v/>
      </c>
      <c r="K338" s="5" t="b">
        <v>0</v>
      </c>
      <c r="L338" s="7"/>
      <c r="M338" s="7"/>
    </row>
    <row r="339">
      <c r="A339" s="3" t="s">
        <v>495</v>
      </c>
      <c r="B339" s="3">
        <v>19.0</v>
      </c>
      <c r="C339" s="3">
        <v>26.0</v>
      </c>
      <c r="D339" s="4">
        <v>49.1874226009854</v>
      </c>
      <c r="E339" s="4">
        <v>-2.092869114173</v>
      </c>
      <c r="F339" s="3" t="s">
        <v>250</v>
      </c>
      <c r="G339" s="3" t="s">
        <v>251</v>
      </c>
      <c r="H339" s="5" t="s">
        <v>496</v>
      </c>
      <c r="I339" s="5">
        <v>5372.0</v>
      </c>
      <c r="J339" s="6" t="str">
        <f>IFERROR(__xludf.DUMMYFUNCTION("IF(AND(REGEXMATCH($H339,""50( ?['fF]([oO]{2})?[tT]?)?( ?[eE][rR]{2}[oO][rR])"")=FALSE,$H339&lt;&gt;"""",$I339&lt;&gt;""""),HYPERLINK(""https://www.munzee.com/m/""&amp;$H339&amp;""/""&amp;$I339&amp;""/map/?lat=""&amp;$D339&amp;""&amp;lon=""&amp;$E339&amp;""&amp;type=""&amp;$G339&amp;""&amp;name=""&amp;SUBSTITUTE($A339,""#"&amp;""",""%23""),$H339&amp;""/""&amp;$I339),IF($H339&lt;&gt;"""",IF(REGEXMATCH($H339,""50( ?['fF]([oO]{2})?[tT]?)?( ?[eE][rR]{2}[oO][rR])""),HYPERLINK(""https://www.munzee.com/map/?sandbox=1&amp;lat=""&amp;$D339&amp;""&amp;lon=""&amp;$E339&amp;""&amp;name=""&amp;SUBSTITUTE($A339,""#"",""%23""),""SANDBOX"""&amp;"),HYPERLINK(""https://www.munzee.com/m/""&amp;$H339&amp;""/deploys/0/type/""&amp;IFNA(VLOOKUP($G339,IMPORTRANGE(""https://docs.google.com/spreadsheets/d/1DliIGyDywdzxhd4svtjaewR0p9Y5UBTMNMQ2PcXsqss"",""type data!E2:F""),2,FALSE),$G339)&amp;""/"",$H339)),""""))"),"5Star/5372")</f>
        <v>5Star/5372</v>
      </c>
      <c r="K339" s="5" t="b">
        <v>1</v>
      </c>
      <c r="L339" s="5"/>
      <c r="M339" s="7"/>
    </row>
    <row r="340">
      <c r="A340" s="3" t="s">
        <v>497</v>
      </c>
      <c r="B340" s="3">
        <v>19.0</v>
      </c>
      <c r="C340" s="3">
        <v>27.0</v>
      </c>
      <c r="D340" s="4">
        <v>49.1873209681083</v>
      </c>
      <c r="E340" s="4">
        <v>-2.0927136144446</v>
      </c>
      <c r="F340" s="3" t="s">
        <v>250</v>
      </c>
      <c r="G340" s="3" t="s">
        <v>251</v>
      </c>
      <c r="H340" s="5"/>
      <c r="I340" s="5"/>
      <c r="J340" s="7" t="str">
        <f>IFERROR(__xludf.DUMMYFUNCTION("IF(AND(REGEXMATCH($H340,""50( ?['fF]([oO]{2})?[tT]?)?( ?[eE][rR]{2}[oO][rR])"")=FALSE,$H340&lt;&gt;"""",$I340&lt;&gt;""""),HYPERLINK(""https://www.munzee.com/m/""&amp;$H340&amp;""/""&amp;$I340&amp;""/map/?lat=""&amp;$D340&amp;""&amp;lon=""&amp;$E340&amp;""&amp;type=""&amp;$G340&amp;""&amp;name=""&amp;SUBSTITUTE($A340,""#"&amp;""",""%23""),$H340&amp;""/""&amp;$I340),IF($H340&lt;&gt;"""",IF(REGEXMATCH($H340,""50( ?['fF]([oO]{2})?[tT]?)?( ?[eE][rR]{2}[oO][rR])""),HYPERLINK(""https://www.munzee.com/map/?sandbox=1&amp;lat=""&amp;$D340&amp;""&amp;lon=""&amp;$E340&amp;""&amp;name=""&amp;SUBSTITUTE($A340,""#"",""%23""),""SANDBOX"""&amp;"),HYPERLINK(""https://www.munzee.com/m/""&amp;$H340&amp;""/deploys/0/type/""&amp;IFNA(VLOOKUP($G340,IMPORTRANGE(""https://docs.google.com/spreadsheets/d/1DliIGyDywdzxhd4svtjaewR0p9Y5UBTMNMQ2PcXsqss"",""type data!E2:F""),2,FALSE),$G340)&amp;""/"",$H340)),""""))"),"")</f>
        <v/>
      </c>
      <c r="K340" s="5" t="b">
        <v>0</v>
      </c>
      <c r="L340" s="7"/>
      <c r="M340" s="7"/>
    </row>
    <row r="341">
      <c r="A341" s="3" t="s">
        <v>498</v>
      </c>
      <c r="B341" s="3">
        <v>20.0</v>
      </c>
      <c r="C341" s="3">
        <v>5.0</v>
      </c>
      <c r="D341" s="4">
        <v>49.189455258526</v>
      </c>
      <c r="E341" s="4">
        <v>-2.096290200192</v>
      </c>
      <c r="F341" s="3" t="s">
        <v>250</v>
      </c>
      <c r="G341" s="3" t="s">
        <v>251</v>
      </c>
      <c r="H341" s="5"/>
      <c r="I341" s="5"/>
      <c r="J341" s="7" t="str">
        <f>IFERROR(__xludf.DUMMYFUNCTION("IF(AND(REGEXMATCH($H341,""50( ?['fF]([oO]{2})?[tT]?)?( ?[eE][rR]{2}[oO][rR])"")=FALSE,$H341&lt;&gt;"""",$I341&lt;&gt;""""),HYPERLINK(""https://www.munzee.com/m/""&amp;$H341&amp;""/""&amp;$I341&amp;""/map/?lat=""&amp;$D341&amp;""&amp;lon=""&amp;$E341&amp;""&amp;type=""&amp;$G341&amp;""&amp;name=""&amp;SUBSTITUTE($A341,""#"&amp;""",""%23""),$H341&amp;""/""&amp;$I341),IF($H341&lt;&gt;"""",IF(REGEXMATCH($H341,""50( ?['fF]([oO]{2})?[tT]?)?( ?[eE][rR]{2}[oO][rR])""),HYPERLINK(""https://www.munzee.com/map/?sandbox=1&amp;lat=""&amp;$D341&amp;""&amp;lon=""&amp;$E341&amp;""&amp;name=""&amp;SUBSTITUTE($A341,""#"",""%23""),""SANDBOX"""&amp;"),HYPERLINK(""https://www.munzee.com/m/""&amp;$H341&amp;""/deploys/0/type/""&amp;IFNA(VLOOKUP($G341,IMPORTRANGE(""https://docs.google.com/spreadsheets/d/1DliIGyDywdzxhd4svtjaewR0p9Y5UBTMNMQ2PcXsqss"",""type data!E2:F""),2,FALSE),$G341)&amp;""/"",$H341)),""""))"),"")</f>
        <v/>
      </c>
      <c r="K341" s="5" t="b">
        <v>0</v>
      </c>
      <c r="L341" s="7"/>
      <c r="M341" s="7"/>
    </row>
    <row r="342">
      <c r="A342" s="3" t="s">
        <v>499</v>
      </c>
      <c r="B342" s="3">
        <v>20.0</v>
      </c>
      <c r="C342" s="3">
        <v>6.0</v>
      </c>
      <c r="D342" s="4">
        <v>49.189353625649</v>
      </c>
      <c r="E342" s="4">
        <v>-2.0961346940751</v>
      </c>
      <c r="F342" s="3" t="s">
        <v>250</v>
      </c>
      <c r="G342" s="3" t="s">
        <v>251</v>
      </c>
      <c r="H342" s="5"/>
      <c r="I342" s="5"/>
      <c r="J342" s="7" t="str">
        <f>IFERROR(__xludf.DUMMYFUNCTION("IF(AND(REGEXMATCH($H342,""50( ?['fF]([oO]{2})?[tT]?)?( ?[eE][rR]{2}[oO][rR])"")=FALSE,$H342&lt;&gt;"""",$I342&lt;&gt;""""),HYPERLINK(""https://www.munzee.com/m/""&amp;$H342&amp;""/""&amp;$I342&amp;""/map/?lat=""&amp;$D342&amp;""&amp;lon=""&amp;$E342&amp;""&amp;type=""&amp;$G342&amp;""&amp;name=""&amp;SUBSTITUTE($A342,""#"&amp;""",""%23""),$H342&amp;""/""&amp;$I342),IF($H342&lt;&gt;"""",IF(REGEXMATCH($H342,""50( ?['fF]([oO]{2})?[tT]?)?( ?[eE][rR]{2}[oO][rR])""),HYPERLINK(""https://www.munzee.com/map/?sandbox=1&amp;lat=""&amp;$D342&amp;""&amp;lon=""&amp;$E342&amp;""&amp;name=""&amp;SUBSTITUTE($A342,""#"",""%23""),""SANDBOX"""&amp;"),HYPERLINK(""https://www.munzee.com/m/""&amp;$H342&amp;""/deploys/0/type/""&amp;IFNA(VLOOKUP($G342,IMPORTRANGE(""https://docs.google.com/spreadsheets/d/1DliIGyDywdzxhd4svtjaewR0p9Y5UBTMNMQ2PcXsqss"",""type data!E2:F""),2,FALSE),$G342)&amp;""/"",$H342)),""""))"),"")</f>
        <v/>
      </c>
      <c r="K342" s="5" t="b">
        <v>0</v>
      </c>
      <c r="L342" s="7"/>
      <c r="M342" s="7"/>
    </row>
    <row r="343">
      <c r="A343" s="3" t="s">
        <v>500</v>
      </c>
      <c r="B343" s="3">
        <v>20.0</v>
      </c>
      <c r="C343" s="3">
        <v>7.0</v>
      </c>
      <c r="D343" s="4">
        <v>49.1892519927719</v>
      </c>
      <c r="E343" s="4">
        <v>-2.0959791882776</v>
      </c>
      <c r="F343" s="3" t="s">
        <v>329</v>
      </c>
      <c r="G343" s="3" t="s">
        <v>330</v>
      </c>
      <c r="H343" s="5"/>
      <c r="I343" s="5"/>
      <c r="J343" s="7" t="str">
        <f>IFERROR(__xludf.DUMMYFUNCTION("IF(AND(REGEXMATCH($H343,""50( ?['fF]([oO]{2})?[tT]?)?( ?[eE][rR]{2}[oO][rR])"")=FALSE,$H343&lt;&gt;"""",$I343&lt;&gt;""""),HYPERLINK(""https://www.munzee.com/m/""&amp;$H343&amp;""/""&amp;$I343&amp;""/map/?lat=""&amp;$D343&amp;""&amp;lon=""&amp;$E343&amp;""&amp;type=""&amp;$G343&amp;""&amp;name=""&amp;SUBSTITUTE($A343,""#"&amp;""",""%23""),$H343&amp;""/""&amp;$I343),IF($H343&lt;&gt;"""",IF(REGEXMATCH($H343,""50( ?['fF]([oO]{2})?[tT]?)?( ?[eE][rR]{2}[oO][rR])""),HYPERLINK(""https://www.munzee.com/map/?sandbox=1&amp;lat=""&amp;$D343&amp;""&amp;lon=""&amp;$E343&amp;""&amp;name=""&amp;SUBSTITUTE($A343,""#"",""%23""),""SANDBOX"""&amp;"),HYPERLINK(""https://www.munzee.com/m/""&amp;$H343&amp;""/deploys/0/type/""&amp;IFNA(VLOOKUP($G343,IMPORTRANGE(""https://docs.google.com/spreadsheets/d/1DliIGyDywdzxhd4svtjaewR0p9Y5UBTMNMQ2PcXsqss"",""type data!E2:F""),2,FALSE),$G343)&amp;""/"",$H343)),""""))"),"")</f>
        <v/>
      </c>
      <c r="K343" s="5" t="b">
        <v>0</v>
      </c>
      <c r="L343" s="7"/>
      <c r="M343" s="7"/>
    </row>
    <row r="344">
      <c r="A344" s="3" t="s">
        <v>501</v>
      </c>
      <c r="B344" s="3">
        <v>20.0</v>
      </c>
      <c r="C344" s="3">
        <v>8.0</v>
      </c>
      <c r="D344" s="4">
        <v>49.1891503598949</v>
      </c>
      <c r="E344" s="4">
        <v>-2.0958236827996</v>
      </c>
      <c r="F344" s="3" t="s">
        <v>385</v>
      </c>
      <c r="G344" s="3" t="s">
        <v>386</v>
      </c>
      <c r="H344" s="5"/>
      <c r="I344" s="5"/>
      <c r="J344" s="7" t="str">
        <f>IFERROR(__xludf.DUMMYFUNCTION("IF(AND(REGEXMATCH($H344,""50( ?['fF]([oO]{2})?[tT]?)?( ?[eE][rR]{2}[oO][rR])"")=FALSE,$H344&lt;&gt;"""",$I344&lt;&gt;""""),HYPERLINK(""https://www.munzee.com/m/""&amp;$H344&amp;""/""&amp;$I344&amp;""/map/?lat=""&amp;$D344&amp;""&amp;lon=""&amp;$E344&amp;""&amp;type=""&amp;$G344&amp;""&amp;name=""&amp;SUBSTITUTE($A344,""#"&amp;""",""%23""),$H344&amp;""/""&amp;$I344),IF($H344&lt;&gt;"""",IF(REGEXMATCH($H344,""50( ?['fF]([oO]{2})?[tT]?)?( ?[eE][rR]{2}[oO][rR])""),HYPERLINK(""https://www.munzee.com/map/?sandbox=1&amp;lat=""&amp;$D344&amp;""&amp;lon=""&amp;$E344&amp;""&amp;name=""&amp;SUBSTITUTE($A344,""#"",""%23""),""SANDBOX"""&amp;"),HYPERLINK(""https://www.munzee.com/m/""&amp;$H344&amp;""/deploys/0/type/""&amp;IFNA(VLOOKUP($G344,IMPORTRANGE(""https://docs.google.com/spreadsheets/d/1DliIGyDywdzxhd4svtjaewR0p9Y5UBTMNMQ2PcXsqss"",""type data!E2:F""),2,FALSE),$G344)&amp;""/"",$H344)),""""))"),"")</f>
        <v/>
      </c>
      <c r="K344" s="5" t="b">
        <v>0</v>
      </c>
      <c r="L344" s="7"/>
      <c r="M344" s="7"/>
    </row>
    <row r="345">
      <c r="A345" s="3" t="s">
        <v>502</v>
      </c>
      <c r="B345" s="3">
        <v>20.0</v>
      </c>
      <c r="C345" s="3">
        <v>9.0</v>
      </c>
      <c r="D345" s="4">
        <v>49.1890487270179</v>
      </c>
      <c r="E345" s="4">
        <v>-2.0956681776411</v>
      </c>
      <c r="F345" s="3" t="s">
        <v>385</v>
      </c>
      <c r="G345" s="3" t="s">
        <v>386</v>
      </c>
      <c r="H345" s="5" t="s">
        <v>503</v>
      </c>
      <c r="I345" s="5">
        <v>3330.0</v>
      </c>
      <c r="J345" s="6" t="str">
        <f>IFERROR(__xludf.DUMMYFUNCTION("IF(AND(REGEXMATCH($H345,""50( ?['fF]([oO]{2})?[tT]?)?( ?[eE][rR]{2}[oO][rR])"")=FALSE,$H345&lt;&gt;"""",$I345&lt;&gt;""""),HYPERLINK(""https://www.munzee.com/m/""&amp;$H345&amp;""/""&amp;$I345&amp;""/map/?lat=""&amp;$D345&amp;""&amp;lon=""&amp;$E345&amp;""&amp;type=""&amp;$G345&amp;""&amp;name=""&amp;SUBSTITUTE($A345,""#"&amp;""",""%23""),$H345&amp;""/""&amp;$I345),IF($H345&lt;&gt;"""",IF(REGEXMATCH($H345,""50( ?['fF]([oO]{2})?[tT]?)?( ?[eE][rR]{2}[oO][rR])""),HYPERLINK(""https://www.munzee.com/map/?sandbox=1&amp;lat=""&amp;$D345&amp;""&amp;lon=""&amp;$E345&amp;""&amp;name=""&amp;SUBSTITUTE($A345,""#"",""%23""),""SANDBOX"""&amp;"),HYPERLINK(""https://www.munzee.com/m/""&amp;$H345&amp;""/deploys/0/type/""&amp;IFNA(VLOOKUP($G345,IMPORTRANGE(""https://docs.google.com/spreadsheets/d/1DliIGyDywdzxhd4svtjaewR0p9Y5UBTMNMQ2PcXsqss"",""type data!E2:F""),2,FALSE),$G345)&amp;""/"",$H345)),""""))"),"Bearmomscouter/3330")</f>
        <v>Bearmomscouter/3330</v>
      </c>
      <c r="K345" s="5" t="b">
        <v>1</v>
      </c>
      <c r="L345" s="5"/>
      <c r="M345" s="7"/>
    </row>
    <row r="346">
      <c r="A346" s="3" t="s">
        <v>504</v>
      </c>
      <c r="B346" s="3">
        <v>20.0</v>
      </c>
      <c r="C346" s="3">
        <v>10.0</v>
      </c>
      <c r="D346" s="4">
        <v>49.1889470941408</v>
      </c>
      <c r="E346" s="4">
        <v>-2.095512672802</v>
      </c>
      <c r="F346" s="3" t="s">
        <v>476</v>
      </c>
      <c r="G346" s="3" t="s">
        <v>477</v>
      </c>
      <c r="H346" s="5"/>
      <c r="I346" s="5"/>
      <c r="J346" s="7" t="str">
        <f>IFERROR(__xludf.DUMMYFUNCTION("IF(AND(REGEXMATCH($H346,""50( ?['fF]([oO]{2})?[tT]?)?( ?[eE][rR]{2}[oO][rR])"")=FALSE,$H346&lt;&gt;"""",$I346&lt;&gt;""""),HYPERLINK(""https://www.munzee.com/m/""&amp;$H346&amp;""/""&amp;$I346&amp;""/map/?lat=""&amp;$D346&amp;""&amp;lon=""&amp;$E346&amp;""&amp;type=""&amp;$G346&amp;""&amp;name=""&amp;SUBSTITUTE($A346,""#"&amp;""",""%23""),$H346&amp;""/""&amp;$I346),IF($H346&lt;&gt;"""",IF(REGEXMATCH($H346,""50( ?['fF]([oO]{2})?[tT]?)?( ?[eE][rR]{2}[oO][rR])""),HYPERLINK(""https://www.munzee.com/map/?sandbox=1&amp;lat=""&amp;$D346&amp;""&amp;lon=""&amp;$E346&amp;""&amp;name=""&amp;SUBSTITUTE($A346,""#"",""%23""),""SANDBOX"""&amp;"),HYPERLINK(""https://www.munzee.com/m/""&amp;$H346&amp;""/deploys/0/type/""&amp;IFNA(VLOOKUP($G346,IMPORTRANGE(""https://docs.google.com/spreadsheets/d/1DliIGyDywdzxhd4svtjaewR0p9Y5UBTMNMQ2PcXsqss"",""type data!E2:F""),2,FALSE),$G346)&amp;""/"",$H346)),""""))"),"")</f>
        <v/>
      </c>
      <c r="K346" s="5" t="b">
        <v>0</v>
      </c>
      <c r="L346" s="7"/>
      <c r="M346" s="7"/>
    </row>
    <row r="347">
      <c r="A347" s="3" t="s">
        <v>505</v>
      </c>
      <c r="B347" s="3">
        <v>20.0</v>
      </c>
      <c r="C347" s="3">
        <v>11.0</v>
      </c>
      <c r="D347" s="4">
        <v>49.1888454612638</v>
      </c>
      <c r="E347" s="4">
        <v>-2.0953571682822</v>
      </c>
      <c r="F347" s="3" t="s">
        <v>453</v>
      </c>
      <c r="G347" s="3" t="s">
        <v>454</v>
      </c>
      <c r="H347" s="5"/>
      <c r="I347" s="5"/>
      <c r="J347" s="7" t="str">
        <f>IFERROR(__xludf.DUMMYFUNCTION("IF(AND(REGEXMATCH($H347,""50( ?['fF]([oO]{2})?[tT]?)?( ?[eE][rR]{2}[oO][rR])"")=FALSE,$H347&lt;&gt;"""",$I347&lt;&gt;""""),HYPERLINK(""https://www.munzee.com/m/""&amp;$H347&amp;""/""&amp;$I347&amp;""/map/?lat=""&amp;$D347&amp;""&amp;lon=""&amp;$E347&amp;""&amp;type=""&amp;$G347&amp;""&amp;name=""&amp;SUBSTITUTE($A347,""#"&amp;""",""%23""),$H347&amp;""/""&amp;$I347),IF($H347&lt;&gt;"""",IF(REGEXMATCH($H347,""50( ?['fF]([oO]{2})?[tT]?)?( ?[eE][rR]{2}[oO][rR])""),HYPERLINK(""https://www.munzee.com/map/?sandbox=1&amp;lat=""&amp;$D347&amp;""&amp;lon=""&amp;$E347&amp;""&amp;name=""&amp;SUBSTITUTE($A347,""#"",""%23""),""SANDBOX"""&amp;"),HYPERLINK(""https://www.munzee.com/m/""&amp;$H347&amp;""/deploys/0/type/""&amp;IFNA(VLOOKUP($G347,IMPORTRANGE(""https://docs.google.com/spreadsheets/d/1DliIGyDywdzxhd4svtjaewR0p9Y5UBTMNMQ2PcXsqss"",""type data!E2:F""),2,FALSE),$G347)&amp;""/"",$H347)),""""))"),"")</f>
        <v/>
      </c>
      <c r="K347" s="5" t="b">
        <v>0</v>
      </c>
      <c r="L347" s="7"/>
      <c r="M347" s="7"/>
    </row>
    <row r="348">
      <c r="A348" s="3" t="s">
        <v>506</v>
      </c>
      <c r="B348" s="3">
        <v>20.0</v>
      </c>
      <c r="C348" s="3">
        <v>12.0</v>
      </c>
      <c r="D348" s="4">
        <v>49.1887438283868</v>
      </c>
      <c r="E348" s="4">
        <v>-2.095201664082</v>
      </c>
      <c r="F348" s="3" t="s">
        <v>366</v>
      </c>
      <c r="G348" s="3" t="s">
        <v>367</v>
      </c>
      <c r="H348" s="5"/>
      <c r="I348" s="5"/>
      <c r="J348" s="7" t="str">
        <f>IFERROR(__xludf.DUMMYFUNCTION("IF(AND(REGEXMATCH($H348,""50( ?['fF]([oO]{2})?[tT]?)?( ?[eE][rR]{2}[oO][rR])"")=FALSE,$H348&lt;&gt;"""",$I348&lt;&gt;""""),HYPERLINK(""https://www.munzee.com/m/""&amp;$H348&amp;""/""&amp;$I348&amp;""/map/?lat=""&amp;$D348&amp;""&amp;lon=""&amp;$E348&amp;""&amp;type=""&amp;$G348&amp;""&amp;name=""&amp;SUBSTITUTE($A348,""#"&amp;""",""%23""),$H348&amp;""/""&amp;$I348),IF($H348&lt;&gt;"""",IF(REGEXMATCH($H348,""50( ?['fF]([oO]{2})?[tT]?)?( ?[eE][rR]{2}[oO][rR])""),HYPERLINK(""https://www.munzee.com/map/?sandbox=1&amp;lat=""&amp;$D348&amp;""&amp;lon=""&amp;$E348&amp;""&amp;name=""&amp;SUBSTITUTE($A348,""#"",""%23""),""SANDBOX"""&amp;"),HYPERLINK(""https://www.munzee.com/m/""&amp;$H348&amp;""/deploys/0/type/""&amp;IFNA(VLOOKUP($G348,IMPORTRANGE(""https://docs.google.com/spreadsheets/d/1DliIGyDywdzxhd4svtjaewR0p9Y5UBTMNMQ2PcXsqss"",""type data!E2:F""),2,FALSE),$G348)&amp;""/"",$H348)),""""))"),"")</f>
        <v/>
      </c>
      <c r="K348" s="5" t="b">
        <v>0</v>
      </c>
      <c r="L348" s="7"/>
      <c r="M348" s="7"/>
    </row>
    <row r="349">
      <c r="A349" s="3" t="s">
        <v>507</v>
      </c>
      <c r="B349" s="3">
        <v>20.0</v>
      </c>
      <c r="C349" s="3">
        <v>13.0</v>
      </c>
      <c r="D349" s="4">
        <v>49.1886421955097</v>
      </c>
      <c r="E349" s="4">
        <v>-2.0950461602012</v>
      </c>
      <c r="F349" s="3" t="s">
        <v>366</v>
      </c>
      <c r="G349" s="3" t="s">
        <v>367</v>
      </c>
      <c r="H349" s="5"/>
      <c r="I349" s="5"/>
      <c r="J349" s="7" t="str">
        <f>IFERROR(__xludf.DUMMYFUNCTION("IF(AND(REGEXMATCH($H349,""50( ?['fF]([oO]{2})?[tT]?)?( ?[eE][rR]{2}[oO][rR])"")=FALSE,$H349&lt;&gt;"""",$I349&lt;&gt;""""),HYPERLINK(""https://www.munzee.com/m/""&amp;$H349&amp;""/""&amp;$I349&amp;""/map/?lat=""&amp;$D349&amp;""&amp;lon=""&amp;$E349&amp;""&amp;type=""&amp;$G349&amp;""&amp;name=""&amp;SUBSTITUTE($A349,""#"&amp;""",""%23""),$H349&amp;""/""&amp;$I349),IF($H349&lt;&gt;"""",IF(REGEXMATCH($H349,""50( ?['fF]([oO]{2})?[tT]?)?( ?[eE][rR]{2}[oO][rR])""),HYPERLINK(""https://www.munzee.com/map/?sandbox=1&amp;lat=""&amp;$D349&amp;""&amp;lon=""&amp;$E349&amp;""&amp;name=""&amp;SUBSTITUTE($A349,""#"",""%23""),""SANDBOX"""&amp;"),HYPERLINK(""https://www.munzee.com/m/""&amp;$H349&amp;""/deploys/0/type/""&amp;IFNA(VLOOKUP($G349,IMPORTRANGE(""https://docs.google.com/spreadsheets/d/1DliIGyDywdzxhd4svtjaewR0p9Y5UBTMNMQ2PcXsqss"",""type data!E2:F""),2,FALSE),$G349)&amp;""/"",$H349)),""""))"),"")</f>
        <v/>
      </c>
      <c r="K349" s="5" t="b">
        <v>0</v>
      </c>
      <c r="L349" s="7"/>
      <c r="M349" s="7"/>
    </row>
    <row r="350">
      <c r="A350" s="3" t="s">
        <v>508</v>
      </c>
      <c r="B350" s="3">
        <v>20.0</v>
      </c>
      <c r="C350" s="3">
        <v>14.0</v>
      </c>
      <c r="D350" s="4">
        <v>49.1885405626327</v>
      </c>
      <c r="E350" s="4">
        <v>-2.0948906566398</v>
      </c>
      <c r="F350" s="3" t="s">
        <v>366</v>
      </c>
      <c r="G350" s="3" t="s">
        <v>367</v>
      </c>
      <c r="H350" s="5"/>
      <c r="I350" s="5"/>
      <c r="J350" s="7" t="str">
        <f>IFERROR(__xludf.DUMMYFUNCTION("IF(AND(REGEXMATCH($H350,""50( ?['fF]([oO]{2})?[tT]?)?( ?[eE][rR]{2}[oO][rR])"")=FALSE,$H350&lt;&gt;"""",$I350&lt;&gt;""""),HYPERLINK(""https://www.munzee.com/m/""&amp;$H350&amp;""/""&amp;$I350&amp;""/map/?lat=""&amp;$D350&amp;""&amp;lon=""&amp;$E350&amp;""&amp;type=""&amp;$G350&amp;""&amp;name=""&amp;SUBSTITUTE($A350,""#"&amp;""",""%23""),$H350&amp;""/""&amp;$I350),IF($H350&lt;&gt;"""",IF(REGEXMATCH($H350,""50( ?['fF]([oO]{2})?[tT]?)?( ?[eE][rR]{2}[oO][rR])""),HYPERLINK(""https://www.munzee.com/map/?sandbox=1&amp;lat=""&amp;$D350&amp;""&amp;lon=""&amp;$E350&amp;""&amp;name=""&amp;SUBSTITUTE($A350,""#"",""%23""),""SANDBOX"""&amp;"),HYPERLINK(""https://www.munzee.com/m/""&amp;$H350&amp;""/deploys/0/type/""&amp;IFNA(VLOOKUP($G350,IMPORTRANGE(""https://docs.google.com/spreadsheets/d/1DliIGyDywdzxhd4svtjaewR0p9Y5UBTMNMQ2PcXsqss"",""type data!E2:F""),2,FALSE),$G350)&amp;""/"",$H350)),""""))"),"")</f>
        <v/>
      </c>
      <c r="K350" s="5" t="b">
        <v>0</v>
      </c>
      <c r="L350" s="7"/>
      <c r="M350" s="7"/>
    </row>
    <row r="351">
      <c r="A351" s="3" t="s">
        <v>509</v>
      </c>
      <c r="B351" s="3">
        <v>20.0</v>
      </c>
      <c r="C351" s="3">
        <v>15.0</v>
      </c>
      <c r="D351" s="4">
        <v>49.1884389297557</v>
      </c>
      <c r="E351" s="4">
        <v>-2.0947351533978</v>
      </c>
      <c r="F351" s="3" t="s">
        <v>366</v>
      </c>
      <c r="G351" s="3" t="s">
        <v>367</v>
      </c>
      <c r="H351" s="5"/>
      <c r="I351" s="5"/>
      <c r="J351" s="7" t="str">
        <f>IFERROR(__xludf.DUMMYFUNCTION("IF(AND(REGEXMATCH($H351,""50( ?['fF]([oO]{2})?[tT]?)?( ?[eE][rR]{2}[oO][rR])"")=FALSE,$H351&lt;&gt;"""",$I351&lt;&gt;""""),HYPERLINK(""https://www.munzee.com/m/""&amp;$H351&amp;""/""&amp;$I351&amp;""/map/?lat=""&amp;$D351&amp;""&amp;lon=""&amp;$E351&amp;""&amp;type=""&amp;$G351&amp;""&amp;name=""&amp;SUBSTITUTE($A351,""#"&amp;""",""%23""),$H351&amp;""/""&amp;$I351),IF($H351&lt;&gt;"""",IF(REGEXMATCH($H351,""50( ?['fF]([oO]{2})?[tT]?)?( ?[eE][rR]{2}[oO][rR])""),HYPERLINK(""https://www.munzee.com/map/?sandbox=1&amp;lat=""&amp;$D351&amp;""&amp;lon=""&amp;$E351&amp;""&amp;name=""&amp;SUBSTITUTE($A351,""#"",""%23""),""SANDBOX"""&amp;"),HYPERLINK(""https://www.munzee.com/m/""&amp;$H351&amp;""/deploys/0/type/""&amp;IFNA(VLOOKUP($G351,IMPORTRANGE(""https://docs.google.com/spreadsheets/d/1DliIGyDywdzxhd4svtjaewR0p9Y5UBTMNMQ2PcXsqss"",""type data!E2:F""),2,FALSE),$G351)&amp;""/"",$H351)),""""))"),"")</f>
        <v/>
      </c>
      <c r="K351" s="5" t="b">
        <v>0</v>
      </c>
      <c r="L351" s="7"/>
      <c r="M351" s="7"/>
    </row>
    <row r="352">
      <c r="A352" s="3" t="s">
        <v>510</v>
      </c>
      <c r="B352" s="3">
        <v>20.0</v>
      </c>
      <c r="C352" s="3">
        <v>16.0</v>
      </c>
      <c r="D352" s="4">
        <v>49.1883372968786</v>
      </c>
      <c r="E352" s="4">
        <v>-2.0945796504752</v>
      </c>
      <c r="F352" s="3" t="s">
        <v>366</v>
      </c>
      <c r="G352" s="3" t="s">
        <v>367</v>
      </c>
      <c r="H352" s="5"/>
      <c r="I352" s="5"/>
      <c r="J352" s="7" t="str">
        <f>IFERROR(__xludf.DUMMYFUNCTION("IF(AND(REGEXMATCH($H352,""50( ?['fF]([oO]{2})?[tT]?)?( ?[eE][rR]{2}[oO][rR])"")=FALSE,$H352&lt;&gt;"""",$I352&lt;&gt;""""),HYPERLINK(""https://www.munzee.com/m/""&amp;$H352&amp;""/""&amp;$I352&amp;""/map/?lat=""&amp;$D352&amp;""&amp;lon=""&amp;$E352&amp;""&amp;type=""&amp;$G352&amp;""&amp;name=""&amp;SUBSTITUTE($A352,""#"&amp;""",""%23""),$H352&amp;""/""&amp;$I352),IF($H352&lt;&gt;"""",IF(REGEXMATCH($H352,""50( ?['fF]([oO]{2})?[tT]?)?( ?[eE][rR]{2}[oO][rR])""),HYPERLINK(""https://www.munzee.com/map/?sandbox=1&amp;lat=""&amp;$D352&amp;""&amp;lon=""&amp;$E352&amp;""&amp;name=""&amp;SUBSTITUTE($A352,""#"",""%23""),""SANDBOX"""&amp;"),HYPERLINK(""https://www.munzee.com/m/""&amp;$H352&amp;""/deploys/0/type/""&amp;IFNA(VLOOKUP($G352,IMPORTRANGE(""https://docs.google.com/spreadsheets/d/1DliIGyDywdzxhd4svtjaewR0p9Y5UBTMNMQ2PcXsqss"",""type data!E2:F""),2,FALSE),$G352)&amp;""/"",$H352)),""""))"),"")</f>
        <v/>
      </c>
      <c r="K352" s="5" t="b">
        <v>0</v>
      </c>
      <c r="L352" s="7"/>
      <c r="M352" s="7"/>
    </row>
    <row r="353">
      <c r="A353" s="3" t="s">
        <v>511</v>
      </c>
      <c r="B353" s="3">
        <v>20.0</v>
      </c>
      <c r="C353" s="3">
        <v>17.0</v>
      </c>
      <c r="D353" s="4">
        <v>49.1882356640016</v>
      </c>
      <c r="E353" s="4">
        <v>-2.0944241478721</v>
      </c>
      <c r="F353" s="3" t="s">
        <v>296</v>
      </c>
      <c r="G353" s="3" t="s">
        <v>297</v>
      </c>
      <c r="H353" s="5" t="s">
        <v>512</v>
      </c>
      <c r="I353" s="5">
        <v>1477.0</v>
      </c>
      <c r="J353" s="6" t="str">
        <f>IFERROR(__xludf.DUMMYFUNCTION("IF(AND(REGEXMATCH($H353,""50( ?['fF]([oO]{2})?[tT]?)?( ?[eE][rR]{2}[oO][rR])"")=FALSE,$H353&lt;&gt;"""",$I353&lt;&gt;""""),HYPERLINK(""https://www.munzee.com/m/""&amp;$H353&amp;""/""&amp;$I353&amp;""/map/?lat=""&amp;$D353&amp;""&amp;lon=""&amp;$E353&amp;""&amp;type=""&amp;$G353&amp;""&amp;name=""&amp;SUBSTITUTE($A353,""#"&amp;""",""%23""),$H353&amp;""/""&amp;$I353),IF($H353&lt;&gt;"""",IF(REGEXMATCH($H353,""50( ?['fF]([oO]{2})?[tT]?)?( ?[eE][rR]{2}[oO][rR])""),HYPERLINK(""https://www.munzee.com/map/?sandbox=1&amp;lat=""&amp;$D353&amp;""&amp;lon=""&amp;$E353&amp;""&amp;name=""&amp;SUBSTITUTE($A353,""#"",""%23""),""SANDBOX"""&amp;"),HYPERLINK(""https://www.munzee.com/m/""&amp;$H353&amp;""/deploys/0/type/""&amp;IFNA(VLOOKUP($G353,IMPORTRANGE(""https://docs.google.com/spreadsheets/d/1DliIGyDywdzxhd4svtjaewR0p9Y5UBTMNMQ2PcXsqss"",""type data!E2:F""),2,FALSE),$G353)&amp;""/"",$H353)),""""))"),"kellyat9/1477")</f>
        <v>kellyat9/1477</v>
      </c>
      <c r="K353" s="5" t="b">
        <v>1</v>
      </c>
      <c r="L353" s="7"/>
      <c r="M353" s="7"/>
    </row>
    <row r="354">
      <c r="A354" s="3" t="s">
        <v>513</v>
      </c>
      <c r="B354" s="3">
        <v>20.0</v>
      </c>
      <c r="C354" s="3">
        <v>18.0</v>
      </c>
      <c r="D354" s="4">
        <v>49.1881340311246</v>
      </c>
      <c r="E354" s="4">
        <v>-2.0942686455885</v>
      </c>
      <c r="F354" s="3" t="s">
        <v>296</v>
      </c>
      <c r="G354" s="3" t="s">
        <v>297</v>
      </c>
      <c r="H354" s="5"/>
      <c r="I354" s="5"/>
      <c r="J354" s="7" t="str">
        <f>IFERROR(__xludf.DUMMYFUNCTION("IF(AND(REGEXMATCH($H354,""50( ?['fF]([oO]{2})?[tT]?)?( ?[eE][rR]{2}[oO][rR])"")=FALSE,$H354&lt;&gt;"""",$I354&lt;&gt;""""),HYPERLINK(""https://www.munzee.com/m/""&amp;$H354&amp;""/""&amp;$I354&amp;""/map/?lat=""&amp;$D354&amp;""&amp;lon=""&amp;$E354&amp;""&amp;type=""&amp;$G354&amp;""&amp;name=""&amp;SUBSTITUTE($A354,""#"&amp;""",""%23""),$H354&amp;""/""&amp;$I354),IF($H354&lt;&gt;"""",IF(REGEXMATCH($H354,""50( ?['fF]([oO]{2})?[tT]?)?( ?[eE][rR]{2}[oO][rR])""),HYPERLINK(""https://www.munzee.com/map/?sandbox=1&amp;lat=""&amp;$D354&amp;""&amp;lon=""&amp;$E354&amp;""&amp;name=""&amp;SUBSTITUTE($A354,""#"",""%23""),""SANDBOX"""&amp;"),HYPERLINK(""https://www.munzee.com/m/""&amp;$H354&amp;""/deploys/0/type/""&amp;IFNA(VLOOKUP($G354,IMPORTRANGE(""https://docs.google.com/spreadsheets/d/1DliIGyDywdzxhd4svtjaewR0p9Y5UBTMNMQ2PcXsqss"",""type data!E2:F""),2,FALSE),$G354)&amp;""/"",$H354)),""""))"),"")</f>
        <v/>
      </c>
      <c r="K354" s="5" t="b">
        <v>0</v>
      </c>
      <c r="L354" s="7"/>
      <c r="M354" s="7"/>
    </row>
    <row r="355">
      <c r="A355" s="3" t="s">
        <v>514</v>
      </c>
      <c r="B355" s="3">
        <v>20.0</v>
      </c>
      <c r="C355" s="3">
        <v>19.0</v>
      </c>
      <c r="D355" s="4">
        <v>49.1880323982475</v>
      </c>
      <c r="E355" s="4">
        <v>-2.0941131436242</v>
      </c>
      <c r="F355" s="3" t="s">
        <v>296</v>
      </c>
      <c r="G355" s="3" t="s">
        <v>297</v>
      </c>
      <c r="H355" s="5"/>
      <c r="I355" s="5"/>
      <c r="J355" s="7" t="str">
        <f>IFERROR(__xludf.DUMMYFUNCTION("IF(AND(REGEXMATCH($H355,""50( ?['fF]([oO]{2})?[tT]?)?( ?[eE][rR]{2}[oO][rR])"")=FALSE,$H355&lt;&gt;"""",$I355&lt;&gt;""""),HYPERLINK(""https://www.munzee.com/m/""&amp;$H355&amp;""/""&amp;$I355&amp;""/map/?lat=""&amp;$D355&amp;""&amp;lon=""&amp;$E355&amp;""&amp;type=""&amp;$G355&amp;""&amp;name=""&amp;SUBSTITUTE($A355,""#"&amp;""",""%23""),$H355&amp;""/""&amp;$I355),IF($H355&lt;&gt;"""",IF(REGEXMATCH($H355,""50( ?['fF]([oO]{2})?[tT]?)?( ?[eE][rR]{2}[oO][rR])""),HYPERLINK(""https://www.munzee.com/map/?sandbox=1&amp;lat=""&amp;$D355&amp;""&amp;lon=""&amp;$E355&amp;""&amp;name=""&amp;SUBSTITUTE($A355,""#"",""%23""),""SANDBOX"""&amp;"),HYPERLINK(""https://www.munzee.com/m/""&amp;$H355&amp;""/deploys/0/type/""&amp;IFNA(VLOOKUP($G355,IMPORTRANGE(""https://docs.google.com/spreadsheets/d/1DliIGyDywdzxhd4svtjaewR0p9Y5UBTMNMQ2PcXsqss"",""type data!E2:F""),2,FALSE),$G355)&amp;""/"",$H355)),""""))"),"")</f>
        <v/>
      </c>
      <c r="K355" s="5" t="b">
        <v>0</v>
      </c>
      <c r="L355" s="7"/>
      <c r="M355" s="7"/>
    </row>
    <row r="356">
      <c r="A356" s="3" t="s">
        <v>515</v>
      </c>
      <c r="B356" s="3">
        <v>20.0</v>
      </c>
      <c r="C356" s="3">
        <v>20.0</v>
      </c>
      <c r="D356" s="4">
        <v>49.1879307653705</v>
      </c>
      <c r="E356" s="4">
        <v>-2.0939576419794</v>
      </c>
      <c r="F356" s="3" t="s">
        <v>296</v>
      </c>
      <c r="G356" s="3" t="s">
        <v>297</v>
      </c>
      <c r="H356" s="5" t="s">
        <v>512</v>
      </c>
      <c r="I356" s="5">
        <v>1598.0</v>
      </c>
      <c r="J356" s="6" t="str">
        <f>IFERROR(__xludf.DUMMYFUNCTION("IF(AND(REGEXMATCH($H356,""50( ?['fF]([oO]{2})?[tT]?)?( ?[eE][rR]{2}[oO][rR])"")=FALSE,$H356&lt;&gt;"""",$I356&lt;&gt;""""),HYPERLINK(""https://www.munzee.com/m/""&amp;$H356&amp;""/""&amp;$I356&amp;""/map/?lat=""&amp;$D356&amp;""&amp;lon=""&amp;$E356&amp;""&amp;type=""&amp;$G356&amp;""&amp;name=""&amp;SUBSTITUTE($A356,""#"&amp;""",""%23""),$H356&amp;""/""&amp;$I356),IF($H356&lt;&gt;"""",IF(REGEXMATCH($H356,""50( ?['fF]([oO]{2})?[tT]?)?( ?[eE][rR]{2}[oO][rR])""),HYPERLINK(""https://www.munzee.com/map/?sandbox=1&amp;lat=""&amp;$D356&amp;""&amp;lon=""&amp;$E356&amp;""&amp;name=""&amp;SUBSTITUTE($A356,""#"",""%23""),""SANDBOX"""&amp;"),HYPERLINK(""https://www.munzee.com/m/""&amp;$H356&amp;""/deploys/0/type/""&amp;IFNA(VLOOKUP($G356,IMPORTRANGE(""https://docs.google.com/spreadsheets/d/1DliIGyDywdzxhd4svtjaewR0p9Y5UBTMNMQ2PcXsqss"",""type data!E2:F""),2,FALSE),$G356)&amp;""/"",$H356)),""""))"),"kellyat9/1598")</f>
        <v>kellyat9/1598</v>
      </c>
      <c r="K356" s="5" t="b">
        <v>1</v>
      </c>
      <c r="L356" s="7"/>
      <c r="M356" s="7"/>
    </row>
    <row r="357">
      <c r="A357" s="3" t="s">
        <v>516</v>
      </c>
      <c r="B357" s="3">
        <v>20.0</v>
      </c>
      <c r="C357" s="3">
        <v>21.0</v>
      </c>
      <c r="D357" s="4">
        <v>49.1878291324935</v>
      </c>
      <c r="E357" s="4">
        <v>-2.0938021406539</v>
      </c>
      <c r="F357" s="3" t="s">
        <v>296</v>
      </c>
      <c r="G357" s="3" t="s">
        <v>297</v>
      </c>
      <c r="H357" s="5" t="s">
        <v>306</v>
      </c>
      <c r="I357" s="5">
        <v>3433.0</v>
      </c>
      <c r="J357" s="6" t="str">
        <f>IFERROR(__xludf.DUMMYFUNCTION("IF(AND(REGEXMATCH($H357,""50( ?['fF]([oO]{2})?[tT]?)?( ?[eE][rR]{2}[oO][rR])"")=FALSE,$H357&lt;&gt;"""",$I357&lt;&gt;""""),HYPERLINK(""https://www.munzee.com/m/""&amp;$H357&amp;""/""&amp;$I357&amp;""/map/?lat=""&amp;$D357&amp;""&amp;lon=""&amp;$E357&amp;""&amp;type=""&amp;$G357&amp;""&amp;name=""&amp;SUBSTITUTE($A357,""#"&amp;""",""%23""),$H357&amp;""/""&amp;$I357),IF($H357&lt;&gt;"""",IF(REGEXMATCH($H357,""50( ?['fF]([oO]{2})?[tT]?)?( ?[eE][rR]{2}[oO][rR])""),HYPERLINK(""https://www.munzee.com/map/?sandbox=1&amp;lat=""&amp;$D357&amp;""&amp;lon=""&amp;$E357&amp;""&amp;name=""&amp;SUBSTITUTE($A357,""#"",""%23""),""SANDBOX"""&amp;"),HYPERLINK(""https://www.munzee.com/m/""&amp;$H357&amp;""/deploys/0/type/""&amp;IFNA(VLOOKUP($G357,IMPORTRANGE(""https://docs.google.com/spreadsheets/d/1DliIGyDywdzxhd4svtjaewR0p9Y5UBTMNMQ2PcXsqss"",""type data!E2:F""),2,FALSE),$G357)&amp;""/"",$H357)),""""))"),"Bisquick2/3433")</f>
        <v>Bisquick2/3433</v>
      </c>
      <c r="K357" s="5" t="b">
        <v>1</v>
      </c>
      <c r="L357" s="7"/>
      <c r="M357" s="7"/>
    </row>
    <row r="358">
      <c r="A358" s="3" t="s">
        <v>517</v>
      </c>
      <c r="B358" s="3">
        <v>20.0</v>
      </c>
      <c r="C358" s="3">
        <v>22.0</v>
      </c>
      <c r="D358" s="4">
        <v>49.1877274996164</v>
      </c>
      <c r="E358" s="4">
        <v>-2.0936466396479</v>
      </c>
      <c r="F358" s="3" t="s">
        <v>518</v>
      </c>
      <c r="G358" s="3" t="s">
        <v>519</v>
      </c>
      <c r="H358" s="5"/>
      <c r="I358" s="5"/>
      <c r="J358" s="7" t="str">
        <f>IFERROR(__xludf.DUMMYFUNCTION("IF(AND(REGEXMATCH($H358,""50( ?['fF]([oO]{2})?[tT]?)?( ?[eE][rR]{2}[oO][rR])"")=FALSE,$H358&lt;&gt;"""",$I358&lt;&gt;""""),HYPERLINK(""https://www.munzee.com/m/""&amp;$H358&amp;""/""&amp;$I358&amp;""/map/?lat=""&amp;$D358&amp;""&amp;lon=""&amp;$E358&amp;""&amp;type=""&amp;$G358&amp;""&amp;name=""&amp;SUBSTITUTE($A358,""#"&amp;""",""%23""),$H358&amp;""/""&amp;$I358),IF($H358&lt;&gt;"""",IF(REGEXMATCH($H358,""50( ?['fF]([oO]{2})?[tT]?)?( ?[eE][rR]{2}[oO][rR])""),HYPERLINK(""https://www.munzee.com/map/?sandbox=1&amp;lat=""&amp;$D358&amp;""&amp;lon=""&amp;$E358&amp;""&amp;name=""&amp;SUBSTITUTE($A358,""#"",""%23""),""SANDBOX"""&amp;"),HYPERLINK(""https://www.munzee.com/m/""&amp;$H358&amp;""/deploys/0/type/""&amp;IFNA(VLOOKUP($G358,IMPORTRANGE(""https://docs.google.com/spreadsheets/d/1DliIGyDywdzxhd4svtjaewR0p9Y5UBTMNMQ2PcXsqss"",""type data!E2:F""),2,FALSE),$G358)&amp;""/"",$H358)),""""))"),"")</f>
        <v/>
      </c>
      <c r="K358" s="5" t="b">
        <v>0</v>
      </c>
      <c r="L358" s="7"/>
      <c r="M358" s="7"/>
    </row>
    <row r="359">
      <c r="A359" s="3" t="s">
        <v>520</v>
      </c>
      <c r="B359" s="3">
        <v>20.0</v>
      </c>
      <c r="C359" s="3">
        <v>23.0</v>
      </c>
      <c r="D359" s="4">
        <v>49.1876258667394</v>
      </c>
      <c r="E359" s="4">
        <v>-2.0934911389613</v>
      </c>
      <c r="F359" s="3" t="s">
        <v>521</v>
      </c>
      <c r="G359" s="3" t="s">
        <v>522</v>
      </c>
      <c r="H359" s="5"/>
      <c r="I359" s="5"/>
      <c r="J359" s="7" t="str">
        <f>IFERROR(__xludf.DUMMYFUNCTION("IF(AND(REGEXMATCH($H359,""50( ?['fF]([oO]{2})?[tT]?)?( ?[eE][rR]{2}[oO][rR])"")=FALSE,$H359&lt;&gt;"""",$I359&lt;&gt;""""),HYPERLINK(""https://www.munzee.com/m/""&amp;$H359&amp;""/""&amp;$I359&amp;""/map/?lat=""&amp;$D359&amp;""&amp;lon=""&amp;$E359&amp;""&amp;type=""&amp;$G359&amp;""&amp;name=""&amp;SUBSTITUTE($A359,""#"&amp;""",""%23""),$H359&amp;""/""&amp;$I359),IF($H359&lt;&gt;"""",IF(REGEXMATCH($H359,""50( ?['fF]([oO]{2})?[tT]?)?( ?[eE][rR]{2}[oO][rR])""),HYPERLINK(""https://www.munzee.com/map/?sandbox=1&amp;lat=""&amp;$D359&amp;""&amp;lon=""&amp;$E359&amp;""&amp;name=""&amp;SUBSTITUTE($A359,""#"",""%23""),""SANDBOX"""&amp;"),HYPERLINK(""https://www.munzee.com/m/""&amp;$H359&amp;""/deploys/0/type/""&amp;IFNA(VLOOKUP($G359,IMPORTRANGE(""https://docs.google.com/spreadsheets/d/1DliIGyDywdzxhd4svtjaewR0p9Y5UBTMNMQ2PcXsqss"",""type data!E2:F""),2,FALSE),$G359)&amp;""/"",$H359)),""""))"),"")</f>
        <v/>
      </c>
      <c r="K359" s="5" t="b">
        <v>0</v>
      </c>
      <c r="L359" s="7"/>
      <c r="M359" s="7"/>
    </row>
    <row r="360">
      <c r="A360" s="3" t="s">
        <v>523</v>
      </c>
      <c r="B360" s="3">
        <v>20.0</v>
      </c>
      <c r="C360" s="3">
        <v>24.0</v>
      </c>
      <c r="D360" s="4">
        <v>49.1875242338624</v>
      </c>
      <c r="E360" s="4">
        <v>-2.0933356385941</v>
      </c>
      <c r="F360" s="3" t="s">
        <v>385</v>
      </c>
      <c r="G360" s="3" t="s">
        <v>386</v>
      </c>
      <c r="H360" s="5"/>
      <c r="I360" s="5"/>
      <c r="J360" s="7" t="str">
        <f>IFERROR(__xludf.DUMMYFUNCTION("IF(AND(REGEXMATCH($H360,""50( ?['fF]([oO]{2})?[tT]?)?( ?[eE][rR]{2}[oO][rR])"")=FALSE,$H360&lt;&gt;"""",$I360&lt;&gt;""""),HYPERLINK(""https://www.munzee.com/m/""&amp;$H360&amp;""/""&amp;$I360&amp;""/map/?lat=""&amp;$D360&amp;""&amp;lon=""&amp;$E360&amp;""&amp;type=""&amp;$G360&amp;""&amp;name=""&amp;SUBSTITUTE($A360,""#"&amp;""",""%23""),$H360&amp;""/""&amp;$I360),IF($H360&lt;&gt;"""",IF(REGEXMATCH($H360,""50( ?['fF]([oO]{2})?[tT]?)?( ?[eE][rR]{2}[oO][rR])""),HYPERLINK(""https://www.munzee.com/map/?sandbox=1&amp;lat=""&amp;$D360&amp;""&amp;lon=""&amp;$E360&amp;""&amp;name=""&amp;SUBSTITUTE($A360,""#"",""%23""),""SANDBOX"""&amp;"),HYPERLINK(""https://www.munzee.com/m/""&amp;$H360&amp;""/deploys/0/type/""&amp;IFNA(VLOOKUP($G360,IMPORTRANGE(""https://docs.google.com/spreadsheets/d/1DliIGyDywdzxhd4svtjaewR0p9Y5UBTMNMQ2PcXsqss"",""type data!E2:F""),2,FALSE),$G360)&amp;""/"",$H360)),""""))"),"")</f>
        <v/>
      </c>
      <c r="K360" s="5" t="b">
        <v>0</v>
      </c>
      <c r="L360" s="7"/>
      <c r="M360" s="7"/>
    </row>
    <row r="361">
      <c r="A361" s="3" t="s">
        <v>524</v>
      </c>
      <c r="B361" s="3">
        <v>20.0</v>
      </c>
      <c r="C361" s="3">
        <v>25.0</v>
      </c>
      <c r="D361" s="4">
        <v>49.1874226009854</v>
      </c>
      <c r="E361" s="4">
        <v>-2.0931801385464</v>
      </c>
      <c r="F361" s="3" t="s">
        <v>385</v>
      </c>
      <c r="G361" s="3" t="s">
        <v>386</v>
      </c>
      <c r="H361" s="5"/>
      <c r="I361" s="5"/>
      <c r="J361" s="7" t="str">
        <f>IFERROR(__xludf.DUMMYFUNCTION("IF(AND(REGEXMATCH($H361,""50( ?['fF]([oO]{2})?[tT]?)?( ?[eE][rR]{2}[oO][rR])"")=FALSE,$H361&lt;&gt;"""",$I361&lt;&gt;""""),HYPERLINK(""https://www.munzee.com/m/""&amp;$H361&amp;""/""&amp;$I361&amp;""/map/?lat=""&amp;$D361&amp;""&amp;lon=""&amp;$E361&amp;""&amp;type=""&amp;$G361&amp;""&amp;name=""&amp;SUBSTITUTE($A361,""#"&amp;""",""%23""),$H361&amp;""/""&amp;$I361),IF($H361&lt;&gt;"""",IF(REGEXMATCH($H361,""50( ?['fF]([oO]{2})?[tT]?)?( ?[eE][rR]{2}[oO][rR])""),HYPERLINK(""https://www.munzee.com/map/?sandbox=1&amp;lat=""&amp;$D361&amp;""&amp;lon=""&amp;$E361&amp;""&amp;name=""&amp;SUBSTITUTE($A361,""#"",""%23""),""SANDBOX"""&amp;"),HYPERLINK(""https://www.munzee.com/m/""&amp;$H361&amp;""/deploys/0/type/""&amp;IFNA(VLOOKUP($G361,IMPORTRANGE(""https://docs.google.com/spreadsheets/d/1DliIGyDywdzxhd4svtjaewR0p9Y5UBTMNMQ2PcXsqss"",""type data!E2:F""),2,FALSE),$G361)&amp;""/"",$H361)),""""))"),"")</f>
        <v/>
      </c>
      <c r="K361" s="5" t="b">
        <v>0</v>
      </c>
      <c r="L361" s="7"/>
      <c r="M361" s="7"/>
    </row>
    <row r="362">
      <c r="A362" s="3" t="s">
        <v>525</v>
      </c>
      <c r="B362" s="3">
        <v>20.0</v>
      </c>
      <c r="C362" s="3">
        <v>26.0</v>
      </c>
      <c r="D362" s="4">
        <v>49.1873209681083</v>
      </c>
      <c r="E362" s="4">
        <v>-2.093024638818</v>
      </c>
      <c r="F362" s="3" t="s">
        <v>250</v>
      </c>
      <c r="G362" s="3" t="s">
        <v>251</v>
      </c>
      <c r="H362" s="5"/>
      <c r="I362" s="5"/>
      <c r="J362" s="7" t="str">
        <f>IFERROR(__xludf.DUMMYFUNCTION("IF(AND(REGEXMATCH($H362,""50( ?['fF]([oO]{2})?[tT]?)?( ?[eE][rR]{2}[oO][rR])"")=FALSE,$H362&lt;&gt;"""",$I362&lt;&gt;""""),HYPERLINK(""https://www.munzee.com/m/""&amp;$H362&amp;""/""&amp;$I362&amp;""/map/?lat=""&amp;$D362&amp;""&amp;lon=""&amp;$E362&amp;""&amp;type=""&amp;$G362&amp;""&amp;name=""&amp;SUBSTITUTE($A362,""#"&amp;""",""%23""),$H362&amp;""/""&amp;$I362),IF($H362&lt;&gt;"""",IF(REGEXMATCH($H362,""50( ?['fF]([oO]{2})?[tT]?)?( ?[eE][rR]{2}[oO][rR])""),HYPERLINK(""https://www.munzee.com/map/?sandbox=1&amp;lat=""&amp;$D362&amp;""&amp;lon=""&amp;$E362&amp;""&amp;name=""&amp;SUBSTITUTE($A362,""#"",""%23""),""SANDBOX"""&amp;"),HYPERLINK(""https://www.munzee.com/m/""&amp;$H362&amp;""/deploys/0/type/""&amp;IFNA(VLOOKUP($G362,IMPORTRANGE(""https://docs.google.com/spreadsheets/d/1DliIGyDywdzxhd4svtjaewR0p9Y5UBTMNMQ2PcXsqss"",""type data!E2:F""),2,FALSE),$G362)&amp;""/"",$H362)),""""))"),"")</f>
        <v/>
      </c>
      <c r="K362" s="5" t="b">
        <v>0</v>
      </c>
      <c r="L362" s="7"/>
      <c r="M362" s="7"/>
    </row>
    <row r="363">
      <c r="A363" s="3" t="s">
        <v>526</v>
      </c>
      <c r="B363" s="3">
        <v>20.0</v>
      </c>
      <c r="C363" s="3">
        <v>27.0</v>
      </c>
      <c r="D363" s="4">
        <v>49.1872193352313</v>
      </c>
      <c r="E363" s="4">
        <v>-2.092869139409</v>
      </c>
      <c r="F363" s="3" t="s">
        <v>250</v>
      </c>
      <c r="G363" s="3" t="s">
        <v>251</v>
      </c>
      <c r="H363" s="5"/>
      <c r="I363" s="5"/>
      <c r="J363" s="7" t="str">
        <f>IFERROR(__xludf.DUMMYFUNCTION("IF(AND(REGEXMATCH($H363,""50( ?['fF]([oO]{2})?[tT]?)?( ?[eE][rR]{2}[oO][rR])"")=FALSE,$H363&lt;&gt;"""",$I363&lt;&gt;""""),HYPERLINK(""https://www.munzee.com/m/""&amp;$H363&amp;""/""&amp;$I363&amp;""/map/?lat=""&amp;$D363&amp;""&amp;lon=""&amp;$E363&amp;""&amp;type=""&amp;$G363&amp;""&amp;name=""&amp;SUBSTITUTE($A363,""#"&amp;""",""%23""),$H363&amp;""/""&amp;$I363),IF($H363&lt;&gt;"""",IF(REGEXMATCH($H363,""50( ?['fF]([oO]{2})?[tT]?)?( ?[eE][rR]{2}[oO][rR])""),HYPERLINK(""https://www.munzee.com/map/?sandbox=1&amp;lat=""&amp;$D363&amp;""&amp;lon=""&amp;$E363&amp;""&amp;name=""&amp;SUBSTITUTE($A363,""#"",""%23""),""SANDBOX"""&amp;"),HYPERLINK(""https://www.munzee.com/m/""&amp;$H363&amp;""/deploys/0/type/""&amp;IFNA(VLOOKUP($G363,IMPORTRANGE(""https://docs.google.com/spreadsheets/d/1DliIGyDywdzxhd4svtjaewR0p9Y5UBTMNMQ2PcXsqss"",""type data!E2:F""),2,FALSE),$G363)&amp;""/"",$H363)),""""))"),"")</f>
        <v/>
      </c>
      <c r="K363" s="5" t="b">
        <v>0</v>
      </c>
      <c r="L363" s="7"/>
      <c r="M363" s="7"/>
    </row>
    <row r="364">
      <c r="A364" s="3" t="s">
        <v>527</v>
      </c>
      <c r="B364" s="3">
        <v>21.0</v>
      </c>
      <c r="C364" s="3">
        <v>5.0</v>
      </c>
      <c r="D364" s="4">
        <v>49.189353625649</v>
      </c>
      <c r="E364" s="4">
        <v>-2.0964457178095</v>
      </c>
      <c r="F364" s="3" t="s">
        <v>250</v>
      </c>
      <c r="G364" s="3" t="s">
        <v>251</v>
      </c>
      <c r="H364" s="5"/>
      <c r="I364" s="5"/>
      <c r="J364" s="7" t="str">
        <f>IFERROR(__xludf.DUMMYFUNCTION("IF(AND(REGEXMATCH($H364,""50( ?['fF]([oO]{2})?[tT]?)?( ?[eE][rR]{2}[oO][rR])"")=FALSE,$H364&lt;&gt;"""",$I364&lt;&gt;""""),HYPERLINK(""https://www.munzee.com/m/""&amp;$H364&amp;""/""&amp;$I364&amp;""/map/?lat=""&amp;$D364&amp;""&amp;lon=""&amp;$E364&amp;""&amp;type=""&amp;$G364&amp;""&amp;name=""&amp;SUBSTITUTE($A364,""#"&amp;""",""%23""),$H364&amp;""/""&amp;$I364),IF($H364&lt;&gt;"""",IF(REGEXMATCH($H364,""50( ?['fF]([oO]{2})?[tT]?)?( ?[eE][rR]{2}[oO][rR])""),HYPERLINK(""https://www.munzee.com/map/?sandbox=1&amp;lat=""&amp;$D364&amp;""&amp;lon=""&amp;$E364&amp;""&amp;name=""&amp;SUBSTITUTE($A364,""#"",""%23""),""SANDBOX"""&amp;"),HYPERLINK(""https://www.munzee.com/m/""&amp;$H364&amp;""/deploys/0/type/""&amp;IFNA(VLOOKUP($G364,IMPORTRANGE(""https://docs.google.com/spreadsheets/d/1DliIGyDywdzxhd4svtjaewR0p9Y5UBTMNMQ2PcXsqss"",""type data!E2:F""),2,FALSE),$G364)&amp;""/"",$H364)),""""))"),"")</f>
        <v/>
      </c>
      <c r="K364" s="5" t="b">
        <v>0</v>
      </c>
      <c r="L364" s="7"/>
      <c r="M364" s="7"/>
    </row>
    <row r="365">
      <c r="A365" s="3" t="s">
        <v>528</v>
      </c>
      <c r="B365" s="3">
        <v>21.0</v>
      </c>
      <c r="C365" s="3">
        <v>6.0</v>
      </c>
      <c r="D365" s="4">
        <v>49.1892519927719</v>
      </c>
      <c r="E365" s="4">
        <v>-2.096290212012</v>
      </c>
      <c r="F365" s="3" t="s">
        <v>250</v>
      </c>
      <c r="G365" s="3" t="s">
        <v>251</v>
      </c>
      <c r="H365" s="5"/>
      <c r="I365" s="5"/>
      <c r="J365" s="7" t="str">
        <f>IFERROR(__xludf.DUMMYFUNCTION("IF(AND(REGEXMATCH($H365,""50( ?['fF]([oO]{2})?[tT]?)?( ?[eE][rR]{2}[oO][rR])"")=FALSE,$H365&lt;&gt;"""",$I365&lt;&gt;""""),HYPERLINK(""https://www.munzee.com/m/""&amp;$H365&amp;""/""&amp;$I365&amp;""/map/?lat=""&amp;$D365&amp;""&amp;lon=""&amp;$E365&amp;""&amp;type=""&amp;$G365&amp;""&amp;name=""&amp;SUBSTITUTE($A365,""#"&amp;""",""%23""),$H365&amp;""/""&amp;$I365),IF($H365&lt;&gt;"""",IF(REGEXMATCH($H365,""50( ?['fF]([oO]{2})?[tT]?)?( ?[eE][rR]{2}[oO][rR])""),HYPERLINK(""https://www.munzee.com/map/?sandbox=1&amp;lat=""&amp;$D365&amp;""&amp;lon=""&amp;$E365&amp;""&amp;name=""&amp;SUBSTITUTE($A365,""#"",""%23""),""SANDBOX"""&amp;"),HYPERLINK(""https://www.munzee.com/m/""&amp;$H365&amp;""/deploys/0/type/""&amp;IFNA(VLOOKUP($G365,IMPORTRANGE(""https://docs.google.com/spreadsheets/d/1DliIGyDywdzxhd4svtjaewR0p9Y5UBTMNMQ2PcXsqss"",""type data!E2:F""),2,FALSE),$G365)&amp;""/"",$H365)),""""))"),"")</f>
        <v/>
      </c>
      <c r="K365" s="5" t="b">
        <v>0</v>
      </c>
      <c r="L365" s="7"/>
      <c r="M365" s="7"/>
    </row>
    <row r="366">
      <c r="A366" s="3" t="s">
        <v>529</v>
      </c>
      <c r="B366" s="3">
        <v>21.0</v>
      </c>
      <c r="C366" s="3">
        <v>7.0</v>
      </c>
      <c r="D366" s="4">
        <v>49.1891503598949</v>
      </c>
      <c r="E366" s="4">
        <v>-2.096134706534</v>
      </c>
      <c r="F366" s="3" t="s">
        <v>296</v>
      </c>
      <c r="G366" s="3" t="s">
        <v>297</v>
      </c>
      <c r="H366" s="5"/>
      <c r="I366" s="5"/>
      <c r="J366" s="7" t="str">
        <f>IFERROR(__xludf.DUMMYFUNCTION("IF(AND(REGEXMATCH($H366,""50( ?['fF]([oO]{2})?[tT]?)?( ?[eE][rR]{2}[oO][rR])"")=FALSE,$H366&lt;&gt;"""",$I366&lt;&gt;""""),HYPERLINK(""https://www.munzee.com/m/""&amp;$H366&amp;""/""&amp;$I366&amp;""/map/?lat=""&amp;$D366&amp;""&amp;lon=""&amp;$E366&amp;""&amp;type=""&amp;$G366&amp;""&amp;name=""&amp;SUBSTITUTE($A366,""#"&amp;""",""%23""),$H366&amp;""/""&amp;$I366),IF($H366&lt;&gt;"""",IF(REGEXMATCH($H366,""50( ?['fF]([oO]{2})?[tT]?)?( ?[eE][rR]{2}[oO][rR])""),HYPERLINK(""https://www.munzee.com/map/?sandbox=1&amp;lat=""&amp;$D366&amp;""&amp;lon=""&amp;$E366&amp;""&amp;name=""&amp;SUBSTITUTE($A366,""#"",""%23""),""SANDBOX"""&amp;"),HYPERLINK(""https://www.munzee.com/m/""&amp;$H366&amp;""/deploys/0/type/""&amp;IFNA(VLOOKUP($G366,IMPORTRANGE(""https://docs.google.com/spreadsheets/d/1DliIGyDywdzxhd4svtjaewR0p9Y5UBTMNMQ2PcXsqss"",""type data!E2:F""),2,FALSE),$G366)&amp;""/"",$H366)),""""))"),"")</f>
        <v/>
      </c>
      <c r="K366" s="5" t="b">
        <v>0</v>
      </c>
      <c r="L366" s="7"/>
      <c r="M366" s="7"/>
    </row>
    <row r="367">
      <c r="A367" s="3" t="s">
        <v>530</v>
      </c>
      <c r="B367" s="3">
        <v>21.0</v>
      </c>
      <c r="C367" s="3">
        <v>8.0</v>
      </c>
      <c r="D367" s="4">
        <v>49.1890487270179</v>
      </c>
      <c r="E367" s="4">
        <v>-2.0959792013755</v>
      </c>
      <c r="F367" s="3" t="s">
        <v>385</v>
      </c>
      <c r="G367" s="3" t="s">
        <v>386</v>
      </c>
      <c r="H367" s="5"/>
      <c r="I367" s="5"/>
      <c r="J367" s="7" t="str">
        <f>IFERROR(__xludf.DUMMYFUNCTION("IF(AND(REGEXMATCH($H367,""50( ?['fF]([oO]{2})?[tT]?)?( ?[eE][rR]{2}[oO][rR])"")=FALSE,$H367&lt;&gt;"""",$I367&lt;&gt;""""),HYPERLINK(""https://www.munzee.com/m/""&amp;$H367&amp;""/""&amp;$I367&amp;""/map/?lat=""&amp;$D367&amp;""&amp;lon=""&amp;$E367&amp;""&amp;type=""&amp;$G367&amp;""&amp;name=""&amp;SUBSTITUTE($A367,""#"&amp;""",""%23""),$H367&amp;""/""&amp;$I367),IF($H367&lt;&gt;"""",IF(REGEXMATCH($H367,""50( ?['fF]([oO]{2})?[tT]?)?( ?[eE][rR]{2}[oO][rR])""),HYPERLINK(""https://www.munzee.com/map/?sandbox=1&amp;lat=""&amp;$D367&amp;""&amp;lon=""&amp;$E367&amp;""&amp;name=""&amp;SUBSTITUTE($A367,""#"",""%23""),""SANDBOX"""&amp;"),HYPERLINK(""https://www.munzee.com/m/""&amp;$H367&amp;""/deploys/0/type/""&amp;IFNA(VLOOKUP($G367,IMPORTRANGE(""https://docs.google.com/spreadsheets/d/1DliIGyDywdzxhd4svtjaewR0p9Y5UBTMNMQ2PcXsqss"",""type data!E2:F""),2,FALSE),$G367)&amp;""/"",$H367)),""""))"),"")</f>
        <v/>
      </c>
      <c r="K367" s="5" t="b">
        <v>0</v>
      </c>
      <c r="L367" s="7"/>
      <c r="M367" s="7"/>
    </row>
    <row r="368">
      <c r="A368" s="3" t="s">
        <v>531</v>
      </c>
      <c r="B368" s="3">
        <v>21.0</v>
      </c>
      <c r="C368" s="3">
        <v>9.0</v>
      </c>
      <c r="D368" s="4">
        <v>49.1889470941408</v>
      </c>
      <c r="E368" s="4">
        <v>-2.0958236965364</v>
      </c>
      <c r="F368" s="3" t="s">
        <v>385</v>
      </c>
      <c r="G368" s="3" t="s">
        <v>386</v>
      </c>
      <c r="H368" s="5"/>
      <c r="I368" s="5"/>
      <c r="J368" s="7" t="str">
        <f>IFERROR(__xludf.DUMMYFUNCTION("IF(AND(REGEXMATCH($H368,""50( ?['fF]([oO]{2})?[tT]?)?( ?[eE][rR]{2}[oO][rR])"")=FALSE,$H368&lt;&gt;"""",$I368&lt;&gt;""""),HYPERLINK(""https://www.munzee.com/m/""&amp;$H368&amp;""/""&amp;$I368&amp;""/map/?lat=""&amp;$D368&amp;""&amp;lon=""&amp;$E368&amp;""&amp;type=""&amp;$G368&amp;""&amp;name=""&amp;SUBSTITUTE($A368,""#"&amp;""",""%23""),$H368&amp;""/""&amp;$I368),IF($H368&lt;&gt;"""",IF(REGEXMATCH($H368,""50( ?['fF]([oO]{2})?[tT]?)?( ?[eE][rR]{2}[oO][rR])""),HYPERLINK(""https://www.munzee.com/map/?sandbox=1&amp;lat=""&amp;$D368&amp;""&amp;lon=""&amp;$E368&amp;""&amp;name=""&amp;SUBSTITUTE($A368,""#"",""%23""),""SANDBOX"""&amp;"),HYPERLINK(""https://www.munzee.com/m/""&amp;$H368&amp;""/deploys/0/type/""&amp;IFNA(VLOOKUP($G368,IMPORTRANGE(""https://docs.google.com/spreadsheets/d/1DliIGyDywdzxhd4svtjaewR0p9Y5UBTMNMQ2PcXsqss"",""type data!E2:F""),2,FALSE),$G368)&amp;""/"",$H368)),""""))"),"")</f>
        <v/>
      </c>
      <c r="K368" s="5" t="b">
        <v>0</v>
      </c>
      <c r="L368" s="7"/>
      <c r="M368" s="7"/>
    </row>
    <row r="369">
      <c r="A369" s="3" t="s">
        <v>532</v>
      </c>
      <c r="B369" s="3">
        <v>21.0</v>
      </c>
      <c r="C369" s="3">
        <v>10.0</v>
      </c>
      <c r="D369" s="4">
        <v>49.1888454612638</v>
      </c>
      <c r="E369" s="4">
        <v>-2.0956681920167</v>
      </c>
      <c r="F369" s="3" t="s">
        <v>476</v>
      </c>
      <c r="G369" s="3" t="s">
        <v>477</v>
      </c>
      <c r="H369" s="5"/>
      <c r="I369" s="5"/>
      <c r="J369" s="7" t="str">
        <f>IFERROR(__xludf.DUMMYFUNCTION("IF(AND(REGEXMATCH($H369,""50( ?['fF]([oO]{2})?[tT]?)?( ?[eE][rR]{2}[oO][rR])"")=FALSE,$H369&lt;&gt;"""",$I369&lt;&gt;""""),HYPERLINK(""https://www.munzee.com/m/""&amp;$H369&amp;""/""&amp;$I369&amp;""/map/?lat=""&amp;$D369&amp;""&amp;lon=""&amp;$E369&amp;""&amp;type=""&amp;$G369&amp;""&amp;name=""&amp;SUBSTITUTE($A369,""#"&amp;""",""%23""),$H369&amp;""/""&amp;$I369),IF($H369&lt;&gt;"""",IF(REGEXMATCH($H369,""50( ?['fF]([oO]{2})?[tT]?)?( ?[eE][rR]{2}[oO][rR])""),HYPERLINK(""https://www.munzee.com/map/?sandbox=1&amp;lat=""&amp;$D369&amp;""&amp;lon=""&amp;$E369&amp;""&amp;name=""&amp;SUBSTITUTE($A369,""#"",""%23""),""SANDBOX"""&amp;"),HYPERLINK(""https://www.munzee.com/m/""&amp;$H369&amp;""/deploys/0/type/""&amp;IFNA(VLOOKUP($G369,IMPORTRANGE(""https://docs.google.com/spreadsheets/d/1DliIGyDywdzxhd4svtjaewR0p9Y5UBTMNMQ2PcXsqss"",""type data!E2:F""),2,FALSE),$G369)&amp;""/"",$H369)),""""))"),"")</f>
        <v/>
      </c>
      <c r="K369" s="5" t="b">
        <v>0</v>
      </c>
      <c r="L369" s="7"/>
      <c r="M369" s="7"/>
    </row>
    <row r="370">
      <c r="A370" s="3" t="s">
        <v>533</v>
      </c>
      <c r="B370" s="3">
        <v>21.0</v>
      </c>
      <c r="C370" s="3">
        <v>11.0</v>
      </c>
      <c r="D370" s="4">
        <v>49.1887438283868</v>
      </c>
      <c r="E370" s="4">
        <v>-2.0955126878164</v>
      </c>
      <c r="F370" s="3" t="s">
        <v>453</v>
      </c>
      <c r="G370" s="3" t="s">
        <v>454</v>
      </c>
      <c r="H370" s="5"/>
      <c r="I370" s="5"/>
      <c r="J370" s="7" t="str">
        <f>IFERROR(__xludf.DUMMYFUNCTION("IF(AND(REGEXMATCH($H370,""50( ?['fF]([oO]{2})?[tT]?)?( ?[eE][rR]{2}[oO][rR])"")=FALSE,$H370&lt;&gt;"""",$I370&lt;&gt;""""),HYPERLINK(""https://www.munzee.com/m/""&amp;$H370&amp;""/""&amp;$I370&amp;""/map/?lat=""&amp;$D370&amp;""&amp;lon=""&amp;$E370&amp;""&amp;type=""&amp;$G370&amp;""&amp;name=""&amp;SUBSTITUTE($A370,""#"&amp;""",""%23""),$H370&amp;""/""&amp;$I370),IF($H370&lt;&gt;"""",IF(REGEXMATCH($H370,""50( ?['fF]([oO]{2})?[tT]?)?( ?[eE][rR]{2}[oO][rR])""),HYPERLINK(""https://www.munzee.com/map/?sandbox=1&amp;lat=""&amp;$D370&amp;""&amp;lon=""&amp;$E370&amp;""&amp;name=""&amp;SUBSTITUTE($A370,""#"",""%23""),""SANDBOX"""&amp;"),HYPERLINK(""https://www.munzee.com/m/""&amp;$H370&amp;""/deploys/0/type/""&amp;IFNA(VLOOKUP($G370,IMPORTRANGE(""https://docs.google.com/spreadsheets/d/1DliIGyDywdzxhd4svtjaewR0p9Y5UBTMNMQ2PcXsqss"",""type data!E2:F""),2,FALSE),$G370)&amp;""/"",$H370)),""""))"),"")</f>
        <v/>
      </c>
      <c r="K370" s="5" t="b">
        <v>0</v>
      </c>
      <c r="L370" s="7"/>
      <c r="M370" s="7"/>
    </row>
    <row r="371">
      <c r="A371" s="3" t="s">
        <v>534</v>
      </c>
      <c r="B371" s="3">
        <v>21.0</v>
      </c>
      <c r="C371" s="3">
        <v>12.0</v>
      </c>
      <c r="D371" s="4">
        <v>49.1886421955097</v>
      </c>
      <c r="E371" s="4">
        <v>-2.0953571839356</v>
      </c>
      <c r="F371" s="3" t="s">
        <v>366</v>
      </c>
      <c r="G371" s="3" t="s">
        <v>367</v>
      </c>
      <c r="H371" s="5"/>
      <c r="I371" s="5"/>
      <c r="J371" s="7" t="str">
        <f>IFERROR(__xludf.DUMMYFUNCTION("IF(AND(REGEXMATCH($H371,""50( ?['fF]([oO]{2})?[tT]?)?( ?[eE][rR]{2}[oO][rR])"")=FALSE,$H371&lt;&gt;"""",$I371&lt;&gt;""""),HYPERLINK(""https://www.munzee.com/m/""&amp;$H371&amp;""/""&amp;$I371&amp;""/map/?lat=""&amp;$D371&amp;""&amp;lon=""&amp;$E371&amp;""&amp;type=""&amp;$G371&amp;""&amp;name=""&amp;SUBSTITUTE($A371,""#"&amp;""",""%23""),$H371&amp;""/""&amp;$I371),IF($H371&lt;&gt;"""",IF(REGEXMATCH($H371,""50( ?['fF]([oO]{2})?[tT]?)?( ?[eE][rR]{2}[oO][rR])""),HYPERLINK(""https://www.munzee.com/map/?sandbox=1&amp;lat=""&amp;$D371&amp;""&amp;lon=""&amp;$E371&amp;""&amp;name=""&amp;SUBSTITUTE($A371,""#"",""%23""),""SANDBOX"""&amp;"),HYPERLINK(""https://www.munzee.com/m/""&amp;$H371&amp;""/deploys/0/type/""&amp;IFNA(VLOOKUP($G371,IMPORTRANGE(""https://docs.google.com/spreadsheets/d/1DliIGyDywdzxhd4svtjaewR0p9Y5UBTMNMQ2PcXsqss"",""type data!E2:F""),2,FALSE),$G371)&amp;""/"",$H371)),""""))"),"")</f>
        <v/>
      </c>
      <c r="K371" s="5" t="b">
        <v>0</v>
      </c>
      <c r="L371" s="7"/>
      <c r="M371" s="7"/>
    </row>
    <row r="372">
      <c r="A372" s="3" t="s">
        <v>535</v>
      </c>
      <c r="B372" s="3">
        <v>21.0</v>
      </c>
      <c r="C372" s="3">
        <v>13.0</v>
      </c>
      <c r="D372" s="4">
        <v>49.1885405626327</v>
      </c>
      <c r="E372" s="4">
        <v>-2.0952016803742</v>
      </c>
      <c r="F372" s="3" t="s">
        <v>366</v>
      </c>
      <c r="G372" s="3" t="s">
        <v>367</v>
      </c>
      <c r="H372" s="5"/>
      <c r="I372" s="5"/>
      <c r="J372" s="7" t="str">
        <f>IFERROR(__xludf.DUMMYFUNCTION("IF(AND(REGEXMATCH($H372,""50( ?['fF]([oO]{2})?[tT]?)?( ?[eE][rR]{2}[oO][rR])"")=FALSE,$H372&lt;&gt;"""",$I372&lt;&gt;""""),HYPERLINK(""https://www.munzee.com/m/""&amp;$H372&amp;""/""&amp;$I372&amp;""/map/?lat=""&amp;$D372&amp;""&amp;lon=""&amp;$E372&amp;""&amp;type=""&amp;$G372&amp;""&amp;name=""&amp;SUBSTITUTE($A372,""#"&amp;""",""%23""),$H372&amp;""/""&amp;$I372),IF($H372&lt;&gt;"""",IF(REGEXMATCH($H372,""50( ?['fF]([oO]{2})?[tT]?)?( ?[eE][rR]{2}[oO][rR])""),HYPERLINK(""https://www.munzee.com/map/?sandbox=1&amp;lat=""&amp;$D372&amp;""&amp;lon=""&amp;$E372&amp;""&amp;name=""&amp;SUBSTITUTE($A372,""#"",""%23""),""SANDBOX"""&amp;"),HYPERLINK(""https://www.munzee.com/m/""&amp;$H372&amp;""/deploys/0/type/""&amp;IFNA(VLOOKUP($G372,IMPORTRANGE(""https://docs.google.com/spreadsheets/d/1DliIGyDywdzxhd4svtjaewR0p9Y5UBTMNMQ2PcXsqss"",""type data!E2:F""),2,FALSE),$G372)&amp;""/"",$H372)),""""))"),"")</f>
        <v/>
      </c>
      <c r="K372" s="5" t="b">
        <v>0</v>
      </c>
      <c r="L372" s="7"/>
      <c r="M372" s="7"/>
    </row>
    <row r="373">
      <c r="A373" s="3" t="s">
        <v>536</v>
      </c>
      <c r="B373" s="3">
        <v>21.0</v>
      </c>
      <c r="C373" s="3">
        <v>14.0</v>
      </c>
      <c r="D373" s="4">
        <v>49.1884389297557</v>
      </c>
      <c r="E373" s="4">
        <v>-2.0950461771322</v>
      </c>
      <c r="F373" s="3" t="s">
        <v>339</v>
      </c>
      <c r="G373" s="3" t="s">
        <v>340</v>
      </c>
      <c r="H373" s="5"/>
      <c r="I373" s="5"/>
      <c r="J373" s="7" t="str">
        <f>IFERROR(__xludf.DUMMYFUNCTION("IF(AND(REGEXMATCH($H373,""50( ?['fF]([oO]{2})?[tT]?)?( ?[eE][rR]{2}[oO][rR])"")=FALSE,$H373&lt;&gt;"""",$I373&lt;&gt;""""),HYPERLINK(""https://www.munzee.com/m/""&amp;$H373&amp;""/""&amp;$I373&amp;""/map/?lat=""&amp;$D373&amp;""&amp;lon=""&amp;$E373&amp;""&amp;type=""&amp;$G373&amp;""&amp;name=""&amp;SUBSTITUTE($A373,""#"&amp;""",""%23""),$H373&amp;""/""&amp;$I373),IF($H373&lt;&gt;"""",IF(REGEXMATCH($H373,""50( ?['fF]([oO]{2})?[tT]?)?( ?[eE][rR]{2}[oO][rR])""),HYPERLINK(""https://www.munzee.com/map/?sandbox=1&amp;lat=""&amp;$D373&amp;""&amp;lon=""&amp;$E373&amp;""&amp;name=""&amp;SUBSTITUTE($A373,""#"",""%23""),""SANDBOX"""&amp;"),HYPERLINK(""https://www.munzee.com/m/""&amp;$H373&amp;""/deploys/0/type/""&amp;IFNA(VLOOKUP($G373,IMPORTRANGE(""https://docs.google.com/spreadsheets/d/1DliIGyDywdzxhd4svtjaewR0p9Y5UBTMNMQ2PcXsqss"",""type data!E2:F""),2,FALSE),$G373)&amp;""/"",$H373)),""""))"),"")</f>
        <v/>
      </c>
      <c r="K373" s="5" t="b">
        <v>0</v>
      </c>
      <c r="L373" s="7"/>
      <c r="M373" s="7"/>
    </row>
    <row r="374">
      <c r="A374" s="3" t="s">
        <v>537</v>
      </c>
      <c r="B374" s="3">
        <v>21.0</v>
      </c>
      <c r="C374" s="3">
        <v>15.0</v>
      </c>
      <c r="D374" s="4">
        <v>49.1883372968786</v>
      </c>
      <c r="E374" s="4">
        <v>-2.0948906742096</v>
      </c>
      <c r="F374" s="3" t="s">
        <v>339</v>
      </c>
      <c r="G374" s="3" t="s">
        <v>340</v>
      </c>
      <c r="H374" s="5"/>
      <c r="I374" s="5"/>
      <c r="J374" s="7" t="str">
        <f>IFERROR(__xludf.DUMMYFUNCTION("IF(AND(REGEXMATCH($H374,""50( ?['fF]([oO]{2})?[tT]?)?( ?[eE][rR]{2}[oO][rR])"")=FALSE,$H374&lt;&gt;"""",$I374&lt;&gt;""""),HYPERLINK(""https://www.munzee.com/m/""&amp;$H374&amp;""/""&amp;$I374&amp;""/map/?lat=""&amp;$D374&amp;""&amp;lon=""&amp;$E374&amp;""&amp;type=""&amp;$G374&amp;""&amp;name=""&amp;SUBSTITUTE($A374,""#"&amp;""",""%23""),$H374&amp;""/""&amp;$I374),IF($H374&lt;&gt;"""",IF(REGEXMATCH($H374,""50( ?['fF]([oO]{2})?[tT]?)?( ?[eE][rR]{2}[oO][rR])""),HYPERLINK(""https://www.munzee.com/map/?sandbox=1&amp;lat=""&amp;$D374&amp;""&amp;lon=""&amp;$E374&amp;""&amp;name=""&amp;SUBSTITUTE($A374,""#"",""%23""),""SANDBOX"""&amp;"),HYPERLINK(""https://www.munzee.com/m/""&amp;$H374&amp;""/deploys/0/type/""&amp;IFNA(VLOOKUP($G374,IMPORTRANGE(""https://docs.google.com/spreadsheets/d/1DliIGyDywdzxhd4svtjaewR0p9Y5UBTMNMQ2PcXsqss"",""type data!E2:F""),2,FALSE),$G374)&amp;""/"",$H374)),""""))"),"")</f>
        <v/>
      </c>
      <c r="K374" s="5" t="b">
        <v>0</v>
      </c>
      <c r="L374" s="7"/>
      <c r="M374" s="7"/>
    </row>
    <row r="375">
      <c r="A375" s="3" t="s">
        <v>538</v>
      </c>
      <c r="B375" s="3">
        <v>21.0</v>
      </c>
      <c r="C375" s="3">
        <v>16.0</v>
      </c>
      <c r="D375" s="4">
        <v>49.1882356640016</v>
      </c>
      <c r="E375" s="4">
        <v>-2.0947351716065</v>
      </c>
      <c r="F375" s="3" t="s">
        <v>366</v>
      </c>
      <c r="G375" s="3" t="s">
        <v>367</v>
      </c>
      <c r="H375" s="5"/>
      <c r="I375" s="5"/>
      <c r="J375" s="7" t="str">
        <f>IFERROR(__xludf.DUMMYFUNCTION("IF(AND(REGEXMATCH($H375,""50( ?['fF]([oO]{2})?[tT]?)?( ?[eE][rR]{2}[oO][rR])"")=FALSE,$H375&lt;&gt;"""",$I375&lt;&gt;""""),HYPERLINK(""https://www.munzee.com/m/""&amp;$H375&amp;""/""&amp;$I375&amp;""/map/?lat=""&amp;$D375&amp;""&amp;lon=""&amp;$E375&amp;""&amp;type=""&amp;$G375&amp;""&amp;name=""&amp;SUBSTITUTE($A375,""#"&amp;""",""%23""),$H375&amp;""/""&amp;$I375),IF($H375&lt;&gt;"""",IF(REGEXMATCH($H375,""50( ?['fF]([oO]{2})?[tT]?)?( ?[eE][rR]{2}[oO][rR])""),HYPERLINK(""https://www.munzee.com/map/?sandbox=1&amp;lat=""&amp;$D375&amp;""&amp;lon=""&amp;$E375&amp;""&amp;name=""&amp;SUBSTITUTE($A375,""#"",""%23""),""SANDBOX"""&amp;"),HYPERLINK(""https://www.munzee.com/m/""&amp;$H375&amp;""/deploys/0/type/""&amp;IFNA(VLOOKUP($G375,IMPORTRANGE(""https://docs.google.com/spreadsheets/d/1DliIGyDywdzxhd4svtjaewR0p9Y5UBTMNMQ2PcXsqss"",""type data!E2:F""),2,FALSE),$G375)&amp;""/"",$H375)),""""))"),"")</f>
        <v/>
      </c>
      <c r="K375" s="5" t="b">
        <v>0</v>
      </c>
      <c r="L375" s="7"/>
      <c r="M375" s="7"/>
    </row>
    <row r="376">
      <c r="A376" s="3" t="s">
        <v>539</v>
      </c>
      <c r="B376" s="3">
        <v>21.0</v>
      </c>
      <c r="C376" s="3">
        <v>17.0</v>
      </c>
      <c r="D376" s="4">
        <v>49.1881340311246</v>
      </c>
      <c r="E376" s="4">
        <v>-2.0945796693229</v>
      </c>
      <c r="F376" s="3" t="s">
        <v>339</v>
      </c>
      <c r="G376" s="3" t="s">
        <v>340</v>
      </c>
      <c r="H376" s="5"/>
      <c r="I376" s="5"/>
      <c r="J376" s="7" t="str">
        <f>IFERROR(__xludf.DUMMYFUNCTION("IF(AND(REGEXMATCH($H376,""50( ?['fF]([oO]{2})?[tT]?)?( ?[eE][rR]{2}[oO][rR])"")=FALSE,$H376&lt;&gt;"""",$I376&lt;&gt;""""),HYPERLINK(""https://www.munzee.com/m/""&amp;$H376&amp;""/""&amp;$I376&amp;""/map/?lat=""&amp;$D376&amp;""&amp;lon=""&amp;$E376&amp;""&amp;type=""&amp;$G376&amp;""&amp;name=""&amp;SUBSTITUTE($A376,""#"&amp;""",""%23""),$H376&amp;""/""&amp;$I376),IF($H376&lt;&gt;"""",IF(REGEXMATCH($H376,""50( ?['fF]([oO]{2})?[tT]?)?( ?[eE][rR]{2}[oO][rR])""),HYPERLINK(""https://www.munzee.com/map/?sandbox=1&amp;lat=""&amp;$D376&amp;""&amp;lon=""&amp;$E376&amp;""&amp;name=""&amp;SUBSTITUTE($A376,""#"",""%23""),""SANDBOX"""&amp;"),HYPERLINK(""https://www.munzee.com/m/""&amp;$H376&amp;""/deploys/0/type/""&amp;IFNA(VLOOKUP($G376,IMPORTRANGE(""https://docs.google.com/spreadsheets/d/1DliIGyDywdzxhd4svtjaewR0p9Y5UBTMNMQ2PcXsqss"",""type data!E2:F""),2,FALSE),$G376)&amp;""/"",$H376)),""""))"),"")</f>
        <v/>
      </c>
      <c r="K376" s="5" t="b">
        <v>0</v>
      </c>
      <c r="L376" s="7"/>
      <c r="M376" s="7"/>
    </row>
    <row r="377">
      <c r="A377" s="3" t="s">
        <v>540</v>
      </c>
      <c r="B377" s="3">
        <v>21.0</v>
      </c>
      <c r="C377" s="3">
        <v>18.0</v>
      </c>
      <c r="D377" s="4">
        <v>49.1880323982475</v>
      </c>
      <c r="E377" s="4">
        <v>-2.0944241673586</v>
      </c>
      <c r="F377" s="3" t="s">
        <v>339</v>
      </c>
      <c r="G377" s="3" t="s">
        <v>340</v>
      </c>
      <c r="H377" s="5"/>
      <c r="I377" s="5"/>
      <c r="J377" s="7" t="str">
        <f>IFERROR(__xludf.DUMMYFUNCTION("IF(AND(REGEXMATCH($H377,""50( ?['fF]([oO]{2})?[tT]?)?( ?[eE][rR]{2}[oO][rR])"")=FALSE,$H377&lt;&gt;"""",$I377&lt;&gt;""""),HYPERLINK(""https://www.munzee.com/m/""&amp;$H377&amp;""/""&amp;$I377&amp;""/map/?lat=""&amp;$D377&amp;""&amp;lon=""&amp;$E377&amp;""&amp;type=""&amp;$G377&amp;""&amp;name=""&amp;SUBSTITUTE($A377,""#"&amp;""",""%23""),$H377&amp;""/""&amp;$I377),IF($H377&lt;&gt;"""",IF(REGEXMATCH($H377,""50( ?['fF]([oO]{2})?[tT]?)?( ?[eE][rR]{2}[oO][rR])""),HYPERLINK(""https://www.munzee.com/map/?sandbox=1&amp;lat=""&amp;$D377&amp;""&amp;lon=""&amp;$E377&amp;""&amp;name=""&amp;SUBSTITUTE($A377,""#"",""%23""),""SANDBOX"""&amp;"),HYPERLINK(""https://www.munzee.com/m/""&amp;$H377&amp;""/deploys/0/type/""&amp;IFNA(VLOOKUP($G377,IMPORTRANGE(""https://docs.google.com/spreadsheets/d/1DliIGyDywdzxhd4svtjaewR0p9Y5UBTMNMQ2PcXsqss"",""type data!E2:F""),2,FALSE),$G377)&amp;""/"",$H377)),""""))"),"")</f>
        <v/>
      </c>
      <c r="K377" s="5" t="b">
        <v>0</v>
      </c>
      <c r="L377" s="7"/>
      <c r="M377" s="7"/>
    </row>
    <row r="378">
      <c r="A378" s="3" t="s">
        <v>541</v>
      </c>
      <c r="B378" s="3">
        <v>21.0</v>
      </c>
      <c r="C378" s="3">
        <v>19.0</v>
      </c>
      <c r="D378" s="4">
        <v>49.1879307653705</v>
      </c>
      <c r="E378" s="4">
        <v>-2.0942686657138</v>
      </c>
      <c r="F378" s="3" t="s">
        <v>296</v>
      </c>
      <c r="G378" s="3" t="s">
        <v>297</v>
      </c>
      <c r="H378" s="5"/>
      <c r="I378" s="5"/>
      <c r="J378" s="7" t="str">
        <f>IFERROR(__xludf.DUMMYFUNCTION("IF(AND(REGEXMATCH($H378,""50( ?['fF]([oO]{2})?[tT]?)?( ?[eE][rR]{2}[oO][rR])"")=FALSE,$H378&lt;&gt;"""",$I378&lt;&gt;""""),HYPERLINK(""https://www.munzee.com/m/""&amp;$H378&amp;""/""&amp;$I378&amp;""/map/?lat=""&amp;$D378&amp;""&amp;lon=""&amp;$E378&amp;""&amp;type=""&amp;$G378&amp;""&amp;name=""&amp;SUBSTITUTE($A378,""#"&amp;""",""%23""),$H378&amp;""/""&amp;$I378),IF($H378&lt;&gt;"""",IF(REGEXMATCH($H378,""50( ?['fF]([oO]{2})?[tT]?)?( ?[eE][rR]{2}[oO][rR])""),HYPERLINK(""https://www.munzee.com/map/?sandbox=1&amp;lat=""&amp;$D378&amp;""&amp;lon=""&amp;$E378&amp;""&amp;name=""&amp;SUBSTITUTE($A378,""#"",""%23""),""SANDBOX"""&amp;"),HYPERLINK(""https://www.munzee.com/m/""&amp;$H378&amp;""/deploys/0/type/""&amp;IFNA(VLOOKUP($G378,IMPORTRANGE(""https://docs.google.com/spreadsheets/d/1DliIGyDywdzxhd4svtjaewR0p9Y5UBTMNMQ2PcXsqss"",""type data!E2:F""),2,FALSE),$G378)&amp;""/"",$H378)),""""))"),"")</f>
        <v/>
      </c>
      <c r="K378" s="5" t="b">
        <v>0</v>
      </c>
      <c r="L378" s="7"/>
      <c r="M378" s="7"/>
    </row>
    <row r="379">
      <c r="A379" s="3" t="s">
        <v>542</v>
      </c>
      <c r="B379" s="3">
        <v>21.0</v>
      </c>
      <c r="C379" s="3">
        <v>20.0</v>
      </c>
      <c r="D379" s="4">
        <v>49.1878291324935</v>
      </c>
      <c r="E379" s="4">
        <v>-2.0941131643883</v>
      </c>
      <c r="F379" s="3" t="s">
        <v>296</v>
      </c>
      <c r="G379" s="3" t="s">
        <v>297</v>
      </c>
      <c r="H379" s="5"/>
      <c r="I379" s="5"/>
      <c r="J379" s="7" t="str">
        <f>IFERROR(__xludf.DUMMYFUNCTION("IF(AND(REGEXMATCH($H379,""50( ?['fF]([oO]{2})?[tT]?)?( ?[eE][rR]{2}[oO][rR])"")=FALSE,$H379&lt;&gt;"""",$I379&lt;&gt;""""),HYPERLINK(""https://www.munzee.com/m/""&amp;$H379&amp;""/""&amp;$I379&amp;""/map/?lat=""&amp;$D379&amp;""&amp;lon=""&amp;$E379&amp;""&amp;type=""&amp;$G379&amp;""&amp;name=""&amp;SUBSTITUTE($A379,""#"&amp;""",""%23""),$H379&amp;""/""&amp;$I379),IF($H379&lt;&gt;"""",IF(REGEXMATCH($H379,""50( ?['fF]([oO]{2})?[tT]?)?( ?[eE][rR]{2}[oO][rR])""),HYPERLINK(""https://www.munzee.com/map/?sandbox=1&amp;lat=""&amp;$D379&amp;""&amp;lon=""&amp;$E379&amp;""&amp;name=""&amp;SUBSTITUTE($A379,""#"",""%23""),""SANDBOX"""&amp;"),HYPERLINK(""https://www.munzee.com/m/""&amp;$H379&amp;""/deploys/0/type/""&amp;IFNA(VLOOKUP($G379,IMPORTRANGE(""https://docs.google.com/spreadsheets/d/1DliIGyDywdzxhd4svtjaewR0p9Y5UBTMNMQ2PcXsqss"",""type data!E2:F""),2,FALSE),$G379)&amp;""/"",$H379)),""""))"),"")</f>
        <v/>
      </c>
      <c r="K379" s="5" t="b">
        <v>0</v>
      </c>
      <c r="L379" s="7"/>
      <c r="M379" s="7"/>
    </row>
    <row r="380">
      <c r="A380" s="3" t="s">
        <v>543</v>
      </c>
      <c r="B380" s="3">
        <v>21.0</v>
      </c>
      <c r="C380" s="3">
        <v>21.0</v>
      </c>
      <c r="D380" s="4">
        <v>49.1877274996164</v>
      </c>
      <c r="E380" s="4">
        <v>-2.0939576633823</v>
      </c>
      <c r="F380" s="3" t="s">
        <v>296</v>
      </c>
      <c r="G380" s="3" t="s">
        <v>297</v>
      </c>
      <c r="H380" s="5"/>
      <c r="I380" s="5"/>
      <c r="J380" s="7" t="str">
        <f>IFERROR(__xludf.DUMMYFUNCTION("IF(AND(REGEXMATCH($H380,""50( ?['fF]([oO]{2})?[tT]?)?( ?[eE][rR]{2}[oO][rR])"")=FALSE,$H380&lt;&gt;"""",$I380&lt;&gt;""""),HYPERLINK(""https://www.munzee.com/m/""&amp;$H380&amp;""/""&amp;$I380&amp;""/map/?lat=""&amp;$D380&amp;""&amp;lon=""&amp;$E380&amp;""&amp;type=""&amp;$G380&amp;""&amp;name=""&amp;SUBSTITUTE($A380,""#"&amp;""",""%23""),$H380&amp;""/""&amp;$I380),IF($H380&lt;&gt;"""",IF(REGEXMATCH($H380,""50( ?['fF]([oO]{2})?[tT]?)?( ?[eE][rR]{2}[oO][rR])""),HYPERLINK(""https://www.munzee.com/map/?sandbox=1&amp;lat=""&amp;$D380&amp;""&amp;lon=""&amp;$E380&amp;""&amp;name=""&amp;SUBSTITUTE($A380,""#"",""%23""),""SANDBOX"""&amp;"),HYPERLINK(""https://www.munzee.com/m/""&amp;$H380&amp;""/deploys/0/type/""&amp;IFNA(VLOOKUP($G380,IMPORTRANGE(""https://docs.google.com/spreadsheets/d/1DliIGyDywdzxhd4svtjaewR0p9Y5UBTMNMQ2PcXsqss"",""type data!E2:F""),2,FALSE),$G380)&amp;""/"",$H380)),""""))"),"")</f>
        <v/>
      </c>
      <c r="K380" s="5" t="b">
        <v>0</v>
      </c>
      <c r="L380" s="7"/>
      <c r="M380" s="7"/>
    </row>
    <row r="381">
      <c r="A381" s="3" t="s">
        <v>544</v>
      </c>
      <c r="B381" s="3">
        <v>21.0</v>
      </c>
      <c r="C381" s="3">
        <v>22.0</v>
      </c>
      <c r="D381" s="4">
        <v>49.1876258667394</v>
      </c>
      <c r="E381" s="4">
        <v>-2.0938021626957</v>
      </c>
      <c r="F381" s="3" t="s">
        <v>518</v>
      </c>
      <c r="G381" s="3" t="s">
        <v>519</v>
      </c>
      <c r="H381" s="5"/>
      <c r="I381" s="5"/>
      <c r="J381" s="7" t="str">
        <f>IFERROR(__xludf.DUMMYFUNCTION("IF(AND(REGEXMATCH($H381,""50( ?['fF]([oO]{2})?[tT]?)?( ?[eE][rR]{2}[oO][rR])"")=FALSE,$H381&lt;&gt;"""",$I381&lt;&gt;""""),HYPERLINK(""https://www.munzee.com/m/""&amp;$H381&amp;""/""&amp;$I381&amp;""/map/?lat=""&amp;$D381&amp;""&amp;lon=""&amp;$E381&amp;""&amp;type=""&amp;$G381&amp;""&amp;name=""&amp;SUBSTITUTE($A381,""#"&amp;""",""%23""),$H381&amp;""/""&amp;$I381),IF($H381&lt;&gt;"""",IF(REGEXMATCH($H381,""50( ?['fF]([oO]{2})?[tT]?)?( ?[eE][rR]{2}[oO][rR])""),HYPERLINK(""https://www.munzee.com/map/?sandbox=1&amp;lat=""&amp;$D381&amp;""&amp;lon=""&amp;$E381&amp;""&amp;name=""&amp;SUBSTITUTE($A381,""#"",""%23""),""SANDBOX"""&amp;"),HYPERLINK(""https://www.munzee.com/m/""&amp;$H381&amp;""/deploys/0/type/""&amp;IFNA(VLOOKUP($G381,IMPORTRANGE(""https://docs.google.com/spreadsheets/d/1DliIGyDywdzxhd4svtjaewR0p9Y5UBTMNMQ2PcXsqss"",""type data!E2:F""),2,FALSE),$G381)&amp;""/"",$H381)),""""))"),"")</f>
        <v/>
      </c>
      <c r="K381" s="5" t="b">
        <v>0</v>
      </c>
      <c r="L381" s="7"/>
      <c r="M381" s="7"/>
    </row>
    <row r="382">
      <c r="A382" s="3" t="s">
        <v>545</v>
      </c>
      <c r="B382" s="3">
        <v>21.0</v>
      </c>
      <c r="C382" s="3">
        <v>23.0</v>
      </c>
      <c r="D382" s="4">
        <v>49.1875242338624</v>
      </c>
      <c r="E382" s="4">
        <v>-2.0936466623285</v>
      </c>
      <c r="F382" s="3" t="s">
        <v>521</v>
      </c>
      <c r="G382" s="3" t="s">
        <v>522</v>
      </c>
      <c r="H382" s="5"/>
      <c r="I382" s="5"/>
      <c r="J382" s="7" t="str">
        <f>IFERROR(__xludf.DUMMYFUNCTION("IF(AND(REGEXMATCH($H382,""50( ?['fF]([oO]{2})?[tT]?)?( ?[eE][rR]{2}[oO][rR])"")=FALSE,$H382&lt;&gt;"""",$I382&lt;&gt;""""),HYPERLINK(""https://www.munzee.com/m/""&amp;$H382&amp;""/""&amp;$I382&amp;""/map/?lat=""&amp;$D382&amp;""&amp;lon=""&amp;$E382&amp;""&amp;type=""&amp;$G382&amp;""&amp;name=""&amp;SUBSTITUTE($A382,""#"&amp;""",""%23""),$H382&amp;""/""&amp;$I382),IF($H382&lt;&gt;"""",IF(REGEXMATCH($H382,""50( ?['fF]([oO]{2})?[tT]?)?( ?[eE][rR]{2}[oO][rR])""),HYPERLINK(""https://www.munzee.com/map/?sandbox=1&amp;lat=""&amp;$D382&amp;""&amp;lon=""&amp;$E382&amp;""&amp;name=""&amp;SUBSTITUTE($A382,""#"",""%23""),""SANDBOX"""&amp;"),HYPERLINK(""https://www.munzee.com/m/""&amp;$H382&amp;""/deploys/0/type/""&amp;IFNA(VLOOKUP($G382,IMPORTRANGE(""https://docs.google.com/spreadsheets/d/1DliIGyDywdzxhd4svtjaewR0p9Y5UBTMNMQ2PcXsqss"",""type data!E2:F""),2,FALSE),$G382)&amp;""/"",$H382)),""""))"),"")</f>
        <v/>
      </c>
      <c r="K382" s="5" t="b">
        <v>0</v>
      </c>
      <c r="L382" s="7"/>
      <c r="M382" s="7"/>
    </row>
    <row r="383">
      <c r="A383" s="3" t="s">
        <v>546</v>
      </c>
      <c r="B383" s="3">
        <v>21.0</v>
      </c>
      <c r="C383" s="3">
        <v>24.0</v>
      </c>
      <c r="D383" s="4">
        <v>49.1874226009854</v>
      </c>
      <c r="E383" s="4">
        <v>-2.0934911622808</v>
      </c>
      <c r="F383" s="3" t="s">
        <v>385</v>
      </c>
      <c r="G383" s="3" t="s">
        <v>386</v>
      </c>
      <c r="H383" s="5" t="s">
        <v>267</v>
      </c>
      <c r="I383" s="5">
        <v>513.0</v>
      </c>
      <c r="J383" s="6" t="str">
        <f>IFERROR(__xludf.DUMMYFUNCTION("IF(AND(REGEXMATCH($H383,""50( ?['fF]([oO]{2})?[tT]?)?( ?[eE][rR]{2}[oO][rR])"")=FALSE,$H383&lt;&gt;"""",$I383&lt;&gt;""""),HYPERLINK(""https://www.munzee.com/m/""&amp;$H383&amp;""/""&amp;$I383&amp;""/map/?lat=""&amp;$D383&amp;""&amp;lon=""&amp;$E383&amp;""&amp;type=""&amp;$G383&amp;""&amp;name=""&amp;SUBSTITUTE($A383,""#"&amp;""",""%23""),$H383&amp;""/""&amp;$I383),IF($H383&lt;&gt;"""",IF(REGEXMATCH($H383,""50( ?['fF]([oO]{2})?[tT]?)?( ?[eE][rR]{2}[oO][rR])""),HYPERLINK(""https://www.munzee.com/map/?sandbox=1&amp;lat=""&amp;$D383&amp;""&amp;lon=""&amp;$E383&amp;""&amp;name=""&amp;SUBSTITUTE($A383,""#"",""%23""),""SANDBOX"""&amp;"),HYPERLINK(""https://www.munzee.com/m/""&amp;$H383&amp;""/deploys/0/type/""&amp;IFNA(VLOOKUP($G383,IMPORTRANGE(""https://docs.google.com/spreadsheets/d/1DliIGyDywdzxhd4svtjaewR0p9Y5UBTMNMQ2PcXsqss"",""type data!E2:F""),2,FALSE),$G383)&amp;""/"",$H383)),""""))"),"miaiow/513")</f>
        <v>miaiow/513</v>
      </c>
      <c r="K383" s="5" t="b">
        <v>1</v>
      </c>
      <c r="L383" s="7"/>
      <c r="M383" s="7"/>
    </row>
    <row r="384">
      <c r="A384" s="3" t="s">
        <v>547</v>
      </c>
      <c r="B384" s="3">
        <v>21.0</v>
      </c>
      <c r="C384" s="3">
        <v>25.0</v>
      </c>
      <c r="D384" s="4">
        <v>49.1873209681083</v>
      </c>
      <c r="E384" s="4">
        <v>-2.0933356625524</v>
      </c>
      <c r="F384" s="3" t="s">
        <v>385</v>
      </c>
      <c r="G384" s="3" t="s">
        <v>386</v>
      </c>
      <c r="H384" s="5"/>
      <c r="I384" s="5"/>
      <c r="J384" s="7" t="str">
        <f>IFERROR(__xludf.DUMMYFUNCTION("IF(AND(REGEXMATCH($H384,""50( ?['fF]([oO]{2})?[tT]?)?( ?[eE][rR]{2}[oO][rR])"")=FALSE,$H384&lt;&gt;"""",$I384&lt;&gt;""""),HYPERLINK(""https://www.munzee.com/m/""&amp;$H384&amp;""/""&amp;$I384&amp;""/map/?lat=""&amp;$D384&amp;""&amp;lon=""&amp;$E384&amp;""&amp;type=""&amp;$G384&amp;""&amp;name=""&amp;SUBSTITUTE($A384,""#"&amp;""",""%23""),$H384&amp;""/""&amp;$I384),IF($H384&lt;&gt;"""",IF(REGEXMATCH($H384,""50( ?['fF]([oO]{2})?[tT]?)?( ?[eE][rR]{2}[oO][rR])""),HYPERLINK(""https://www.munzee.com/map/?sandbox=1&amp;lat=""&amp;$D384&amp;""&amp;lon=""&amp;$E384&amp;""&amp;name=""&amp;SUBSTITUTE($A384,""#"",""%23""),""SANDBOX"""&amp;"),HYPERLINK(""https://www.munzee.com/m/""&amp;$H384&amp;""/deploys/0/type/""&amp;IFNA(VLOOKUP($G384,IMPORTRANGE(""https://docs.google.com/spreadsheets/d/1DliIGyDywdzxhd4svtjaewR0p9Y5UBTMNMQ2PcXsqss"",""type data!E2:F""),2,FALSE),$G384)&amp;""/"",$H384)),""""))"),"")</f>
        <v/>
      </c>
      <c r="K384" s="5" t="b">
        <v>0</v>
      </c>
      <c r="L384" s="7"/>
      <c r="M384" s="7"/>
    </row>
    <row r="385">
      <c r="A385" s="3" t="s">
        <v>548</v>
      </c>
      <c r="B385" s="3">
        <v>21.0</v>
      </c>
      <c r="C385" s="3">
        <v>26.0</v>
      </c>
      <c r="D385" s="4">
        <v>49.1872193352313</v>
      </c>
      <c r="E385" s="4">
        <v>-2.0931801631434</v>
      </c>
      <c r="F385" s="3" t="s">
        <v>250</v>
      </c>
      <c r="G385" s="3" t="s">
        <v>251</v>
      </c>
      <c r="H385" s="5"/>
      <c r="I385" s="5"/>
      <c r="J385" s="7" t="str">
        <f>IFERROR(__xludf.DUMMYFUNCTION("IF(AND(REGEXMATCH($H385,""50( ?['fF]([oO]{2})?[tT]?)?( ?[eE][rR]{2}[oO][rR])"")=FALSE,$H385&lt;&gt;"""",$I385&lt;&gt;""""),HYPERLINK(""https://www.munzee.com/m/""&amp;$H385&amp;""/""&amp;$I385&amp;""/map/?lat=""&amp;$D385&amp;""&amp;lon=""&amp;$E385&amp;""&amp;type=""&amp;$G385&amp;""&amp;name=""&amp;SUBSTITUTE($A385,""#"&amp;""",""%23""),$H385&amp;""/""&amp;$I385),IF($H385&lt;&gt;"""",IF(REGEXMATCH($H385,""50( ?['fF]([oO]{2})?[tT]?)?( ?[eE][rR]{2}[oO][rR])""),HYPERLINK(""https://www.munzee.com/map/?sandbox=1&amp;lat=""&amp;$D385&amp;""&amp;lon=""&amp;$E385&amp;""&amp;name=""&amp;SUBSTITUTE($A385,""#"",""%23""),""SANDBOX"""&amp;"),HYPERLINK(""https://www.munzee.com/m/""&amp;$H385&amp;""/deploys/0/type/""&amp;IFNA(VLOOKUP($G385,IMPORTRANGE(""https://docs.google.com/spreadsheets/d/1DliIGyDywdzxhd4svtjaewR0p9Y5UBTMNMQ2PcXsqss"",""type data!E2:F""),2,FALSE),$G385)&amp;""/"",$H385)),""""))"),"")</f>
        <v/>
      </c>
      <c r="K385" s="5" t="b">
        <v>0</v>
      </c>
      <c r="L385" s="7"/>
      <c r="M385" s="7"/>
    </row>
    <row r="386">
      <c r="A386" s="3" t="s">
        <v>549</v>
      </c>
      <c r="B386" s="3">
        <v>21.0</v>
      </c>
      <c r="C386" s="3">
        <v>27.0</v>
      </c>
      <c r="D386" s="4">
        <v>49.1871177023543</v>
      </c>
      <c r="E386" s="4">
        <v>-2.0930246640539</v>
      </c>
      <c r="F386" s="3" t="s">
        <v>250</v>
      </c>
      <c r="G386" s="3" t="s">
        <v>251</v>
      </c>
      <c r="H386" s="5"/>
      <c r="I386" s="5"/>
      <c r="J386" s="7" t="str">
        <f>IFERROR(__xludf.DUMMYFUNCTION("IF(AND(REGEXMATCH($H386,""50( ?['fF]([oO]{2})?[tT]?)?( ?[eE][rR]{2}[oO][rR])"")=FALSE,$H386&lt;&gt;"""",$I386&lt;&gt;""""),HYPERLINK(""https://www.munzee.com/m/""&amp;$H386&amp;""/""&amp;$I386&amp;""/map/?lat=""&amp;$D386&amp;""&amp;lon=""&amp;$E386&amp;""&amp;type=""&amp;$G386&amp;""&amp;name=""&amp;SUBSTITUTE($A386,""#"&amp;""",""%23""),$H386&amp;""/""&amp;$I386),IF($H386&lt;&gt;"""",IF(REGEXMATCH($H386,""50( ?['fF]([oO]{2})?[tT]?)?( ?[eE][rR]{2}[oO][rR])""),HYPERLINK(""https://www.munzee.com/map/?sandbox=1&amp;lat=""&amp;$D386&amp;""&amp;lon=""&amp;$E386&amp;""&amp;name=""&amp;SUBSTITUTE($A386,""#"",""%23""),""SANDBOX"""&amp;"),HYPERLINK(""https://www.munzee.com/m/""&amp;$H386&amp;""/deploys/0/type/""&amp;IFNA(VLOOKUP($G386,IMPORTRANGE(""https://docs.google.com/spreadsheets/d/1DliIGyDywdzxhd4svtjaewR0p9Y5UBTMNMQ2PcXsqss"",""type data!E2:F""),2,FALSE),$G386)&amp;""/"",$H386)),""""))"),"")</f>
        <v/>
      </c>
      <c r="K386" s="5" t="b">
        <v>0</v>
      </c>
      <c r="L386" s="7"/>
      <c r="M386" s="7"/>
    </row>
    <row r="387">
      <c r="A387" s="3" t="s">
        <v>550</v>
      </c>
      <c r="B387" s="3">
        <v>22.0</v>
      </c>
      <c r="C387" s="3">
        <v>5.0</v>
      </c>
      <c r="D387" s="4">
        <v>49.1892519927719</v>
      </c>
      <c r="E387" s="4">
        <v>-2.0966012351075</v>
      </c>
      <c r="F387" s="3" t="s">
        <v>250</v>
      </c>
      <c r="G387" s="3" t="s">
        <v>251</v>
      </c>
      <c r="H387" s="5"/>
      <c r="I387" s="5"/>
      <c r="J387" s="7" t="str">
        <f>IFERROR(__xludf.DUMMYFUNCTION("IF(AND(REGEXMATCH($H387,""50( ?['fF]([oO]{2})?[tT]?)?( ?[eE][rR]{2}[oO][rR])"")=FALSE,$H387&lt;&gt;"""",$I387&lt;&gt;""""),HYPERLINK(""https://www.munzee.com/m/""&amp;$H387&amp;""/""&amp;$I387&amp;""/map/?lat=""&amp;$D387&amp;""&amp;lon=""&amp;$E387&amp;""&amp;type=""&amp;$G387&amp;""&amp;name=""&amp;SUBSTITUTE($A387,""#"&amp;""",""%23""),$H387&amp;""/""&amp;$I387),IF($H387&lt;&gt;"""",IF(REGEXMATCH($H387,""50( ?['fF]([oO]{2})?[tT]?)?( ?[eE][rR]{2}[oO][rR])""),HYPERLINK(""https://www.munzee.com/map/?sandbox=1&amp;lat=""&amp;$D387&amp;""&amp;lon=""&amp;$E387&amp;""&amp;name=""&amp;SUBSTITUTE($A387,""#"",""%23""),""SANDBOX"""&amp;"),HYPERLINK(""https://www.munzee.com/m/""&amp;$H387&amp;""/deploys/0/type/""&amp;IFNA(VLOOKUP($G387,IMPORTRANGE(""https://docs.google.com/spreadsheets/d/1DliIGyDywdzxhd4svtjaewR0p9Y5UBTMNMQ2PcXsqss"",""type data!E2:F""),2,FALSE),$G387)&amp;""/"",$H387)),""""))"),"")</f>
        <v/>
      </c>
      <c r="K387" s="5" t="b">
        <v>0</v>
      </c>
      <c r="L387" s="7"/>
      <c r="M387" s="7"/>
    </row>
    <row r="388">
      <c r="A388" s="3" t="s">
        <v>551</v>
      </c>
      <c r="B388" s="3">
        <v>22.0</v>
      </c>
      <c r="C388" s="3">
        <v>6.0</v>
      </c>
      <c r="D388" s="4">
        <v>49.1891503598949</v>
      </c>
      <c r="E388" s="4">
        <v>-2.0964457296295</v>
      </c>
      <c r="F388" s="3" t="s">
        <v>250</v>
      </c>
      <c r="G388" s="3" t="s">
        <v>251</v>
      </c>
      <c r="H388" s="5"/>
      <c r="I388" s="5"/>
      <c r="J388" s="7" t="str">
        <f>IFERROR(__xludf.DUMMYFUNCTION("IF(AND(REGEXMATCH($H388,""50( ?['fF]([oO]{2})?[tT]?)?( ?[eE][rR]{2}[oO][rR])"")=FALSE,$H388&lt;&gt;"""",$I388&lt;&gt;""""),HYPERLINK(""https://www.munzee.com/m/""&amp;$H388&amp;""/""&amp;$I388&amp;""/map/?lat=""&amp;$D388&amp;""&amp;lon=""&amp;$E388&amp;""&amp;type=""&amp;$G388&amp;""&amp;name=""&amp;SUBSTITUTE($A388,""#"&amp;""",""%23""),$H388&amp;""/""&amp;$I388),IF($H388&lt;&gt;"""",IF(REGEXMATCH($H388,""50( ?['fF]([oO]{2})?[tT]?)?( ?[eE][rR]{2}[oO][rR])""),HYPERLINK(""https://www.munzee.com/map/?sandbox=1&amp;lat=""&amp;$D388&amp;""&amp;lon=""&amp;$E388&amp;""&amp;name=""&amp;SUBSTITUTE($A388,""#"",""%23""),""SANDBOX"""&amp;"),HYPERLINK(""https://www.munzee.com/m/""&amp;$H388&amp;""/deploys/0/type/""&amp;IFNA(VLOOKUP($G388,IMPORTRANGE(""https://docs.google.com/spreadsheets/d/1DliIGyDywdzxhd4svtjaewR0p9Y5UBTMNMQ2PcXsqss"",""type data!E2:F""),2,FALSE),$G388)&amp;""/"",$H388)),""""))"),"")</f>
        <v/>
      </c>
      <c r="K388" s="5" t="b">
        <v>0</v>
      </c>
      <c r="L388" s="7"/>
      <c r="M388" s="7"/>
    </row>
    <row r="389">
      <c r="A389" s="3" t="s">
        <v>552</v>
      </c>
      <c r="B389" s="3">
        <v>22.0</v>
      </c>
      <c r="C389" s="3">
        <v>7.0</v>
      </c>
      <c r="D389" s="4">
        <v>49.1890487270179</v>
      </c>
      <c r="E389" s="4">
        <v>-2.096290224471</v>
      </c>
      <c r="F389" s="3" t="s">
        <v>296</v>
      </c>
      <c r="G389" s="3" t="s">
        <v>297</v>
      </c>
      <c r="H389" s="5"/>
      <c r="I389" s="5"/>
      <c r="J389" s="7" t="str">
        <f>IFERROR(__xludf.DUMMYFUNCTION("IF(AND(REGEXMATCH($H389,""50( ?['fF]([oO]{2})?[tT]?)?( ?[eE][rR]{2}[oO][rR])"")=FALSE,$H389&lt;&gt;"""",$I389&lt;&gt;""""),HYPERLINK(""https://www.munzee.com/m/""&amp;$H389&amp;""/""&amp;$I389&amp;""/map/?lat=""&amp;$D389&amp;""&amp;lon=""&amp;$E389&amp;""&amp;type=""&amp;$G389&amp;""&amp;name=""&amp;SUBSTITUTE($A389,""#"&amp;""",""%23""),$H389&amp;""/""&amp;$I389),IF($H389&lt;&gt;"""",IF(REGEXMATCH($H389,""50( ?['fF]([oO]{2})?[tT]?)?( ?[eE][rR]{2}[oO][rR])""),HYPERLINK(""https://www.munzee.com/map/?sandbox=1&amp;lat=""&amp;$D389&amp;""&amp;lon=""&amp;$E389&amp;""&amp;name=""&amp;SUBSTITUTE($A389,""#"",""%23""),""SANDBOX"""&amp;"),HYPERLINK(""https://www.munzee.com/m/""&amp;$H389&amp;""/deploys/0/type/""&amp;IFNA(VLOOKUP($G389,IMPORTRANGE(""https://docs.google.com/spreadsheets/d/1DliIGyDywdzxhd4svtjaewR0p9Y5UBTMNMQ2PcXsqss"",""type data!E2:F""),2,FALSE),$G389)&amp;""/"",$H389)),""""))"),"")</f>
        <v/>
      </c>
      <c r="K389" s="5" t="b">
        <v>0</v>
      </c>
      <c r="L389" s="7"/>
      <c r="M389" s="7"/>
    </row>
    <row r="390">
      <c r="A390" s="3" t="s">
        <v>553</v>
      </c>
      <c r="B390" s="3">
        <v>22.0</v>
      </c>
      <c r="C390" s="3">
        <v>8.0</v>
      </c>
      <c r="D390" s="4">
        <v>49.1889470941408</v>
      </c>
      <c r="E390" s="4">
        <v>-2.0961347196319</v>
      </c>
      <c r="F390" s="3" t="s">
        <v>385</v>
      </c>
      <c r="G390" s="3" t="s">
        <v>386</v>
      </c>
      <c r="H390" s="5" t="s">
        <v>554</v>
      </c>
      <c r="I390" s="5">
        <v>3511.0</v>
      </c>
      <c r="J390" s="6" t="str">
        <f>IFERROR(__xludf.DUMMYFUNCTION("IF(AND(REGEXMATCH($H390,""50( ?['fF]([oO]{2})?[tT]?)?( ?[eE][rR]{2}[oO][rR])"")=FALSE,$H390&lt;&gt;"""",$I390&lt;&gt;""""),HYPERLINK(""https://www.munzee.com/m/""&amp;$H390&amp;""/""&amp;$I390&amp;""/map/?lat=""&amp;$D390&amp;""&amp;lon=""&amp;$E390&amp;""&amp;type=""&amp;$G390&amp;""&amp;name=""&amp;SUBSTITUTE($A390,""#"&amp;""",""%23""),$H390&amp;""/""&amp;$I390),IF($H390&lt;&gt;"""",IF(REGEXMATCH($H390,""50( ?['fF]([oO]{2})?[tT]?)?( ?[eE][rR]{2}[oO][rR])""),HYPERLINK(""https://www.munzee.com/map/?sandbox=1&amp;lat=""&amp;$D390&amp;""&amp;lon=""&amp;$E390&amp;""&amp;name=""&amp;SUBSTITUTE($A390,""#"",""%23""),""SANDBOX"""&amp;"),HYPERLINK(""https://www.munzee.com/m/""&amp;$H390&amp;""/deploys/0/type/""&amp;IFNA(VLOOKUP($G390,IMPORTRANGE(""https://docs.google.com/spreadsheets/d/1DliIGyDywdzxhd4svtjaewR0p9Y5UBTMNMQ2PcXsqss"",""type data!E2:F""),2,FALSE),$G390)&amp;""/"",$H390)),""""))"),"Centern /3511")</f>
        <v>Centern /3511</v>
      </c>
      <c r="K390" s="5" t="b">
        <v>1</v>
      </c>
      <c r="L390" s="7"/>
      <c r="M390" s="7"/>
    </row>
    <row r="391">
      <c r="A391" s="3" t="s">
        <v>555</v>
      </c>
      <c r="B391" s="3">
        <v>22.0</v>
      </c>
      <c r="C391" s="3">
        <v>9.0</v>
      </c>
      <c r="D391" s="4">
        <v>49.1888454612638</v>
      </c>
      <c r="E391" s="4">
        <v>-2.0959792151122</v>
      </c>
      <c r="F391" s="3" t="s">
        <v>385</v>
      </c>
      <c r="G391" s="3" t="s">
        <v>386</v>
      </c>
      <c r="H391" s="5"/>
      <c r="I391" s="5"/>
      <c r="J391" s="7" t="str">
        <f>IFERROR(__xludf.DUMMYFUNCTION("IF(AND(REGEXMATCH($H391,""50( ?['fF]([oO]{2})?[tT]?)?( ?[eE][rR]{2}[oO][rR])"")=FALSE,$H391&lt;&gt;"""",$I391&lt;&gt;""""),HYPERLINK(""https://www.munzee.com/m/""&amp;$H391&amp;""/""&amp;$I391&amp;""/map/?lat=""&amp;$D391&amp;""&amp;lon=""&amp;$E391&amp;""&amp;type=""&amp;$G391&amp;""&amp;name=""&amp;SUBSTITUTE($A391,""#"&amp;""",""%23""),$H391&amp;""/""&amp;$I391),IF($H391&lt;&gt;"""",IF(REGEXMATCH($H391,""50( ?['fF]([oO]{2})?[tT]?)?( ?[eE][rR]{2}[oO][rR])""),HYPERLINK(""https://www.munzee.com/map/?sandbox=1&amp;lat=""&amp;$D391&amp;""&amp;lon=""&amp;$E391&amp;""&amp;name=""&amp;SUBSTITUTE($A391,""#"",""%23""),""SANDBOX"""&amp;"),HYPERLINK(""https://www.munzee.com/m/""&amp;$H391&amp;""/deploys/0/type/""&amp;IFNA(VLOOKUP($G391,IMPORTRANGE(""https://docs.google.com/spreadsheets/d/1DliIGyDywdzxhd4svtjaewR0p9Y5UBTMNMQ2PcXsqss"",""type data!E2:F""),2,FALSE),$G391)&amp;""/"",$H391)),""""))"),"")</f>
        <v/>
      </c>
      <c r="K391" s="5" t="b">
        <v>0</v>
      </c>
      <c r="L391" s="7"/>
      <c r="M391" s="7"/>
    </row>
    <row r="392">
      <c r="A392" s="3" t="s">
        <v>556</v>
      </c>
      <c r="B392" s="3">
        <v>22.0</v>
      </c>
      <c r="C392" s="3">
        <v>10.0</v>
      </c>
      <c r="D392" s="4">
        <v>49.1887438283868</v>
      </c>
      <c r="E392" s="4">
        <v>-2.0958237109119</v>
      </c>
      <c r="F392" s="3" t="s">
        <v>476</v>
      </c>
      <c r="G392" s="3" t="s">
        <v>477</v>
      </c>
      <c r="H392" s="5"/>
      <c r="I392" s="5"/>
      <c r="J392" s="7" t="str">
        <f>IFERROR(__xludf.DUMMYFUNCTION("IF(AND(REGEXMATCH($H392,""50( ?['fF]([oO]{2})?[tT]?)?( ?[eE][rR]{2}[oO][rR])"")=FALSE,$H392&lt;&gt;"""",$I392&lt;&gt;""""),HYPERLINK(""https://www.munzee.com/m/""&amp;$H392&amp;""/""&amp;$I392&amp;""/map/?lat=""&amp;$D392&amp;""&amp;lon=""&amp;$E392&amp;""&amp;type=""&amp;$G392&amp;""&amp;name=""&amp;SUBSTITUTE($A392,""#"&amp;""",""%23""),$H392&amp;""/""&amp;$I392),IF($H392&lt;&gt;"""",IF(REGEXMATCH($H392,""50( ?['fF]([oO]{2})?[tT]?)?( ?[eE][rR]{2}[oO][rR])""),HYPERLINK(""https://www.munzee.com/map/?sandbox=1&amp;lat=""&amp;$D392&amp;""&amp;lon=""&amp;$E392&amp;""&amp;name=""&amp;SUBSTITUTE($A392,""#"",""%23""),""SANDBOX"""&amp;"),HYPERLINK(""https://www.munzee.com/m/""&amp;$H392&amp;""/deploys/0/type/""&amp;IFNA(VLOOKUP($G392,IMPORTRANGE(""https://docs.google.com/spreadsheets/d/1DliIGyDywdzxhd4svtjaewR0p9Y5UBTMNMQ2PcXsqss"",""type data!E2:F""),2,FALSE),$G392)&amp;""/"",$H392)),""""))"),"")</f>
        <v/>
      </c>
      <c r="K392" s="5" t="b">
        <v>0</v>
      </c>
      <c r="L392" s="7"/>
      <c r="M392" s="7"/>
    </row>
    <row r="393">
      <c r="A393" s="3" t="s">
        <v>557</v>
      </c>
      <c r="B393" s="3">
        <v>22.0</v>
      </c>
      <c r="C393" s="3">
        <v>11.0</v>
      </c>
      <c r="D393" s="4">
        <v>49.1886421955097</v>
      </c>
      <c r="E393" s="4">
        <v>-2.0956682070311</v>
      </c>
      <c r="F393" s="3" t="s">
        <v>453</v>
      </c>
      <c r="G393" s="3" t="s">
        <v>454</v>
      </c>
      <c r="H393" s="5"/>
      <c r="I393" s="5"/>
      <c r="J393" s="7" t="str">
        <f>IFERROR(__xludf.DUMMYFUNCTION("IF(AND(REGEXMATCH($H393,""50( ?['fF]([oO]{2})?[tT]?)?( ?[eE][rR]{2}[oO][rR])"")=FALSE,$H393&lt;&gt;"""",$I393&lt;&gt;""""),HYPERLINK(""https://www.munzee.com/m/""&amp;$H393&amp;""/""&amp;$I393&amp;""/map/?lat=""&amp;$D393&amp;""&amp;lon=""&amp;$E393&amp;""&amp;type=""&amp;$G393&amp;""&amp;name=""&amp;SUBSTITUTE($A393,""#"&amp;""",""%23""),$H393&amp;""/""&amp;$I393),IF($H393&lt;&gt;"""",IF(REGEXMATCH($H393,""50( ?['fF]([oO]{2})?[tT]?)?( ?[eE][rR]{2}[oO][rR])""),HYPERLINK(""https://www.munzee.com/map/?sandbox=1&amp;lat=""&amp;$D393&amp;""&amp;lon=""&amp;$E393&amp;""&amp;name=""&amp;SUBSTITUTE($A393,""#"",""%23""),""SANDBOX"""&amp;"),HYPERLINK(""https://www.munzee.com/m/""&amp;$H393&amp;""/deploys/0/type/""&amp;IFNA(VLOOKUP($G393,IMPORTRANGE(""https://docs.google.com/spreadsheets/d/1DliIGyDywdzxhd4svtjaewR0p9Y5UBTMNMQ2PcXsqss"",""type data!E2:F""),2,FALSE),$G393)&amp;""/"",$H393)),""""))"),"")</f>
        <v/>
      </c>
      <c r="K393" s="5" t="b">
        <v>0</v>
      </c>
      <c r="L393" s="7"/>
      <c r="M393" s="7"/>
    </row>
    <row r="394">
      <c r="A394" s="3" t="s">
        <v>558</v>
      </c>
      <c r="B394" s="3">
        <v>22.0</v>
      </c>
      <c r="C394" s="3">
        <v>12.0</v>
      </c>
      <c r="D394" s="4">
        <v>49.1885405626327</v>
      </c>
      <c r="E394" s="4">
        <v>-2.0955127034697</v>
      </c>
      <c r="F394" s="3" t="s">
        <v>366</v>
      </c>
      <c r="G394" s="3" t="s">
        <v>367</v>
      </c>
      <c r="H394" s="5"/>
      <c r="I394" s="5"/>
      <c r="J394" s="7" t="str">
        <f>IFERROR(__xludf.DUMMYFUNCTION("IF(AND(REGEXMATCH($H394,""50( ?['fF]([oO]{2})?[tT]?)?( ?[eE][rR]{2}[oO][rR])"")=FALSE,$H394&lt;&gt;"""",$I394&lt;&gt;""""),HYPERLINK(""https://www.munzee.com/m/""&amp;$H394&amp;""/""&amp;$I394&amp;""/map/?lat=""&amp;$D394&amp;""&amp;lon=""&amp;$E394&amp;""&amp;type=""&amp;$G394&amp;""&amp;name=""&amp;SUBSTITUTE($A394,""#"&amp;""",""%23""),$H394&amp;""/""&amp;$I394),IF($H394&lt;&gt;"""",IF(REGEXMATCH($H394,""50( ?['fF]([oO]{2})?[tT]?)?( ?[eE][rR]{2}[oO][rR])""),HYPERLINK(""https://www.munzee.com/map/?sandbox=1&amp;lat=""&amp;$D394&amp;""&amp;lon=""&amp;$E394&amp;""&amp;name=""&amp;SUBSTITUTE($A394,""#"",""%23""),""SANDBOX"""&amp;"),HYPERLINK(""https://www.munzee.com/m/""&amp;$H394&amp;""/deploys/0/type/""&amp;IFNA(VLOOKUP($G394,IMPORTRANGE(""https://docs.google.com/spreadsheets/d/1DliIGyDywdzxhd4svtjaewR0p9Y5UBTMNMQ2PcXsqss"",""type data!E2:F""),2,FALSE),$G394)&amp;""/"",$H394)),""""))"),"")</f>
        <v/>
      </c>
      <c r="K394" s="5" t="b">
        <v>0</v>
      </c>
      <c r="L394" s="7"/>
      <c r="M394" s="7"/>
    </row>
    <row r="395">
      <c r="A395" s="3" t="s">
        <v>559</v>
      </c>
      <c r="B395" s="3">
        <v>22.0</v>
      </c>
      <c r="C395" s="3">
        <v>13.0</v>
      </c>
      <c r="D395" s="4">
        <v>49.1884389297557</v>
      </c>
      <c r="E395" s="4">
        <v>-2.0953572002277</v>
      </c>
      <c r="F395" s="3" t="s">
        <v>366</v>
      </c>
      <c r="G395" s="3" t="s">
        <v>367</v>
      </c>
      <c r="H395" s="5"/>
      <c r="I395" s="5"/>
      <c r="J395" s="7" t="str">
        <f>IFERROR(__xludf.DUMMYFUNCTION("IF(AND(REGEXMATCH($H395,""50( ?['fF]([oO]{2})?[tT]?)?( ?[eE][rR]{2}[oO][rR])"")=FALSE,$H395&lt;&gt;"""",$I395&lt;&gt;""""),HYPERLINK(""https://www.munzee.com/m/""&amp;$H395&amp;""/""&amp;$I395&amp;""/map/?lat=""&amp;$D395&amp;""&amp;lon=""&amp;$E395&amp;""&amp;type=""&amp;$G395&amp;""&amp;name=""&amp;SUBSTITUTE($A395,""#"&amp;""",""%23""),$H395&amp;""/""&amp;$I395),IF($H395&lt;&gt;"""",IF(REGEXMATCH($H395,""50( ?['fF]([oO]{2})?[tT]?)?( ?[eE][rR]{2}[oO][rR])""),HYPERLINK(""https://www.munzee.com/map/?sandbox=1&amp;lat=""&amp;$D395&amp;""&amp;lon=""&amp;$E395&amp;""&amp;name=""&amp;SUBSTITUTE($A395,""#"",""%23""),""SANDBOX"""&amp;"),HYPERLINK(""https://www.munzee.com/m/""&amp;$H395&amp;""/deploys/0/type/""&amp;IFNA(VLOOKUP($G395,IMPORTRANGE(""https://docs.google.com/spreadsheets/d/1DliIGyDywdzxhd4svtjaewR0p9Y5UBTMNMQ2PcXsqss"",""type data!E2:F""),2,FALSE),$G395)&amp;""/"",$H395)),""""))"),"")</f>
        <v/>
      </c>
      <c r="K395" s="5" t="b">
        <v>0</v>
      </c>
      <c r="L395" s="7"/>
      <c r="M395" s="7"/>
    </row>
    <row r="396">
      <c r="A396" s="3" t="s">
        <v>560</v>
      </c>
      <c r="B396" s="3">
        <v>22.0</v>
      </c>
      <c r="C396" s="3">
        <v>14.0</v>
      </c>
      <c r="D396" s="4">
        <v>49.1883372968786</v>
      </c>
      <c r="E396" s="4">
        <v>-2.0952016973051</v>
      </c>
      <c r="F396" s="3" t="s">
        <v>339</v>
      </c>
      <c r="G396" s="3" t="s">
        <v>340</v>
      </c>
      <c r="H396" s="5"/>
      <c r="I396" s="5"/>
      <c r="J396" s="7" t="str">
        <f>IFERROR(__xludf.DUMMYFUNCTION("IF(AND(REGEXMATCH($H396,""50( ?['fF]([oO]{2})?[tT]?)?( ?[eE][rR]{2}[oO][rR])"")=FALSE,$H396&lt;&gt;"""",$I396&lt;&gt;""""),HYPERLINK(""https://www.munzee.com/m/""&amp;$H396&amp;""/""&amp;$I396&amp;""/map/?lat=""&amp;$D396&amp;""&amp;lon=""&amp;$E396&amp;""&amp;type=""&amp;$G396&amp;""&amp;name=""&amp;SUBSTITUTE($A396,""#"&amp;""",""%23""),$H396&amp;""/""&amp;$I396),IF($H396&lt;&gt;"""",IF(REGEXMATCH($H396,""50( ?['fF]([oO]{2})?[tT]?)?( ?[eE][rR]{2}[oO][rR])""),HYPERLINK(""https://www.munzee.com/map/?sandbox=1&amp;lat=""&amp;$D396&amp;""&amp;lon=""&amp;$E396&amp;""&amp;name=""&amp;SUBSTITUTE($A396,""#"",""%23""),""SANDBOX"""&amp;"),HYPERLINK(""https://www.munzee.com/m/""&amp;$H396&amp;""/deploys/0/type/""&amp;IFNA(VLOOKUP($G396,IMPORTRANGE(""https://docs.google.com/spreadsheets/d/1DliIGyDywdzxhd4svtjaewR0p9Y5UBTMNMQ2PcXsqss"",""type data!E2:F""),2,FALSE),$G396)&amp;""/"",$H396)),""""))"),"")</f>
        <v/>
      </c>
      <c r="K396" s="5" t="b">
        <v>0</v>
      </c>
      <c r="L396" s="7"/>
      <c r="M396" s="7"/>
    </row>
    <row r="397">
      <c r="A397" s="3" t="s">
        <v>561</v>
      </c>
      <c r="B397" s="3">
        <v>22.0</v>
      </c>
      <c r="C397" s="3">
        <v>15.0</v>
      </c>
      <c r="D397" s="4">
        <v>49.1882356640016</v>
      </c>
      <c r="E397" s="4">
        <v>-2.095046194702</v>
      </c>
      <c r="F397" s="3" t="s">
        <v>339</v>
      </c>
      <c r="G397" s="3" t="s">
        <v>340</v>
      </c>
      <c r="H397" s="5"/>
      <c r="I397" s="5"/>
      <c r="J397" s="7" t="str">
        <f>IFERROR(__xludf.DUMMYFUNCTION("IF(AND(REGEXMATCH($H397,""50( ?['fF]([oO]{2})?[tT]?)?( ?[eE][rR]{2}[oO][rR])"")=FALSE,$H397&lt;&gt;"""",$I397&lt;&gt;""""),HYPERLINK(""https://www.munzee.com/m/""&amp;$H397&amp;""/""&amp;$I397&amp;""/map/?lat=""&amp;$D397&amp;""&amp;lon=""&amp;$E397&amp;""&amp;type=""&amp;$G397&amp;""&amp;name=""&amp;SUBSTITUTE($A397,""#"&amp;""",""%23""),$H397&amp;""/""&amp;$I397),IF($H397&lt;&gt;"""",IF(REGEXMATCH($H397,""50( ?['fF]([oO]{2})?[tT]?)?( ?[eE][rR]{2}[oO][rR])""),HYPERLINK(""https://www.munzee.com/map/?sandbox=1&amp;lat=""&amp;$D397&amp;""&amp;lon=""&amp;$E397&amp;""&amp;name=""&amp;SUBSTITUTE($A397,""#"",""%23""),""SANDBOX"""&amp;"),HYPERLINK(""https://www.munzee.com/m/""&amp;$H397&amp;""/deploys/0/type/""&amp;IFNA(VLOOKUP($G397,IMPORTRANGE(""https://docs.google.com/spreadsheets/d/1DliIGyDywdzxhd4svtjaewR0p9Y5UBTMNMQ2PcXsqss"",""type data!E2:F""),2,FALSE),$G397)&amp;""/"",$H397)),""""))"),"")</f>
        <v/>
      </c>
      <c r="K397" s="5" t="b">
        <v>0</v>
      </c>
      <c r="L397" s="7"/>
      <c r="M397" s="7"/>
    </row>
    <row r="398">
      <c r="A398" s="3" t="s">
        <v>562</v>
      </c>
      <c r="B398" s="3">
        <v>22.0</v>
      </c>
      <c r="C398" s="3">
        <v>16.0</v>
      </c>
      <c r="D398" s="4">
        <v>49.1881340311246</v>
      </c>
      <c r="E398" s="4">
        <v>-2.0948906924184</v>
      </c>
      <c r="F398" s="3" t="s">
        <v>339</v>
      </c>
      <c r="G398" s="3" t="s">
        <v>340</v>
      </c>
      <c r="H398" s="5"/>
      <c r="I398" s="5"/>
      <c r="J398" s="7" t="str">
        <f>IFERROR(__xludf.DUMMYFUNCTION("IF(AND(REGEXMATCH($H398,""50( ?['fF]([oO]{2})?[tT]?)?( ?[eE][rR]{2}[oO][rR])"")=FALSE,$H398&lt;&gt;"""",$I398&lt;&gt;""""),HYPERLINK(""https://www.munzee.com/m/""&amp;$H398&amp;""/""&amp;$I398&amp;""/map/?lat=""&amp;$D398&amp;""&amp;lon=""&amp;$E398&amp;""&amp;type=""&amp;$G398&amp;""&amp;name=""&amp;SUBSTITUTE($A398,""#"&amp;""",""%23""),$H398&amp;""/""&amp;$I398),IF($H398&lt;&gt;"""",IF(REGEXMATCH($H398,""50( ?['fF]([oO]{2})?[tT]?)?( ?[eE][rR]{2}[oO][rR])""),HYPERLINK(""https://www.munzee.com/map/?sandbox=1&amp;lat=""&amp;$D398&amp;""&amp;lon=""&amp;$E398&amp;""&amp;name=""&amp;SUBSTITUTE($A398,""#"",""%23""),""SANDBOX"""&amp;"),HYPERLINK(""https://www.munzee.com/m/""&amp;$H398&amp;""/deploys/0/type/""&amp;IFNA(VLOOKUP($G398,IMPORTRANGE(""https://docs.google.com/spreadsheets/d/1DliIGyDywdzxhd4svtjaewR0p9Y5UBTMNMQ2PcXsqss"",""type data!E2:F""),2,FALSE),$G398)&amp;""/"",$H398)),""""))"),"")</f>
        <v/>
      </c>
      <c r="K398" s="5" t="b">
        <v>0</v>
      </c>
      <c r="L398" s="7"/>
      <c r="M398" s="7"/>
    </row>
    <row r="399">
      <c r="A399" s="3" t="s">
        <v>563</v>
      </c>
      <c r="B399" s="3">
        <v>22.0</v>
      </c>
      <c r="C399" s="3">
        <v>17.0</v>
      </c>
      <c r="D399" s="4">
        <v>49.1880323982475</v>
      </c>
      <c r="E399" s="4">
        <v>-2.0947351904541</v>
      </c>
      <c r="F399" s="3" t="s">
        <v>339</v>
      </c>
      <c r="G399" s="3" t="s">
        <v>340</v>
      </c>
      <c r="H399" s="5"/>
      <c r="I399" s="5"/>
      <c r="J399" s="7" t="str">
        <f>IFERROR(__xludf.DUMMYFUNCTION("IF(AND(REGEXMATCH($H399,""50( ?['fF]([oO]{2})?[tT]?)?( ?[eE][rR]{2}[oO][rR])"")=FALSE,$H399&lt;&gt;"""",$I399&lt;&gt;""""),HYPERLINK(""https://www.munzee.com/m/""&amp;$H399&amp;""/""&amp;$I399&amp;""/map/?lat=""&amp;$D399&amp;""&amp;lon=""&amp;$E399&amp;""&amp;type=""&amp;$G399&amp;""&amp;name=""&amp;SUBSTITUTE($A399,""#"&amp;""",""%23""),$H399&amp;""/""&amp;$I399),IF($H399&lt;&gt;"""",IF(REGEXMATCH($H399,""50( ?['fF]([oO]{2})?[tT]?)?( ?[eE][rR]{2}[oO][rR])""),HYPERLINK(""https://www.munzee.com/map/?sandbox=1&amp;lat=""&amp;$D399&amp;""&amp;lon=""&amp;$E399&amp;""&amp;name=""&amp;SUBSTITUTE($A399,""#"",""%23""),""SANDBOX"""&amp;"),HYPERLINK(""https://www.munzee.com/m/""&amp;$H399&amp;""/deploys/0/type/""&amp;IFNA(VLOOKUP($G399,IMPORTRANGE(""https://docs.google.com/spreadsheets/d/1DliIGyDywdzxhd4svtjaewR0p9Y5UBTMNMQ2PcXsqss"",""type data!E2:F""),2,FALSE),$G399)&amp;""/"",$H399)),""""))"),"")</f>
        <v/>
      </c>
      <c r="K399" s="5" t="b">
        <v>0</v>
      </c>
      <c r="L399" s="7"/>
      <c r="M399" s="7"/>
    </row>
    <row r="400">
      <c r="A400" s="3" t="s">
        <v>564</v>
      </c>
      <c r="B400" s="3">
        <v>22.0</v>
      </c>
      <c r="C400" s="3">
        <v>18.0</v>
      </c>
      <c r="D400" s="4">
        <v>49.1879307653705</v>
      </c>
      <c r="E400" s="4">
        <v>-2.0945796888093</v>
      </c>
      <c r="F400" s="3" t="s">
        <v>339</v>
      </c>
      <c r="G400" s="3" t="s">
        <v>340</v>
      </c>
      <c r="H400" s="5"/>
      <c r="I400" s="5"/>
      <c r="J400" s="7" t="str">
        <f>IFERROR(__xludf.DUMMYFUNCTION("IF(AND(REGEXMATCH($H400,""50( ?['fF]([oO]{2})?[tT]?)?( ?[eE][rR]{2}[oO][rR])"")=FALSE,$H400&lt;&gt;"""",$I400&lt;&gt;""""),HYPERLINK(""https://www.munzee.com/m/""&amp;$H400&amp;""/""&amp;$I400&amp;""/map/?lat=""&amp;$D400&amp;""&amp;lon=""&amp;$E400&amp;""&amp;type=""&amp;$G400&amp;""&amp;name=""&amp;SUBSTITUTE($A400,""#"&amp;""",""%23""),$H400&amp;""/""&amp;$I400),IF($H400&lt;&gt;"""",IF(REGEXMATCH($H400,""50( ?['fF]([oO]{2})?[tT]?)?( ?[eE][rR]{2}[oO][rR])""),HYPERLINK(""https://www.munzee.com/map/?sandbox=1&amp;lat=""&amp;$D400&amp;""&amp;lon=""&amp;$E400&amp;""&amp;name=""&amp;SUBSTITUTE($A400,""#"",""%23""),""SANDBOX"""&amp;"),HYPERLINK(""https://www.munzee.com/m/""&amp;$H400&amp;""/deploys/0/type/""&amp;IFNA(VLOOKUP($G400,IMPORTRANGE(""https://docs.google.com/spreadsheets/d/1DliIGyDywdzxhd4svtjaewR0p9Y5UBTMNMQ2PcXsqss"",""type data!E2:F""),2,FALSE),$G400)&amp;""/"",$H400)),""""))"),"")</f>
        <v/>
      </c>
      <c r="K400" s="5" t="b">
        <v>0</v>
      </c>
      <c r="L400" s="7"/>
      <c r="M400" s="7"/>
    </row>
    <row r="401">
      <c r="A401" s="3" t="s">
        <v>565</v>
      </c>
      <c r="B401" s="3">
        <v>22.0</v>
      </c>
      <c r="C401" s="3">
        <v>19.0</v>
      </c>
      <c r="D401" s="4">
        <v>49.1878291324935</v>
      </c>
      <c r="E401" s="4">
        <v>-2.0944241874838</v>
      </c>
      <c r="F401" s="3" t="s">
        <v>296</v>
      </c>
      <c r="G401" s="3" t="s">
        <v>297</v>
      </c>
      <c r="H401" s="5"/>
      <c r="I401" s="5"/>
      <c r="J401" s="7" t="str">
        <f>IFERROR(__xludf.DUMMYFUNCTION("IF(AND(REGEXMATCH($H401,""50( ?['fF]([oO]{2})?[tT]?)?( ?[eE][rR]{2}[oO][rR])"")=FALSE,$H401&lt;&gt;"""",$I401&lt;&gt;""""),HYPERLINK(""https://www.munzee.com/m/""&amp;$H401&amp;""/""&amp;$I401&amp;""/map/?lat=""&amp;$D401&amp;""&amp;lon=""&amp;$E401&amp;""&amp;type=""&amp;$G401&amp;""&amp;name=""&amp;SUBSTITUTE($A401,""#"&amp;""",""%23""),$H401&amp;""/""&amp;$I401),IF($H401&lt;&gt;"""",IF(REGEXMATCH($H401,""50( ?['fF]([oO]{2})?[tT]?)?( ?[eE][rR]{2}[oO][rR])""),HYPERLINK(""https://www.munzee.com/map/?sandbox=1&amp;lat=""&amp;$D401&amp;""&amp;lon=""&amp;$E401&amp;""&amp;name=""&amp;SUBSTITUTE($A401,""#"",""%23""),""SANDBOX"""&amp;"),HYPERLINK(""https://www.munzee.com/m/""&amp;$H401&amp;""/deploys/0/type/""&amp;IFNA(VLOOKUP($G401,IMPORTRANGE(""https://docs.google.com/spreadsheets/d/1DliIGyDywdzxhd4svtjaewR0p9Y5UBTMNMQ2PcXsqss"",""type data!E2:F""),2,FALSE),$G401)&amp;""/"",$H401)),""""))"),"")</f>
        <v/>
      </c>
      <c r="K401" s="5" t="b">
        <v>0</v>
      </c>
      <c r="L401" s="7"/>
      <c r="M401" s="7"/>
    </row>
    <row r="402">
      <c r="A402" s="3" t="s">
        <v>566</v>
      </c>
      <c r="B402" s="3">
        <v>22.0</v>
      </c>
      <c r="C402" s="3">
        <v>20.0</v>
      </c>
      <c r="D402" s="4">
        <v>49.1877274996164</v>
      </c>
      <c r="E402" s="4">
        <v>-2.0942686864778</v>
      </c>
      <c r="F402" s="3" t="s">
        <v>296</v>
      </c>
      <c r="G402" s="3" t="s">
        <v>297</v>
      </c>
      <c r="H402" s="5"/>
      <c r="I402" s="5"/>
      <c r="J402" s="7" t="str">
        <f>IFERROR(__xludf.DUMMYFUNCTION("IF(AND(REGEXMATCH($H402,""50( ?['fF]([oO]{2})?[tT]?)?( ?[eE][rR]{2}[oO][rR])"")=FALSE,$H402&lt;&gt;"""",$I402&lt;&gt;""""),HYPERLINK(""https://www.munzee.com/m/""&amp;$H402&amp;""/""&amp;$I402&amp;""/map/?lat=""&amp;$D402&amp;""&amp;lon=""&amp;$E402&amp;""&amp;type=""&amp;$G402&amp;""&amp;name=""&amp;SUBSTITUTE($A402,""#"&amp;""",""%23""),$H402&amp;""/""&amp;$I402),IF($H402&lt;&gt;"""",IF(REGEXMATCH($H402,""50( ?['fF]([oO]{2})?[tT]?)?( ?[eE][rR]{2}[oO][rR])""),HYPERLINK(""https://www.munzee.com/map/?sandbox=1&amp;lat=""&amp;$D402&amp;""&amp;lon=""&amp;$E402&amp;""&amp;name=""&amp;SUBSTITUTE($A402,""#"",""%23""),""SANDBOX"""&amp;"),HYPERLINK(""https://www.munzee.com/m/""&amp;$H402&amp;""/deploys/0/type/""&amp;IFNA(VLOOKUP($G402,IMPORTRANGE(""https://docs.google.com/spreadsheets/d/1DliIGyDywdzxhd4svtjaewR0p9Y5UBTMNMQ2PcXsqss"",""type data!E2:F""),2,FALSE),$G402)&amp;""/"",$H402)),""""))"),"")</f>
        <v/>
      </c>
      <c r="K402" s="5" t="b">
        <v>0</v>
      </c>
      <c r="L402" s="7"/>
      <c r="M402" s="7"/>
    </row>
    <row r="403">
      <c r="A403" s="3" t="s">
        <v>567</v>
      </c>
      <c r="B403" s="3">
        <v>22.0</v>
      </c>
      <c r="C403" s="3">
        <v>21.0</v>
      </c>
      <c r="D403" s="4">
        <v>49.1876258667394</v>
      </c>
      <c r="E403" s="4">
        <v>-2.0941131857912</v>
      </c>
      <c r="F403" s="3" t="s">
        <v>296</v>
      </c>
      <c r="G403" s="3" t="s">
        <v>297</v>
      </c>
      <c r="H403" s="5"/>
      <c r="I403" s="5"/>
      <c r="J403" s="7" t="str">
        <f>IFERROR(__xludf.DUMMYFUNCTION("IF(AND(REGEXMATCH($H403,""50( ?['fF]([oO]{2})?[tT]?)?( ?[eE][rR]{2}[oO][rR])"")=FALSE,$H403&lt;&gt;"""",$I403&lt;&gt;""""),HYPERLINK(""https://www.munzee.com/m/""&amp;$H403&amp;""/""&amp;$I403&amp;""/map/?lat=""&amp;$D403&amp;""&amp;lon=""&amp;$E403&amp;""&amp;type=""&amp;$G403&amp;""&amp;name=""&amp;SUBSTITUTE($A403,""#"&amp;""",""%23""),$H403&amp;""/""&amp;$I403),IF($H403&lt;&gt;"""",IF(REGEXMATCH($H403,""50( ?['fF]([oO]{2})?[tT]?)?( ?[eE][rR]{2}[oO][rR])""),HYPERLINK(""https://www.munzee.com/map/?sandbox=1&amp;lat=""&amp;$D403&amp;""&amp;lon=""&amp;$E403&amp;""&amp;name=""&amp;SUBSTITUTE($A403,""#"",""%23""),""SANDBOX"""&amp;"),HYPERLINK(""https://www.munzee.com/m/""&amp;$H403&amp;""/deploys/0/type/""&amp;IFNA(VLOOKUP($G403,IMPORTRANGE(""https://docs.google.com/spreadsheets/d/1DliIGyDywdzxhd4svtjaewR0p9Y5UBTMNMQ2PcXsqss"",""type data!E2:F""),2,FALSE),$G403)&amp;""/"",$H403)),""""))"),"")</f>
        <v/>
      </c>
      <c r="K403" s="5" t="b">
        <v>0</v>
      </c>
      <c r="L403" s="7"/>
      <c r="M403" s="7"/>
    </row>
    <row r="404">
      <c r="A404" s="3" t="s">
        <v>568</v>
      </c>
      <c r="B404" s="3">
        <v>22.0</v>
      </c>
      <c r="C404" s="3">
        <v>22.0</v>
      </c>
      <c r="D404" s="4">
        <v>49.1875242338624</v>
      </c>
      <c r="E404" s="4">
        <v>-2.093957685424</v>
      </c>
      <c r="F404" s="3" t="s">
        <v>476</v>
      </c>
      <c r="G404" s="3" t="s">
        <v>477</v>
      </c>
      <c r="H404" s="5"/>
      <c r="I404" s="5"/>
      <c r="J404" s="7" t="str">
        <f>IFERROR(__xludf.DUMMYFUNCTION("IF(AND(REGEXMATCH($H404,""50( ?['fF]([oO]{2})?[tT]?)?( ?[eE][rR]{2}[oO][rR])"")=FALSE,$H404&lt;&gt;"""",$I404&lt;&gt;""""),HYPERLINK(""https://www.munzee.com/m/""&amp;$H404&amp;""/""&amp;$I404&amp;""/map/?lat=""&amp;$D404&amp;""&amp;lon=""&amp;$E404&amp;""&amp;type=""&amp;$G404&amp;""&amp;name=""&amp;SUBSTITUTE($A404,""#"&amp;""",""%23""),$H404&amp;""/""&amp;$I404),IF($H404&lt;&gt;"""",IF(REGEXMATCH($H404,""50( ?['fF]([oO]{2})?[tT]?)?( ?[eE][rR]{2}[oO][rR])""),HYPERLINK(""https://www.munzee.com/map/?sandbox=1&amp;lat=""&amp;$D404&amp;""&amp;lon=""&amp;$E404&amp;""&amp;name=""&amp;SUBSTITUTE($A404,""#"",""%23""),""SANDBOX"""&amp;"),HYPERLINK(""https://www.munzee.com/m/""&amp;$H404&amp;""/deploys/0/type/""&amp;IFNA(VLOOKUP($G404,IMPORTRANGE(""https://docs.google.com/spreadsheets/d/1DliIGyDywdzxhd4svtjaewR0p9Y5UBTMNMQ2PcXsqss"",""type data!E2:F""),2,FALSE),$G404)&amp;""/"",$H404)),""""))"),"")</f>
        <v/>
      </c>
      <c r="K404" s="5" t="b">
        <v>0</v>
      </c>
      <c r="L404" s="7"/>
      <c r="M404" s="7"/>
    </row>
    <row r="405">
      <c r="A405" s="3" t="s">
        <v>569</v>
      </c>
      <c r="B405" s="3">
        <v>22.0</v>
      </c>
      <c r="C405" s="3">
        <v>23.0</v>
      </c>
      <c r="D405" s="4">
        <v>49.1874226009854</v>
      </c>
      <c r="E405" s="4">
        <v>-2.0938021853763</v>
      </c>
      <c r="F405" s="3" t="s">
        <v>521</v>
      </c>
      <c r="G405" s="3" t="s">
        <v>522</v>
      </c>
      <c r="H405" s="5"/>
      <c r="I405" s="5"/>
      <c r="J405" s="7" t="str">
        <f>IFERROR(__xludf.DUMMYFUNCTION("IF(AND(REGEXMATCH($H405,""50( ?['fF]([oO]{2})?[tT]?)?( ?[eE][rR]{2}[oO][rR])"")=FALSE,$H405&lt;&gt;"""",$I405&lt;&gt;""""),HYPERLINK(""https://www.munzee.com/m/""&amp;$H405&amp;""/""&amp;$I405&amp;""/map/?lat=""&amp;$D405&amp;""&amp;lon=""&amp;$E405&amp;""&amp;type=""&amp;$G405&amp;""&amp;name=""&amp;SUBSTITUTE($A405,""#"&amp;""",""%23""),$H405&amp;""/""&amp;$I405),IF($H405&lt;&gt;"""",IF(REGEXMATCH($H405,""50( ?['fF]([oO]{2})?[tT]?)?( ?[eE][rR]{2}[oO][rR])""),HYPERLINK(""https://www.munzee.com/map/?sandbox=1&amp;lat=""&amp;$D405&amp;""&amp;lon=""&amp;$E405&amp;""&amp;name=""&amp;SUBSTITUTE($A405,""#"",""%23""),""SANDBOX"""&amp;"),HYPERLINK(""https://www.munzee.com/m/""&amp;$H405&amp;""/deploys/0/type/""&amp;IFNA(VLOOKUP($G405,IMPORTRANGE(""https://docs.google.com/spreadsheets/d/1DliIGyDywdzxhd4svtjaewR0p9Y5UBTMNMQ2PcXsqss"",""type data!E2:F""),2,FALSE),$G405)&amp;""/"",$H405)),""""))"),"")</f>
        <v/>
      </c>
      <c r="K405" s="5" t="b">
        <v>0</v>
      </c>
      <c r="L405" s="7"/>
      <c r="M405" s="7"/>
    </row>
    <row r="406">
      <c r="A406" s="3" t="s">
        <v>570</v>
      </c>
      <c r="B406" s="3">
        <v>22.0</v>
      </c>
      <c r="C406" s="3">
        <v>24.0</v>
      </c>
      <c r="D406" s="4">
        <v>49.1873209681083</v>
      </c>
      <c r="E406" s="4">
        <v>-2.0936466856479</v>
      </c>
      <c r="F406" s="3" t="s">
        <v>385</v>
      </c>
      <c r="G406" s="3" t="s">
        <v>386</v>
      </c>
      <c r="H406" s="5" t="s">
        <v>99</v>
      </c>
      <c r="I406" s="5">
        <v>7660.0</v>
      </c>
      <c r="J406" s="6" t="str">
        <f>IFERROR(__xludf.DUMMYFUNCTION("IF(AND(REGEXMATCH($H406,""50( ?['fF]([oO]{2})?[tT]?)?( ?[eE][rR]{2}[oO][rR])"")=FALSE,$H406&lt;&gt;"""",$I406&lt;&gt;""""),HYPERLINK(""https://www.munzee.com/m/""&amp;$H406&amp;""/""&amp;$I406&amp;""/map/?lat=""&amp;$D406&amp;""&amp;lon=""&amp;$E406&amp;""&amp;type=""&amp;$G406&amp;""&amp;name=""&amp;SUBSTITUTE($A406,""#"&amp;""",""%23""),$H406&amp;""/""&amp;$I406),IF($H406&lt;&gt;"""",IF(REGEXMATCH($H406,""50( ?['fF]([oO]{2})?[tT]?)?( ?[eE][rR]{2}[oO][rR])""),HYPERLINK(""https://www.munzee.com/map/?sandbox=1&amp;lat=""&amp;$D406&amp;""&amp;lon=""&amp;$E406&amp;""&amp;name=""&amp;SUBSTITUTE($A406,""#"",""%23""),""SANDBOX"""&amp;"),HYPERLINK(""https://www.munzee.com/m/""&amp;$H406&amp;""/deploys/0/type/""&amp;IFNA(VLOOKUP($G406,IMPORTRANGE(""https://docs.google.com/spreadsheets/d/1DliIGyDywdzxhd4svtjaewR0p9Y5UBTMNMQ2PcXsqss"",""type data!E2:F""),2,FALSE),$G406)&amp;""/"",$H406)),""""))"),"rgforsythe/7660")</f>
        <v>rgforsythe/7660</v>
      </c>
      <c r="K406" s="5" t="b">
        <v>1</v>
      </c>
      <c r="M406" s="7"/>
    </row>
    <row r="407">
      <c r="A407" s="3" t="s">
        <v>571</v>
      </c>
      <c r="B407" s="3">
        <v>22.0</v>
      </c>
      <c r="C407" s="3">
        <v>25.0</v>
      </c>
      <c r="D407" s="4">
        <v>49.1872193352313</v>
      </c>
      <c r="E407" s="4">
        <v>-2.0934911862389</v>
      </c>
      <c r="F407" s="3" t="s">
        <v>385</v>
      </c>
      <c r="G407" s="3" t="s">
        <v>386</v>
      </c>
      <c r="H407" s="5" t="s">
        <v>572</v>
      </c>
      <c r="I407" s="5">
        <v>4259.0</v>
      </c>
      <c r="J407" s="6" t="str">
        <f>IFERROR(__xludf.DUMMYFUNCTION("IF(AND(REGEXMATCH($H407,""50( ?['fF]([oO]{2})?[tT]?)?( ?[eE][rR]{2}[oO][rR])"")=FALSE,$H407&lt;&gt;"""",$I407&lt;&gt;""""),HYPERLINK(""https://www.munzee.com/m/""&amp;$H407&amp;""/""&amp;$I407&amp;""/map/?lat=""&amp;$D407&amp;""&amp;lon=""&amp;$E407&amp;""&amp;type=""&amp;$G407&amp;""&amp;name=""&amp;SUBSTITUTE($A407,""#"&amp;""",""%23""),$H407&amp;""/""&amp;$I407),IF($H407&lt;&gt;"""",IF(REGEXMATCH($H407,""50( ?['fF]([oO]{2})?[tT]?)?( ?[eE][rR]{2}[oO][rR])""),HYPERLINK(""https://www.munzee.com/map/?sandbox=1&amp;lat=""&amp;$D407&amp;""&amp;lon=""&amp;$E407&amp;""&amp;name=""&amp;SUBSTITUTE($A407,""#"",""%23""),""SANDBOX"""&amp;"),HYPERLINK(""https://www.munzee.com/m/""&amp;$H407&amp;""/deploys/0/type/""&amp;IFNA(VLOOKUP($G407,IMPORTRANGE(""https://docs.google.com/spreadsheets/d/1DliIGyDywdzxhd4svtjaewR0p9Y5UBTMNMQ2PcXsqss"",""type data!E2:F""),2,FALSE),$G407)&amp;""/"",$H407)),""""))"),"Majsan/4259")</f>
        <v>Majsan/4259</v>
      </c>
      <c r="K407" s="5" t="b">
        <v>1</v>
      </c>
      <c r="L407" s="7"/>
      <c r="M407" s="7"/>
    </row>
    <row r="408">
      <c r="A408" s="3" t="s">
        <v>573</v>
      </c>
      <c r="B408" s="3">
        <v>22.0</v>
      </c>
      <c r="C408" s="3">
        <v>26.0</v>
      </c>
      <c r="D408" s="4">
        <v>49.1871177023543</v>
      </c>
      <c r="E408" s="4">
        <v>-2.0933356871494</v>
      </c>
      <c r="F408" s="3" t="s">
        <v>250</v>
      </c>
      <c r="G408" s="3" t="s">
        <v>251</v>
      </c>
      <c r="H408" s="5"/>
      <c r="I408" s="5"/>
      <c r="J408" s="7" t="str">
        <f>IFERROR(__xludf.DUMMYFUNCTION("IF(AND(REGEXMATCH($H408,""50( ?['fF]([oO]{2})?[tT]?)?( ?[eE][rR]{2}[oO][rR])"")=FALSE,$H408&lt;&gt;"""",$I408&lt;&gt;""""),HYPERLINK(""https://www.munzee.com/m/""&amp;$H408&amp;""/""&amp;$I408&amp;""/map/?lat=""&amp;$D408&amp;""&amp;lon=""&amp;$E408&amp;""&amp;type=""&amp;$G408&amp;""&amp;name=""&amp;SUBSTITUTE($A408,""#"&amp;""",""%23""),$H408&amp;""/""&amp;$I408),IF($H408&lt;&gt;"""",IF(REGEXMATCH($H408,""50( ?['fF]([oO]{2})?[tT]?)?( ?[eE][rR]{2}[oO][rR])""),HYPERLINK(""https://www.munzee.com/map/?sandbox=1&amp;lat=""&amp;$D408&amp;""&amp;lon=""&amp;$E408&amp;""&amp;name=""&amp;SUBSTITUTE($A408,""#"",""%23""),""SANDBOX"""&amp;"),HYPERLINK(""https://www.munzee.com/m/""&amp;$H408&amp;""/deploys/0/type/""&amp;IFNA(VLOOKUP($G408,IMPORTRANGE(""https://docs.google.com/spreadsheets/d/1DliIGyDywdzxhd4svtjaewR0p9Y5UBTMNMQ2PcXsqss"",""type data!E2:F""),2,FALSE),$G408)&amp;""/"",$H408)),""""))"),"")</f>
        <v/>
      </c>
      <c r="K408" s="5" t="b">
        <v>0</v>
      </c>
      <c r="L408" s="7"/>
      <c r="M408" s="7"/>
    </row>
    <row r="409">
      <c r="A409" s="3" t="s">
        <v>574</v>
      </c>
      <c r="B409" s="3">
        <v>22.0</v>
      </c>
      <c r="C409" s="3">
        <v>27.0</v>
      </c>
      <c r="D409" s="4">
        <v>49.1870160694772</v>
      </c>
      <c r="E409" s="4">
        <v>-2.0931801883793</v>
      </c>
      <c r="F409" s="3" t="s">
        <v>250</v>
      </c>
      <c r="G409" s="3" t="s">
        <v>251</v>
      </c>
      <c r="H409" s="5"/>
      <c r="I409" s="5"/>
      <c r="J409" s="7" t="str">
        <f>IFERROR(__xludf.DUMMYFUNCTION("IF(AND(REGEXMATCH($H409,""50( ?['fF]([oO]{2})?[tT]?)?( ?[eE][rR]{2}[oO][rR])"")=FALSE,$H409&lt;&gt;"""",$I409&lt;&gt;""""),HYPERLINK(""https://www.munzee.com/m/""&amp;$H409&amp;""/""&amp;$I409&amp;""/map/?lat=""&amp;$D409&amp;""&amp;lon=""&amp;$E409&amp;""&amp;type=""&amp;$G409&amp;""&amp;name=""&amp;SUBSTITUTE($A409,""#"&amp;""",""%23""),$H409&amp;""/""&amp;$I409),IF($H409&lt;&gt;"""",IF(REGEXMATCH($H409,""50( ?['fF]([oO]{2})?[tT]?)?( ?[eE][rR]{2}[oO][rR])""),HYPERLINK(""https://www.munzee.com/map/?sandbox=1&amp;lat=""&amp;$D409&amp;""&amp;lon=""&amp;$E409&amp;""&amp;name=""&amp;SUBSTITUTE($A409,""#"",""%23""),""SANDBOX"""&amp;"),HYPERLINK(""https://www.munzee.com/m/""&amp;$H409&amp;""/deploys/0/type/""&amp;IFNA(VLOOKUP($G409,IMPORTRANGE(""https://docs.google.com/spreadsheets/d/1DliIGyDywdzxhd4svtjaewR0p9Y5UBTMNMQ2PcXsqss"",""type data!E2:F""),2,FALSE),$G409)&amp;""/"",$H409)),""""))"),"")</f>
        <v/>
      </c>
      <c r="K409" s="5" t="b">
        <v>0</v>
      </c>
      <c r="L409" s="7"/>
      <c r="M409" s="7"/>
    </row>
    <row r="410">
      <c r="A410" s="3" t="s">
        <v>575</v>
      </c>
      <c r="B410" s="3">
        <v>23.0</v>
      </c>
      <c r="C410" s="3">
        <v>6.0</v>
      </c>
      <c r="D410" s="4">
        <v>49.1890487270179</v>
      </c>
      <c r="E410" s="4">
        <v>-2.0966012469275</v>
      </c>
      <c r="F410" s="3" t="s">
        <v>250</v>
      </c>
      <c r="G410" s="3" t="s">
        <v>251</v>
      </c>
      <c r="H410" s="5"/>
      <c r="I410" s="5"/>
      <c r="J410" s="7" t="str">
        <f>IFERROR(__xludf.DUMMYFUNCTION("IF(AND(REGEXMATCH($H410,""50( ?['fF]([oO]{2})?[tT]?)?( ?[eE][rR]{2}[oO][rR])"")=FALSE,$H410&lt;&gt;"""",$I410&lt;&gt;""""),HYPERLINK(""https://www.munzee.com/m/""&amp;$H410&amp;""/""&amp;$I410&amp;""/map/?lat=""&amp;$D410&amp;""&amp;lon=""&amp;$E410&amp;""&amp;type=""&amp;$G410&amp;""&amp;name=""&amp;SUBSTITUTE($A410,""#"&amp;""",""%23""),$H410&amp;""/""&amp;$I410),IF($H410&lt;&gt;"""",IF(REGEXMATCH($H410,""50( ?['fF]([oO]{2})?[tT]?)?( ?[eE][rR]{2}[oO][rR])""),HYPERLINK(""https://www.munzee.com/map/?sandbox=1&amp;lat=""&amp;$D410&amp;""&amp;lon=""&amp;$E410&amp;""&amp;name=""&amp;SUBSTITUTE($A410,""#"",""%23""),""SANDBOX"""&amp;"),HYPERLINK(""https://www.munzee.com/m/""&amp;$H410&amp;""/deploys/0/type/""&amp;IFNA(VLOOKUP($G410,IMPORTRANGE(""https://docs.google.com/spreadsheets/d/1DliIGyDywdzxhd4svtjaewR0p9Y5UBTMNMQ2PcXsqss"",""type data!E2:F""),2,FALSE),$G410)&amp;""/"",$H410)),""""))"),"")</f>
        <v/>
      </c>
      <c r="K410" s="5" t="b">
        <v>0</v>
      </c>
      <c r="L410" s="7"/>
      <c r="M410" s="7"/>
    </row>
    <row r="411">
      <c r="A411" s="3" t="s">
        <v>576</v>
      </c>
      <c r="B411" s="3">
        <v>23.0</v>
      </c>
      <c r="C411" s="3">
        <v>7.0</v>
      </c>
      <c r="D411" s="4">
        <v>49.1889470941408</v>
      </c>
      <c r="E411" s="4">
        <v>-2.0964457420885</v>
      </c>
      <c r="F411" s="3" t="s">
        <v>296</v>
      </c>
      <c r="G411" s="3" t="s">
        <v>297</v>
      </c>
      <c r="H411" s="5"/>
      <c r="I411" s="5"/>
      <c r="J411" s="7" t="str">
        <f>IFERROR(__xludf.DUMMYFUNCTION("IF(AND(REGEXMATCH($H411,""50( ?['fF]([oO]{2})?[tT]?)?( ?[eE][rR]{2}[oO][rR])"")=FALSE,$H411&lt;&gt;"""",$I411&lt;&gt;""""),HYPERLINK(""https://www.munzee.com/m/""&amp;$H411&amp;""/""&amp;$I411&amp;""/map/?lat=""&amp;$D411&amp;""&amp;lon=""&amp;$E411&amp;""&amp;type=""&amp;$G411&amp;""&amp;name=""&amp;SUBSTITUTE($A411,""#"&amp;""",""%23""),$H411&amp;""/""&amp;$I411),IF($H411&lt;&gt;"""",IF(REGEXMATCH($H411,""50( ?['fF]([oO]{2})?[tT]?)?( ?[eE][rR]{2}[oO][rR])""),HYPERLINK(""https://www.munzee.com/map/?sandbox=1&amp;lat=""&amp;$D411&amp;""&amp;lon=""&amp;$E411&amp;""&amp;name=""&amp;SUBSTITUTE($A411,""#"",""%23""),""SANDBOX"""&amp;"),HYPERLINK(""https://www.munzee.com/m/""&amp;$H411&amp;""/deploys/0/type/""&amp;IFNA(VLOOKUP($G411,IMPORTRANGE(""https://docs.google.com/spreadsheets/d/1DliIGyDywdzxhd4svtjaewR0p9Y5UBTMNMQ2PcXsqss"",""type data!E2:F""),2,FALSE),$G411)&amp;""/"",$H411)),""""))"),"")</f>
        <v/>
      </c>
      <c r="K411" s="5" t="b">
        <v>0</v>
      </c>
      <c r="L411" s="7"/>
      <c r="M411" s="7"/>
    </row>
    <row r="412">
      <c r="A412" s="3" t="s">
        <v>577</v>
      </c>
      <c r="B412" s="3">
        <v>23.0</v>
      </c>
      <c r="C412" s="3">
        <v>8.0</v>
      </c>
      <c r="D412" s="4">
        <v>49.1888454612638</v>
      </c>
      <c r="E412" s="4">
        <v>-2.0962902375687</v>
      </c>
      <c r="F412" s="3" t="s">
        <v>385</v>
      </c>
      <c r="G412" s="3" t="s">
        <v>386</v>
      </c>
      <c r="H412" s="5"/>
      <c r="I412" s="5"/>
      <c r="J412" s="7" t="str">
        <f>IFERROR(__xludf.DUMMYFUNCTION("IF(AND(REGEXMATCH($H412,""50( ?['fF]([oO]{2})?[tT]?)?( ?[eE][rR]{2}[oO][rR])"")=FALSE,$H412&lt;&gt;"""",$I412&lt;&gt;""""),HYPERLINK(""https://www.munzee.com/m/""&amp;$H412&amp;""/""&amp;$I412&amp;""/map/?lat=""&amp;$D412&amp;""&amp;lon=""&amp;$E412&amp;""&amp;type=""&amp;$G412&amp;""&amp;name=""&amp;SUBSTITUTE($A412,""#"&amp;""",""%23""),$H412&amp;""/""&amp;$I412),IF($H412&lt;&gt;"""",IF(REGEXMATCH($H412,""50( ?['fF]([oO]{2})?[tT]?)?( ?[eE][rR]{2}[oO][rR])""),HYPERLINK(""https://www.munzee.com/map/?sandbox=1&amp;lat=""&amp;$D412&amp;""&amp;lon=""&amp;$E412&amp;""&amp;name=""&amp;SUBSTITUTE($A412,""#"",""%23""),""SANDBOX"""&amp;"),HYPERLINK(""https://www.munzee.com/m/""&amp;$H412&amp;""/deploys/0/type/""&amp;IFNA(VLOOKUP($G412,IMPORTRANGE(""https://docs.google.com/spreadsheets/d/1DliIGyDywdzxhd4svtjaewR0p9Y5UBTMNMQ2PcXsqss"",""type data!E2:F""),2,FALSE),$G412)&amp;""/"",$H412)),""""))"),"")</f>
        <v/>
      </c>
      <c r="K412" s="5" t="b">
        <v>0</v>
      </c>
      <c r="L412" s="7"/>
      <c r="M412" s="7"/>
    </row>
    <row r="413">
      <c r="A413" s="3" t="s">
        <v>578</v>
      </c>
      <c r="B413" s="3">
        <v>23.0</v>
      </c>
      <c r="C413" s="3">
        <v>9.0</v>
      </c>
      <c r="D413" s="4">
        <v>49.1887438283868</v>
      </c>
      <c r="E413" s="4">
        <v>-2.0961347333684</v>
      </c>
      <c r="F413" s="3" t="s">
        <v>385</v>
      </c>
      <c r="G413" s="3" t="s">
        <v>386</v>
      </c>
      <c r="H413" s="5"/>
      <c r="I413" s="5"/>
      <c r="J413" s="7" t="str">
        <f>IFERROR(__xludf.DUMMYFUNCTION("IF(AND(REGEXMATCH($H413,""50( ?['fF]([oO]{2})?[tT]?)?( ?[eE][rR]{2}[oO][rR])"")=FALSE,$H413&lt;&gt;"""",$I413&lt;&gt;""""),HYPERLINK(""https://www.munzee.com/m/""&amp;$H413&amp;""/""&amp;$I413&amp;""/map/?lat=""&amp;$D413&amp;""&amp;lon=""&amp;$E413&amp;""&amp;type=""&amp;$G413&amp;""&amp;name=""&amp;SUBSTITUTE($A413,""#"&amp;""",""%23""),$H413&amp;""/""&amp;$I413),IF($H413&lt;&gt;"""",IF(REGEXMATCH($H413,""50( ?['fF]([oO]{2})?[tT]?)?( ?[eE][rR]{2}[oO][rR])""),HYPERLINK(""https://www.munzee.com/map/?sandbox=1&amp;lat=""&amp;$D413&amp;""&amp;lon=""&amp;$E413&amp;""&amp;name=""&amp;SUBSTITUTE($A413,""#"",""%23""),""SANDBOX"""&amp;"),HYPERLINK(""https://www.munzee.com/m/""&amp;$H413&amp;""/deploys/0/type/""&amp;IFNA(VLOOKUP($G413,IMPORTRANGE(""https://docs.google.com/spreadsheets/d/1DliIGyDywdzxhd4svtjaewR0p9Y5UBTMNMQ2PcXsqss"",""type data!E2:F""),2,FALSE),$G413)&amp;""/"",$H413)),""""))"),"")</f>
        <v/>
      </c>
      <c r="K413" s="5" t="b">
        <v>0</v>
      </c>
      <c r="L413" s="7"/>
      <c r="M413" s="7"/>
    </row>
    <row r="414">
      <c r="A414" s="3" t="s">
        <v>579</v>
      </c>
      <c r="B414" s="3">
        <v>23.0</v>
      </c>
      <c r="C414" s="3">
        <v>10.0</v>
      </c>
      <c r="D414" s="4">
        <v>49.1886421955097</v>
      </c>
      <c r="E414" s="4">
        <v>-2.0959792294876</v>
      </c>
      <c r="F414" s="3" t="s">
        <v>476</v>
      </c>
      <c r="G414" s="3" t="s">
        <v>477</v>
      </c>
      <c r="H414" s="5"/>
      <c r="I414" s="5"/>
      <c r="J414" s="7" t="str">
        <f>IFERROR(__xludf.DUMMYFUNCTION("IF(AND(REGEXMATCH($H414,""50( ?['fF]([oO]{2})?[tT]?)?( ?[eE][rR]{2}[oO][rR])"")=FALSE,$H414&lt;&gt;"""",$I414&lt;&gt;""""),HYPERLINK(""https://www.munzee.com/m/""&amp;$H414&amp;""/""&amp;$I414&amp;""/map/?lat=""&amp;$D414&amp;""&amp;lon=""&amp;$E414&amp;""&amp;type=""&amp;$G414&amp;""&amp;name=""&amp;SUBSTITUTE($A414,""#"&amp;""",""%23""),$H414&amp;""/""&amp;$I414),IF($H414&lt;&gt;"""",IF(REGEXMATCH($H414,""50( ?['fF]([oO]{2})?[tT]?)?( ?[eE][rR]{2}[oO][rR])""),HYPERLINK(""https://www.munzee.com/map/?sandbox=1&amp;lat=""&amp;$D414&amp;""&amp;lon=""&amp;$E414&amp;""&amp;name=""&amp;SUBSTITUTE($A414,""#"",""%23""),""SANDBOX"""&amp;"),HYPERLINK(""https://www.munzee.com/m/""&amp;$H414&amp;""/deploys/0/type/""&amp;IFNA(VLOOKUP($G414,IMPORTRANGE(""https://docs.google.com/spreadsheets/d/1DliIGyDywdzxhd4svtjaewR0p9Y5UBTMNMQ2PcXsqss"",""type data!E2:F""),2,FALSE),$G414)&amp;""/"",$H414)),""""))"),"")</f>
        <v/>
      </c>
      <c r="K414" s="5" t="b">
        <v>0</v>
      </c>
      <c r="L414" s="7"/>
      <c r="M414" s="7"/>
    </row>
    <row r="415">
      <c r="A415" s="3" t="s">
        <v>580</v>
      </c>
      <c r="B415" s="3">
        <v>23.0</v>
      </c>
      <c r="C415" s="3">
        <v>11.0</v>
      </c>
      <c r="D415" s="4">
        <v>49.1885405626327</v>
      </c>
      <c r="E415" s="4">
        <v>-2.0958237259263</v>
      </c>
      <c r="F415" s="3" t="s">
        <v>453</v>
      </c>
      <c r="G415" s="3" t="s">
        <v>454</v>
      </c>
      <c r="H415" s="5"/>
      <c r="I415" s="5"/>
      <c r="J415" s="7" t="str">
        <f>IFERROR(__xludf.DUMMYFUNCTION("IF(AND(REGEXMATCH($H415,""50( ?['fF]([oO]{2})?[tT]?)?( ?[eE][rR]{2}[oO][rR])"")=FALSE,$H415&lt;&gt;"""",$I415&lt;&gt;""""),HYPERLINK(""https://www.munzee.com/m/""&amp;$H415&amp;""/""&amp;$I415&amp;""/map/?lat=""&amp;$D415&amp;""&amp;lon=""&amp;$E415&amp;""&amp;type=""&amp;$G415&amp;""&amp;name=""&amp;SUBSTITUTE($A415,""#"&amp;""",""%23""),$H415&amp;""/""&amp;$I415),IF($H415&lt;&gt;"""",IF(REGEXMATCH($H415,""50( ?['fF]([oO]{2})?[tT]?)?( ?[eE][rR]{2}[oO][rR])""),HYPERLINK(""https://www.munzee.com/map/?sandbox=1&amp;lat=""&amp;$D415&amp;""&amp;lon=""&amp;$E415&amp;""&amp;name=""&amp;SUBSTITUTE($A415,""#"",""%23""),""SANDBOX"""&amp;"),HYPERLINK(""https://www.munzee.com/m/""&amp;$H415&amp;""/deploys/0/type/""&amp;IFNA(VLOOKUP($G415,IMPORTRANGE(""https://docs.google.com/spreadsheets/d/1DliIGyDywdzxhd4svtjaewR0p9Y5UBTMNMQ2PcXsqss"",""type data!E2:F""),2,FALSE),$G415)&amp;""/"",$H415)),""""))"),"")</f>
        <v/>
      </c>
      <c r="K415" s="5" t="b">
        <v>0</v>
      </c>
      <c r="L415" s="7"/>
      <c r="M415" s="7"/>
    </row>
    <row r="416">
      <c r="A416" s="3" t="s">
        <v>581</v>
      </c>
      <c r="B416" s="3">
        <v>23.0</v>
      </c>
      <c r="C416" s="3">
        <v>12.0</v>
      </c>
      <c r="D416" s="4">
        <v>49.1884389297557</v>
      </c>
      <c r="E416" s="4">
        <v>-2.0956682226843</v>
      </c>
      <c r="F416" s="3" t="s">
        <v>366</v>
      </c>
      <c r="G416" s="3" t="s">
        <v>367</v>
      </c>
      <c r="H416" s="5"/>
      <c r="I416" s="5"/>
      <c r="J416" s="7" t="str">
        <f>IFERROR(__xludf.DUMMYFUNCTION("IF(AND(REGEXMATCH($H416,""50( ?['fF]([oO]{2})?[tT]?)?( ?[eE][rR]{2}[oO][rR])"")=FALSE,$H416&lt;&gt;"""",$I416&lt;&gt;""""),HYPERLINK(""https://www.munzee.com/m/""&amp;$H416&amp;""/""&amp;$I416&amp;""/map/?lat=""&amp;$D416&amp;""&amp;lon=""&amp;$E416&amp;""&amp;type=""&amp;$G416&amp;""&amp;name=""&amp;SUBSTITUTE($A416,""#"&amp;""",""%23""),$H416&amp;""/""&amp;$I416),IF($H416&lt;&gt;"""",IF(REGEXMATCH($H416,""50( ?['fF]([oO]{2})?[tT]?)?( ?[eE][rR]{2}[oO][rR])""),HYPERLINK(""https://www.munzee.com/map/?sandbox=1&amp;lat=""&amp;$D416&amp;""&amp;lon=""&amp;$E416&amp;""&amp;name=""&amp;SUBSTITUTE($A416,""#"",""%23""),""SANDBOX"""&amp;"),HYPERLINK(""https://www.munzee.com/m/""&amp;$H416&amp;""/deploys/0/type/""&amp;IFNA(VLOOKUP($G416,IMPORTRANGE(""https://docs.google.com/spreadsheets/d/1DliIGyDywdzxhd4svtjaewR0p9Y5UBTMNMQ2PcXsqss"",""type data!E2:F""),2,FALSE),$G416)&amp;""/"",$H416)),""""))"),"")</f>
        <v/>
      </c>
      <c r="K416" s="5" t="b">
        <v>0</v>
      </c>
      <c r="L416" s="7"/>
      <c r="M416" s="7"/>
    </row>
    <row r="417">
      <c r="A417" s="3" t="s">
        <v>582</v>
      </c>
      <c r="B417" s="3">
        <v>23.0</v>
      </c>
      <c r="C417" s="3">
        <v>13.0</v>
      </c>
      <c r="D417" s="4">
        <v>49.1883372968786</v>
      </c>
      <c r="E417" s="4">
        <v>-2.0955127197617</v>
      </c>
      <c r="F417" s="3" t="s">
        <v>366</v>
      </c>
      <c r="G417" s="3" t="s">
        <v>367</v>
      </c>
      <c r="H417" s="5"/>
      <c r="I417" s="5"/>
      <c r="J417" s="7" t="str">
        <f>IFERROR(__xludf.DUMMYFUNCTION("IF(AND(REGEXMATCH($H417,""50( ?['fF]([oO]{2})?[tT]?)?( ?[eE][rR]{2}[oO][rR])"")=FALSE,$H417&lt;&gt;"""",$I417&lt;&gt;""""),HYPERLINK(""https://www.munzee.com/m/""&amp;$H417&amp;""/""&amp;$I417&amp;""/map/?lat=""&amp;$D417&amp;""&amp;lon=""&amp;$E417&amp;""&amp;type=""&amp;$G417&amp;""&amp;name=""&amp;SUBSTITUTE($A417,""#"&amp;""",""%23""),$H417&amp;""/""&amp;$I417),IF($H417&lt;&gt;"""",IF(REGEXMATCH($H417,""50( ?['fF]([oO]{2})?[tT]?)?( ?[eE][rR]{2}[oO][rR])""),HYPERLINK(""https://www.munzee.com/map/?sandbox=1&amp;lat=""&amp;$D417&amp;""&amp;lon=""&amp;$E417&amp;""&amp;name=""&amp;SUBSTITUTE($A417,""#"",""%23""),""SANDBOX"""&amp;"),HYPERLINK(""https://www.munzee.com/m/""&amp;$H417&amp;""/deploys/0/type/""&amp;IFNA(VLOOKUP($G417,IMPORTRANGE(""https://docs.google.com/spreadsheets/d/1DliIGyDywdzxhd4svtjaewR0p9Y5UBTMNMQ2PcXsqss"",""type data!E2:F""),2,FALSE),$G417)&amp;""/"",$H417)),""""))"),"")</f>
        <v/>
      </c>
      <c r="K417" s="5" t="b">
        <v>0</v>
      </c>
      <c r="L417" s="7"/>
      <c r="M417" s="7"/>
    </row>
    <row r="418">
      <c r="A418" s="3" t="s">
        <v>583</v>
      </c>
      <c r="B418" s="3">
        <v>23.0</v>
      </c>
      <c r="C418" s="3">
        <v>14.0</v>
      </c>
      <c r="D418" s="4">
        <v>49.1882356640016</v>
      </c>
      <c r="E418" s="4">
        <v>-2.0953572171586</v>
      </c>
      <c r="F418" s="3" t="s">
        <v>339</v>
      </c>
      <c r="G418" s="3" t="s">
        <v>340</v>
      </c>
      <c r="H418" s="5"/>
      <c r="I418" s="5"/>
      <c r="J418" s="7" t="str">
        <f>IFERROR(__xludf.DUMMYFUNCTION("IF(AND(REGEXMATCH($H418,""50( ?['fF]([oO]{2})?[tT]?)?( ?[eE][rR]{2}[oO][rR])"")=FALSE,$H418&lt;&gt;"""",$I418&lt;&gt;""""),HYPERLINK(""https://www.munzee.com/m/""&amp;$H418&amp;""/""&amp;$I418&amp;""/map/?lat=""&amp;$D418&amp;""&amp;lon=""&amp;$E418&amp;""&amp;type=""&amp;$G418&amp;""&amp;name=""&amp;SUBSTITUTE($A418,""#"&amp;""",""%23""),$H418&amp;""/""&amp;$I418),IF($H418&lt;&gt;"""",IF(REGEXMATCH($H418,""50( ?['fF]([oO]{2})?[tT]?)?( ?[eE][rR]{2}[oO][rR])""),HYPERLINK(""https://www.munzee.com/map/?sandbox=1&amp;lat=""&amp;$D418&amp;""&amp;lon=""&amp;$E418&amp;""&amp;name=""&amp;SUBSTITUTE($A418,""#"",""%23""),""SANDBOX"""&amp;"),HYPERLINK(""https://www.munzee.com/m/""&amp;$H418&amp;""/deploys/0/type/""&amp;IFNA(VLOOKUP($G418,IMPORTRANGE(""https://docs.google.com/spreadsheets/d/1DliIGyDywdzxhd4svtjaewR0p9Y5UBTMNMQ2PcXsqss"",""type data!E2:F""),2,FALSE),$G418)&amp;""/"",$H418)),""""))"),"")</f>
        <v/>
      </c>
      <c r="K418" s="5" t="b">
        <v>0</v>
      </c>
      <c r="L418" s="7"/>
      <c r="M418" s="7"/>
    </row>
    <row r="419">
      <c r="A419" s="3" t="s">
        <v>584</v>
      </c>
      <c r="B419" s="3">
        <v>23.0</v>
      </c>
      <c r="C419" s="3">
        <v>15.0</v>
      </c>
      <c r="D419" s="4">
        <v>49.1881340311246</v>
      </c>
      <c r="E419" s="4">
        <v>-2.095201714875</v>
      </c>
      <c r="F419" s="3" t="s">
        <v>339</v>
      </c>
      <c r="G419" s="3" t="s">
        <v>340</v>
      </c>
      <c r="H419" s="5"/>
      <c r="I419" s="5"/>
      <c r="J419" s="7" t="str">
        <f>IFERROR(__xludf.DUMMYFUNCTION("IF(AND(REGEXMATCH($H419,""50( ?['fF]([oO]{2})?[tT]?)?( ?[eE][rR]{2}[oO][rR])"")=FALSE,$H419&lt;&gt;"""",$I419&lt;&gt;""""),HYPERLINK(""https://www.munzee.com/m/""&amp;$H419&amp;""/""&amp;$I419&amp;""/map/?lat=""&amp;$D419&amp;""&amp;lon=""&amp;$E419&amp;""&amp;type=""&amp;$G419&amp;""&amp;name=""&amp;SUBSTITUTE($A419,""#"&amp;""",""%23""),$H419&amp;""/""&amp;$I419),IF($H419&lt;&gt;"""",IF(REGEXMATCH($H419,""50( ?['fF]([oO]{2})?[tT]?)?( ?[eE][rR]{2}[oO][rR])""),HYPERLINK(""https://www.munzee.com/map/?sandbox=1&amp;lat=""&amp;$D419&amp;""&amp;lon=""&amp;$E419&amp;""&amp;name=""&amp;SUBSTITUTE($A419,""#"",""%23""),""SANDBOX"""&amp;"),HYPERLINK(""https://www.munzee.com/m/""&amp;$H419&amp;""/deploys/0/type/""&amp;IFNA(VLOOKUP($G419,IMPORTRANGE(""https://docs.google.com/spreadsheets/d/1DliIGyDywdzxhd4svtjaewR0p9Y5UBTMNMQ2PcXsqss"",""type data!E2:F""),2,FALSE),$G419)&amp;""/"",$H419)),""""))"),"")</f>
        <v/>
      </c>
      <c r="K419" s="5" t="b">
        <v>0</v>
      </c>
      <c r="L419" s="7"/>
      <c r="M419" s="7"/>
    </row>
    <row r="420">
      <c r="A420" s="3" t="s">
        <v>585</v>
      </c>
      <c r="B420" s="3">
        <v>23.0</v>
      </c>
      <c r="C420" s="3">
        <v>16.0</v>
      </c>
      <c r="D420" s="4">
        <v>49.1880323982475</v>
      </c>
      <c r="E420" s="4">
        <v>-2.0950462129107</v>
      </c>
      <c r="F420" s="3" t="s">
        <v>339</v>
      </c>
      <c r="G420" s="3" t="s">
        <v>340</v>
      </c>
      <c r="H420" s="5"/>
      <c r="I420" s="5"/>
      <c r="J420" s="7" t="str">
        <f>IFERROR(__xludf.DUMMYFUNCTION("IF(AND(REGEXMATCH($H420,""50( ?['fF]([oO]{2})?[tT]?)?( ?[eE][rR]{2}[oO][rR])"")=FALSE,$H420&lt;&gt;"""",$I420&lt;&gt;""""),HYPERLINK(""https://www.munzee.com/m/""&amp;$H420&amp;""/""&amp;$I420&amp;""/map/?lat=""&amp;$D420&amp;""&amp;lon=""&amp;$E420&amp;""&amp;type=""&amp;$G420&amp;""&amp;name=""&amp;SUBSTITUTE($A420,""#"&amp;""",""%23""),$H420&amp;""/""&amp;$I420),IF($H420&lt;&gt;"""",IF(REGEXMATCH($H420,""50( ?['fF]([oO]{2})?[tT]?)?( ?[eE][rR]{2}[oO][rR])""),HYPERLINK(""https://www.munzee.com/map/?sandbox=1&amp;lat=""&amp;$D420&amp;""&amp;lon=""&amp;$E420&amp;""&amp;name=""&amp;SUBSTITUTE($A420,""#"",""%23""),""SANDBOX"""&amp;"),HYPERLINK(""https://www.munzee.com/m/""&amp;$H420&amp;""/deploys/0/type/""&amp;IFNA(VLOOKUP($G420,IMPORTRANGE(""https://docs.google.com/spreadsheets/d/1DliIGyDywdzxhd4svtjaewR0p9Y5UBTMNMQ2PcXsqss"",""type data!E2:F""),2,FALSE),$G420)&amp;""/"",$H420)),""""))"),"")</f>
        <v/>
      </c>
      <c r="K420" s="5" t="b">
        <v>0</v>
      </c>
      <c r="L420" s="7"/>
      <c r="M420" s="7"/>
    </row>
    <row r="421">
      <c r="A421" s="3" t="s">
        <v>586</v>
      </c>
      <c r="B421" s="3">
        <v>23.0</v>
      </c>
      <c r="C421" s="3">
        <v>17.0</v>
      </c>
      <c r="D421" s="4">
        <v>49.1879307653705</v>
      </c>
      <c r="E421" s="4">
        <v>-2.0948907112659</v>
      </c>
      <c r="F421" s="3" t="s">
        <v>339</v>
      </c>
      <c r="G421" s="3" t="s">
        <v>340</v>
      </c>
      <c r="H421" s="5"/>
      <c r="I421" s="5"/>
      <c r="J421" s="7" t="str">
        <f>IFERROR(__xludf.DUMMYFUNCTION("IF(AND(REGEXMATCH($H421,""50( ?['fF]([oO]{2})?[tT]?)?( ?[eE][rR]{2}[oO][rR])"")=FALSE,$H421&lt;&gt;"""",$I421&lt;&gt;""""),HYPERLINK(""https://www.munzee.com/m/""&amp;$H421&amp;""/""&amp;$I421&amp;""/map/?lat=""&amp;$D421&amp;""&amp;lon=""&amp;$E421&amp;""&amp;type=""&amp;$G421&amp;""&amp;name=""&amp;SUBSTITUTE($A421,""#"&amp;""",""%23""),$H421&amp;""/""&amp;$I421),IF($H421&lt;&gt;"""",IF(REGEXMATCH($H421,""50( ?['fF]([oO]{2})?[tT]?)?( ?[eE][rR]{2}[oO][rR])""),HYPERLINK(""https://www.munzee.com/map/?sandbox=1&amp;lat=""&amp;$D421&amp;""&amp;lon=""&amp;$E421&amp;""&amp;name=""&amp;SUBSTITUTE($A421,""#"",""%23""),""SANDBOX"""&amp;"),HYPERLINK(""https://www.munzee.com/m/""&amp;$H421&amp;""/deploys/0/type/""&amp;IFNA(VLOOKUP($G421,IMPORTRANGE(""https://docs.google.com/spreadsheets/d/1DliIGyDywdzxhd4svtjaewR0p9Y5UBTMNMQ2PcXsqss"",""type data!E2:F""),2,FALSE),$G421)&amp;""/"",$H421)),""""))"),"")</f>
        <v/>
      </c>
      <c r="K421" s="5" t="b">
        <v>0</v>
      </c>
      <c r="L421" s="7"/>
      <c r="M421" s="7"/>
    </row>
    <row r="422">
      <c r="A422" s="3" t="s">
        <v>587</v>
      </c>
      <c r="B422" s="3">
        <v>23.0</v>
      </c>
      <c r="C422" s="3">
        <v>18.0</v>
      </c>
      <c r="D422" s="4">
        <v>49.1878291324935</v>
      </c>
      <c r="E422" s="4">
        <v>-2.0947352099404</v>
      </c>
      <c r="F422" s="3" t="s">
        <v>339</v>
      </c>
      <c r="G422" s="3" t="s">
        <v>340</v>
      </c>
      <c r="H422" s="5"/>
      <c r="I422" s="5"/>
      <c r="J422" s="7" t="str">
        <f>IFERROR(__xludf.DUMMYFUNCTION("IF(AND(REGEXMATCH($H422,""50( ?['fF]([oO]{2})?[tT]?)?( ?[eE][rR]{2}[oO][rR])"")=FALSE,$H422&lt;&gt;"""",$I422&lt;&gt;""""),HYPERLINK(""https://www.munzee.com/m/""&amp;$H422&amp;""/""&amp;$I422&amp;""/map/?lat=""&amp;$D422&amp;""&amp;lon=""&amp;$E422&amp;""&amp;type=""&amp;$G422&amp;""&amp;name=""&amp;SUBSTITUTE($A422,""#"&amp;""",""%23""),$H422&amp;""/""&amp;$I422),IF($H422&lt;&gt;"""",IF(REGEXMATCH($H422,""50( ?['fF]([oO]{2})?[tT]?)?( ?[eE][rR]{2}[oO][rR])""),HYPERLINK(""https://www.munzee.com/map/?sandbox=1&amp;lat=""&amp;$D422&amp;""&amp;lon=""&amp;$E422&amp;""&amp;name=""&amp;SUBSTITUTE($A422,""#"",""%23""),""SANDBOX"""&amp;"),HYPERLINK(""https://www.munzee.com/m/""&amp;$H422&amp;""/deploys/0/type/""&amp;IFNA(VLOOKUP($G422,IMPORTRANGE(""https://docs.google.com/spreadsheets/d/1DliIGyDywdzxhd4svtjaewR0p9Y5UBTMNMQ2PcXsqss"",""type data!E2:F""),2,FALSE),$G422)&amp;""/"",$H422)),""""))"),"")</f>
        <v/>
      </c>
      <c r="K422" s="5" t="b">
        <v>0</v>
      </c>
      <c r="L422" s="7"/>
      <c r="M422" s="7"/>
    </row>
    <row r="423">
      <c r="A423" s="3" t="s">
        <v>588</v>
      </c>
      <c r="B423" s="3">
        <v>23.0</v>
      </c>
      <c r="C423" s="3">
        <v>19.0</v>
      </c>
      <c r="D423" s="4">
        <v>49.1877274996164</v>
      </c>
      <c r="E423" s="4">
        <v>-2.0945797089344</v>
      </c>
      <c r="F423" s="3" t="s">
        <v>296</v>
      </c>
      <c r="G423" s="3" t="s">
        <v>297</v>
      </c>
      <c r="H423" s="5"/>
      <c r="I423" s="5"/>
      <c r="J423" s="7" t="str">
        <f>IFERROR(__xludf.DUMMYFUNCTION("IF(AND(REGEXMATCH($H423,""50( ?['fF]([oO]{2})?[tT]?)?( ?[eE][rR]{2}[oO][rR])"")=FALSE,$H423&lt;&gt;"""",$I423&lt;&gt;""""),HYPERLINK(""https://www.munzee.com/m/""&amp;$H423&amp;""/""&amp;$I423&amp;""/map/?lat=""&amp;$D423&amp;""&amp;lon=""&amp;$E423&amp;""&amp;type=""&amp;$G423&amp;""&amp;name=""&amp;SUBSTITUTE($A423,""#"&amp;""",""%23""),$H423&amp;""/""&amp;$I423),IF($H423&lt;&gt;"""",IF(REGEXMATCH($H423,""50( ?['fF]([oO]{2})?[tT]?)?( ?[eE][rR]{2}[oO][rR])""),HYPERLINK(""https://www.munzee.com/map/?sandbox=1&amp;lat=""&amp;$D423&amp;""&amp;lon=""&amp;$E423&amp;""&amp;name=""&amp;SUBSTITUTE($A423,""#"",""%23""),""SANDBOX"""&amp;"),HYPERLINK(""https://www.munzee.com/m/""&amp;$H423&amp;""/deploys/0/type/""&amp;IFNA(VLOOKUP($G423,IMPORTRANGE(""https://docs.google.com/spreadsheets/d/1DliIGyDywdzxhd4svtjaewR0p9Y5UBTMNMQ2PcXsqss"",""type data!E2:F""),2,FALSE),$G423)&amp;""/"",$H423)),""""))"),"")</f>
        <v/>
      </c>
      <c r="K423" s="5" t="b">
        <v>0</v>
      </c>
      <c r="L423" s="7"/>
      <c r="M423" s="7"/>
    </row>
    <row r="424">
      <c r="A424" s="3" t="s">
        <v>589</v>
      </c>
      <c r="B424" s="3">
        <v>23.0</v>
      </c>
      <c r="C424" s="3">
        <v>20.0</v>
      </c>
      <c r="D424" s="4">
        <v>49.1876258667394</v>
      </c>
      <c r="E424" s="4">
        <v>-2.0944242082478</v>
      </c>
      <c r="F424" s="3" t="s">
        <v>296</v>
      </c>
      <c r="G424" s="3" t="s">
        <v>297</v>
      </c>
      <c r="H424" s="5" t="s">
        <v>512</v>
      </c>
      <c r="I424" s="5">
        <v>1641.0</v>
      </c>
      <c r="J424" s="6" t="str">
        <f>IFERROR(__xludf.DUMMYFUNCTION("IF(AND(REGEXMATCH($H424,""50( ?['fF]([oO]{2})?[tT]?)?( ?[eE][rR]{2}[oO][rR])"")=FALSE,$H424&lt;&gt;"""",$I424&lt;&gt;""""),HYPERLINK(""https://www.munzee.com/m/""&amp;$H424&amp;""/""&amp;$I424&amp;""/map/?lat=""&amp;$D424&amp;""&amp;lon=""&amp;$E424&amp;""&amp;type=""&amp;$G424&amp;""&amp;name=""&amp;SUBSTITUTE($A424,""#"&amp;""",""%23""),$H424&amp;""/""&amp;$I424),IF($H424&lt;&gt;"""",IF(REGEXMATCH($H424,""50( ?['fF]([oO]{2})?[tT]?)?( ?[eE][rR]{2}[oO][rR])""),HYPERLINK(""https://www.munzee.com/map/?sandbox=1&amp;lat=""&amp;$D424&amp;""&amp;lon=""&amp;$E424&amp;""&amp;name=""&amp;SUBSTITUTE($A424,""#"",""%23""),""SANDBOX"""&amp;"),HYPERLINK(""https://www.munzee.com/m/""&amp;$H424&amp;""/deploys/0/type/""&amp;IFNA(VLOOKUP($G424,IMPORTRANGE(""https://docs.google.com/spreadsheets/d/1DliIGyDywdzxhd4svtjaewR0p9Y5UBTMNMQ2PcXsqss"",""type data!E2:F""),2,FALSE),$G424)&amp;""/"",$H424)),""""))"),"kellyat9/1641")</f>
        <v>kellyat9/1641</v>
      </c>
      <c r="K424" s="5" t="b">
        <v>1</v>
      </c>
      <c r="L424" s="7"/>
      <c r="M424" s="7"/>
    </row>
    <row r="425">
      <c r="A425" s="3" t="s">
        <v>590</v>
      </c>
      <c r="B425" s="3">
        <v>23.0</v>
      </c>
      <c r="C425" s="3">
        <v>21.0</v>
      </c>
      <c r="D425" s="4">
        <v>49.1875242338624</v>
      </c>
      <c r="E425" s="4">
        <v>-2.0942687078806</v>
      </c>
      <c r="F425" s="3" t="s">
        <v>453</v>
      </c>
      <c r="G425" s="3" t="s">
        <v>454</v>
      </c>
      <c r="H425" s="5"/>
      <c r="I425" s="5"/>
      <c r="J425" s="7" t="str">
        <f>IFERROR(__xludf.DUMMYFUNCTION("IF(AND(REGEXMATCH($H425,""50( ?['fF]([oO]{2})?[tT]?)?( ?[eE][rR]{2}[oO][rR])"")=FALSE,$H425&lt;&gt;"""",$I425&lt;&gt;""""),HYPERLINK(""https://www.munzee.com/m/""&amp;$H425&amp;""/""&amp;$I425&amp;""/map/?lat=""&amp;$D425&amp;""&amp;lon=""&amp;$E425&amp;""&amp;type=""&amp;$G425&amp;""&amp;name=""&amp;SUBSTITUTE($A425,""#"&amp;""",""%23""),$H425&amp;""/""&amp;$I425),IF($H425&lt;&gt;"""",IF(REGEXMATCH($H425,""50( ?['fF]([oO]{2})?[tT]?)?( ?[eE][rR]{2}[oO][rR])""),HYPERLINK(""https://www.munzee.com/map/?sandbox=1&amp;lat=""&amp;$D425&amp;""&amp;lon=""&amp;$E425&amp;""&amp;name=""&amp;SUBSTITUTE($A425,""#"",""%23""),""SANDBOX"""&amp;"),HYPERLINK(""https://www.munzee.com/m/""&amp;$H425&amp;""/deploys/0/type/""&amp;IFNA(VLOOKUP($G425,IMPORTRANGE(""https://docs.google.com/spreadsheets/d/1DliIGyDywdzxhd4svtjaewR0p9Y5UBTMNMQ2PcXsqss"",""type data!E2:F""),2,FALSE),$G425)&amp;""/"",$H425)),""""))"),"")</f>
        <v/>
      </c>
      <c r="K425" s="5" t="b">
        <v>0</v>
      </c>
      <c r="L425" s="7"/>
      <c r="M425" s="7"/>
    </row>
    <row r="426">
      <c r="A426" s="3" t="s">
        <v>591</v>
      </c>
      <c r="B426" s="3">
        <v>23.0</v>
      </c>
      <c r="C426" s="3">
        <v>22.0</v>
      </c>
      <c r="D426" s="4">
        <v>49.1874226009854</v>
      </c>
      <c r="E426" s="4">
        <v>-2.0941132078328</v>
      </c>
      <c r="F426" s="3" t="s">
        <v>476</v>
      </c>
      <c r="G426" s="3" t="s">
        <v>477</v>
      </c>
      <c r="H426" s="5"/>
      <c r="I426" s="5"/>
      <c r="J426" s="7" t="str">
        <f>IFERROR(__xludf.DUMMYFUNCTION("IF(AND(REGEXMATCH($H426,""50( ?['fF]([oO]{2})?[tT]?)?( ?[eE][rR]{2}[oO][rR])"")=FALSE,$H426&lt;&gt;"""",$I426&lt;&gt;""""),HYPERLINK(""https://www.munzee.com/m/""&amp;$H426&amp;""/""&amp;$I426&amp;""/map/?lat=""&amp;$D426&amp;""&amp;lon=""&amp;$E426&amp;""&amp;type=""&amp;$G426&amp;""&amp;name=""&amp;SUBSTITUTE($A426,""#"&amp;""",""%23""),$H426&amp;""/""&amp;$I426),IF($H426&lt;&gt;"""",IF(REGEXMATCH($H426,""50( ?['fF]([oO]{2})?[tT]?)?( ?[eE][rR]{2}[oO][rR])""),HYPERLINK(""https://www.munzee.com/map/?sandbox=1&amp;lat=""&amp;$D426&amp;""&amp;lon=""&amp;$E426&amp;""&amp;name=""&amp;SUBSTITUTE($A426,""#"",""%23""),""SANDBOX"""&amp;"),HYPERLINK(""https://www.munzee.com/m/""&amp;$H426&amp;""/deploys/0/type/""&amp;IFNA(VLOOKUP($G426,IMPORTRANGE(""https://docs.google.com/spreadsheets/d/1DliIGyDywdzxhd4svtjaewR0p9Y5UBTMNMQ2PcXsqss"",""type data!E2:F""),2,FALSE),$G426)&amp;""/"",$H426)),""""))"),"")</f>
        <v/>
      </c>
      <c r="K426" s="5" t="b">
        <v>0</v>
      </c>
      <c r="L426" s="7"/>
      <c r="M426" s="7"/>
    </row>
    <row r="427">
      <c r="A427" s="3" t="s">
        <v>592</v>
      </c>
      <c r="B427" s="3">
        <v>23.0</v>
      </c>
      <c r="C427" s="3">
        <v>23.0</v>
      </c>
      <c r="D427" s="4">
        <v>49.1873209681083</v>
      </c>
      <c r="E427" s="4">
        <v>-2.0939577081044</v>
      </c>
      <c r="F427" s="3" t="s">
        <v>385</v>
      </c>
      <c r="G427" s="3" t="s">
        <v>386</v>
      </c>
      <c r="H427" s="5"/>
      <c r="I427" s="5"/>
      <c r="J427" s="7" t="str">
        <f>IFERROR(__xludf.DUMMYFUNCTION("IF(AND(REGEXMATCH($H427,""50( ?['fF]([oO]{2})?[tT]?)?( ?[eE][rR]{2}[oO][rR])"")=FALSE,$H427&lt;&gt;"""",$I427&lt;&gt;""""),HYPERLINK(""https://www.munzee.com/m/""&amp;$H427&amp;""/""&amp;$I427&amp;""/map/?lat=""&amp;$D427&amp;""&amp;lon=""&amp;$E427&amp;""&amp;type=""&amp;$G427&amp;""&amp;name=""&amp;SUBSTITUTE($A427,""#"&amp;""",""%23""),$H427&amp;""/""&amp;$I427),IF($H427&lt;&gt;"""",IF(REGEXMATCH($H427,""50( ?['fF]([oO]{2})?[tT]?)?( ?[eE][rR]{2}[oO][rR])""),HYPERLINK(""https://www.munzee.com/map/?sandbox=1&amp;lat=""&amp;$D427&amp;""&amp;lon=""&amp;$E427&amp;""&amp;name=""&amp;SUBSTITUTE($A427,""#"",""%23""),""SANDBOX"""&amp;"),HYPERLINK(""https://www.munzee.com/m/""&amp;$H427&amp;""/deploys/0/type/""&amp;IFNA(VLOOKUP($G427,IMPORTRANGE(""https://docs.google.com/spreadsheets/d/1DliIGyDywdzxhd4svtjaewR0p9Y5UBTMNMQ2PcXsqss"",""type data!E2:F""),2,FALSE),$G427)&amp;""/"",$H427)),""""))"),"")</f>
        <v/>
      </c>
      <c r="K427" s="5" t="b">
        <v>0</v>
      </c>
      <c r="L427" s="7"/>
      <c r="M427" s="7"/>
    </row>
    <row r="428">
      <c r="A428" s="3" t="s">
        <v>593</v>
      </c>
      <c r="B428" s="3">
        <v>23.0</v>
      </c>
      <c r="C428" s="3">
        <v>24.0</v>
      </c>
      <c r="D428" s="4">
        <v>49.1872193352313</v>
      </c>
      <c r="E428" s="4">
        <v>-2.0938022086955</v>
      </c>
      <c r="F428" s="3" t="s">
        <v>385</v>
      </c>
      <c r="G428" s="3" t="s">
        <v>386</v>
      </c>
      <c r="H428" s="5"/>
      <c r="I428" s="5"/>
      <c r="J428" s="7" t="str">
        <f>IFERROR(__xludf.DUMMYFUNCTION("IF(AND(REGEXMATCH($H428,""50( ?['fF]([oO]{2})?[tT]?)?( ?[eE][rR]{2}[oO][rR])"")=FALSE,$H428&lt;&gt;"""",$I428&lt;&gt;""""),HYPERLINK(""https://www.munzee.com/m/""&amp;$H428&amp;""/""&amp;$I428&amp;""/map/?lat=""&amp;$D428&amp;""&amp;lon=""&amp;$E428&amp;""&amp;type=""&amp;$G428&amp;""&amp;name=""&amp;SUBSTITUTE($A428,""#"&amp;""",""%23""),$H428&amp;""/""&amp;$I428),IF($H428&lt;&gt;"""",IF(REGEXMATCH($H428,""50( ?['fF]([oO]{2})?[tT]?)?( ?[eE][rR]{2}[oO][rR])""),HYPERLINK(""https://www.munzee.com/map/?sandbox=1&amp;lat=""&amp;$D428&amp;""&amp;lon=""&amp;$E428&amp;""&amp;name=""&amp;SUBSTITUTE($A428,""#"",""%23""),""SANDBOX"""&amp;"),HYPERLINK(""https://www.munzee.com/m/""&amp;$H428&amp;""/deploys/0/type/""&amp;IFNA(VLOOKUP($G428,IMPORTRANGE(""https://docs.google.com/spreadsheets/d/1DliIGyDywdzxhd4svtjaewR0p9Y5UBTMNMQ2PcXsqss"",""type data!E2:F""),2,FALSE),$G428)&amp;""/"",$H428)),""""))"),"")</f>
        <v/>
      </c>
      <c r="K428" s="5" t="b">
        <v>0</v>
      </c>
      <c r="L428" s="7"/>
      <c r="M428" s="7"/>
    </row>
    <row r="429">
      <c r="A429" s="3" t="s">
        <v>594</v>
      </c>
      <c r="B429" s="3">
        <v>23.0</v>
      </c>
      <c r="C429" s="3">
        <v>25.0</v>
      </c>
      <c r="D429" s="4">
        <v>49.1871177023543</v>
      </c>
      <c r="E429" s="4">
        <v>-2.093646709606</v>
      </c>
      <c r="F429" s="3" t="s">
        <v>385</v>
      </c>
      <c r="G429" s="3" t="s">
        <v>386</v>
      </c>
      <c r="H429" s="5"/>
      <c r="I429" s="5"/>
      <c r="J429" s="7" t="str">
        <f>IFERROR(__xludf.DUMMYFUNCTION("IF(AND(REGEXMATCH($H429,""50( ?['fF]([oO]{2})?[tT]?)?( ?[eE][rR]{2}[oO][rR])"")=FALSE,$H429&lt;&gt;"""",$I429&lt;&gt;""""),HYPERLINK(""https://www.munzee.com/m/""&amp;$H429&amp;""/""&amp;$I429&amp;""/map/?lat=""&amp;$D429&amp;""&amp;lon=""&amp;$E429&amp;""&amp;type=""&amp;$G429&amp;""&amp;name=""&amp;SUBSTITUTE($A429,""#"&amp;""",""%23""),$H429&amp;""/""&amp;$I429),IF($H429&lt;&gt;"""",IF(REGEXMATCH($H429,""50( ?['fF]([oO]{2})?[tT]?)?( ?[eE][rR]{2}[oO][rR])""),HYPERLINK(""https://www.munzee.com/map/?sandbox=1&amp;lat=""&amp;$D429&amp;""&amp;lon=""&amp;$E429&amp;""&amp;name=""&amp;SUBSTITUTE($A429,""#"",""%23""),""SANDBOX"""&amp;"),HYPERLINK(""https://www.munzee.com/m/""&amp;$H429&amp;""/deploys/0/type/""&amp;IFNA(VLOOKUP($G429,IMPORTRANGE(""https://docs.google.com/spreadsheets/d/1DliIGyDywdzxhd4svtjaewR0p9Y5UBTMNMQ2PcXsqss"",""type data!E2:F""),2,FALSE),$G429)&amp;""/"",$H429)),""""))"),"")</f>
        <v/>
      </c>
      <c r="K429" s="5" t="b">
        <v>0</v>
      </c>
      <c r="L429" s="7"/>
      <c r="M429" s="7"/>
    </row>
    <row r="430">
      <c r="A430" s="3" t="s">
        <v>595</v>
      </c>
      <c r="B430" s="3">
        <v>23.0</v>
      </c>
      <c r="C430" s="3">
        <v>26.0</v>
      </c>
      <c r="D430" s="4">
        <v>49.1870160694772</v>
      </c>
      <c r="E430" s="4">
        <v>-2.0934912108359</v>
      </c>
      <c r="F430" s="3" t="s">
        <v>250</v>
      </c>
      <c r="G430" s="3" t="s">
        <v>251</v>
      </c>
      <c r="H430" s="5"/>
      <c r="I430" s="5"/>
      <c r="J430" s="7" t="str">
        <f>IFERROR(__xludf.DUMMYFUNCTION("IF(AND(REGEXMATCH($H430,""50( ?['fF]([oO]{2})?[tT]?)?( ?[eE][rR]{2}[oO][rR])"")=FALSE,$H430&lt;&gt;"""",$I430&lt;&gt;""""),HYPERLINK(""https://www.munzee.com/m/""&amp;$H430&amp;""/""&amp;$I430&amp;""/map/?lat=""&amp;$D430&amp;""&amp;lon=""&amp;$E430&amp;""&amp;type=""&amp;$G430&amp;""&amp;name=""&amp;SUBSTITUTE($A430,""#"&amp;""",""%23""),$H430&amp;""/""&amp;$I430),IF($H430&lt;&gt;"""",IF(REGEXMATCH($H430,""50( ?['fF]([oO]{2})?[tT]?)?( ?[eE][rR]{2}[oO][rR])""),HYPERLINK(""https://www.munzee.com/map/?sandbox=1&amp;lat=""&amp;$D430&amp;""&amp;lon=""&amp;$E430&amp;""&amp;name=""&amp;SUBSTITUTE($A430,""#"",""%23""),""SANDBOX"""&amp;"),HYPERLINK(""https://www.munzee.com/m/""&amp;$H430&amp;""/deploys/0/type/""&amp;IFNA(VLOOKUP($G430,IMPORTRANGE(""https://docs.google.com/spreadsheets/d/1DliIGyDywdzxhd4svtjaewR0p9Y5UBTMNMQ2PcXsqss"",""type data!E2:F""),2,FALSE),$G430)&amp;""/"",$H430)),""""))"),"")</f>
        <v/>
      </c>
      <c r="K430" s="5" t="b">
        <v>0</v>
      </c>
      <c r="L430" s="7"/>
      <c r="M430" s="7"/>
    </row>
    <row r="431">
      <c r="A431" s="3" t="s">
        <v>596</v>
      </c>
      <c r="B431" s="3">
        <v>23.0</v>
      </c>
      <c r="C431" s="3">
        <v>27.0</v>
      </c>
      <c r="D431" s="4">
        <v>49.1869144366002</v>
      </c>
      <c r="E431" s="4">
        <v>-2.0933357123852</v>
      </c>
      <c r="F431" s="3" t="s">
        <v>250</v>
      </c>
      <c r="G431" s="3" t="s">
        <v>251</v>
      </c>
      <c r="H431" s="5"/>
      <c r="I431" s="5"/>
      <c r="J431" s="7" t="str">
        <f>IFERROR(__xludf.DUMMYFUNCTION("IF(AND(REGEXMATCH($H431,""50( ?['fF]([oO]{2})?[tT]?)?( ?[eE][rR]{2}[oO][rR])"")=FALSE,$H431&lt;&gt;"""",$I431&lt;&gt;""""),HYPERLINK(""https://www.munzee.com/m/""&amp;$H431&amp;""/""&amp;$I431&amp;""/map/?lat=""&amp;$D431&amp;""&amp;lon=""&amp;$E431&amp;""&amp;type=""&amp;$G431&amp;""&amp;name=""&amp;SUBSTITUTE($A431,""#"&amp;""",""%23""),$H431&amp;""/""&amp;$I431),IF($H431&lt;&gt;"""",IF(REGEXMATCH($H431,""50( ?['fF]([oO]{2})?[tT]?)?( ?[eE][rR]{2}[oO][rR])""),HYPERLINK(""https://www.munzee.com/map/?sandbox=1&amp;lat=""&amp;$D431&amp;""&amp;lon=""&amp;$E431&amp;""&amp;name=""&amp;SUBSTITUTE($A431,""#"",""%23""),""SANDBOX"""&amp;"),HYPERLINK(""https://www.munzee.com/m/""&amp;$H431&amp;""/deploys/0/type/""&amp;IFNA(VLOOKUP($G431,IMPORTRANGE(""https://docs.google.com/spreadsheets/d/1DliIGyDywdzxhd4svtjaewR0p9Y5UBTMNMQ2PcXsqss"",""type data!E2:F""),2,FALSE),$G431)&amp;""/"",$H431)),""""))"),"")</f>
        <v/>
      </c>
      <c r="K431" s="5" t="b">
        <v>0</v>
      </c>
      <c r="L431" s="7"/>
      <c r="M431" s="7"/>
    </row>
    <row r="432">
      <c r="A432" s="3" t="s">
        <v>597</v>
      </c>
      <c r="B432" s="3">
        <v>24.0</v>
      </c>
      <c r="C432" s="3">
        <v>6.0</v>
      </c>
      <c r="D432" s="4">
        <v>49.1889470941408</v>
      </c>
      <c r="E432" s="4">
        <v>-2.0967567639061</v>
      </c>
      <c r="F432" s="3" t="s">
        <v>250</v>
      </c>
      <c r="G432" s="3" t="s">
        <v>251</v>
      </c>
      <c r="H432" s="5" t="s">
        <v>598</v>
      </c>
      <c r="I432" s="5">
        <v>2892.0</v>
      </c>
      <c r="J432" s="6" t="str">
        <f>IFERROR(__xludf.DUMMYFUNCTION("IF(AND(REGEXMATCH($H432,""50( ?['fF]([oO]{2})?[tT]?)?( ?[eE][rR]{2}[oO][rR])"")=FALSE,$H432&lt;&gt;"""",$I432&lt;&gt;""""),HYPERLINK(""https://www.munzee.com/m/""&amp;$H432&amp;""/""&amp;$I432&amp;""/map/?lat=""&amp;$D432&amp;""&amp;lon=""&amp;$E432&amp;""&amp;type=""&amp;$G432&amp;""&amp;name=""&amp;SUBSTITUTE($A432,""#"&amp;""",""%23""),$H432&amp;""/""&amp;$I432),IF($H432&lt;&gt;"""",IF(REGEXMATCH($H432,""50( ?['fF]([oO]{2})?[tT]?)?( ?[eE][rR]{2}[oO][rR])""),HYPERLINK(""https://www.munzee.com/map/?sandbox=1&amp;lat=""&amp;$D432&amp;""&amp;lon=""&amp;$E432&amp;""&amp;name=""&amp;SUBSTITUTE($A432,""#"",""%23""),""SANDBOX"""&amp;"),HYPERLINK(""https://www.munzee.com/m/""&amp;$H432&amp;""/deploys/0/type/""&amp;IFNA(VLOOKUP($G432,IMPORTRANGE(""https://docs.google.com/spreadsheets/d/1DliIGyDywdzxhd4svtjaewR0p9Y5UBTMNMQ2PcXsqss"",""type data!E2:F""),2,FALSE),$G432)&amp;""/"",$H432)),""""))"),"barefootguru/2892")</f>
        <v>barefootguru/2892</v>
      </c>
      <c r="K432" s="5" t="b">
        <v>1</v>
      </c>
      <c r="L432" s="7"/>
      <c r="M432" s="7"/>
    </row>
    <row r="433">
      <c r="A433" s="3" t="s">
        <v>599</v>
      </c>
      <c r="B433" s="3">
        <v>24.0</v>
      </c>
      <c r="C433" s="3">
        <v>7.0</v>
      </c>
      <c r="D433" s="4">
        <v>49.1888454612638</v>
      </c>
      <c r="E433" s="4">
        <v>-2.0966012593864</v>
      </c>
      <c r="F433" s="3" t="s">
        <v>250</v>
      </c>
      <c r="G433" s="3" t="s">
        <v>251</v>
      </c>
      <c r="H433" s="5"/>
      <c r="I433" s="5"/>
      <c r="J433" s="7" t="str">
        <f>IFERROR(__xludf.DUMMYFUNCTION("IF(AND(REGEXMATCH($H433,""50( ?['fF]([oO]{2})?[tT]?)?( ?[eE][rR]{2}[oO][rR])"")=FALSE,$H433&lt;&gt;"""",$I433&lt;&gt;""""),HYPERLINK(""https://www.munzee.com/m/""&amp;$H433&amp;""/""&amp;$I433&amp;""/map/?lat=""&amp;$D433&amp;""&amp;lon=""&amp;$E433&amp;""&amp;type=""&amp;$G433&amp;""&amp;name=""&amp;SUBSTITUTE($A433,""#"&amp;""",""%23""),$H433&amp;""/""&amp;$I433),IF($H433&lt;&gt;"""",IF(REGEXMATCH($H433,""50( ?['fF]([oO]{2})?[tT]?)?( ?[eE][rR]{2}[oO][rR])""),HYPERLINK(""https://www.munzee.com/map/?sandbox=1&amp;lat=""&amp;$D433&amp;""&amp;lon=""&amp;$E433&amp;""&amp;name=""&amp;SUBSTITUTE($A433,""#"",""%23""),""SANDBOX"""&amp;"),HYPERLINK(""https://www.munzee.com/m/""&amp;$H433&amp;""/deploys/0/type/""&amp;IFNA(VLOOKUP($G433,IMPORTRANGE(""https://docs.google.com/spreadsheets/d/1DliIGyDywdzxhd4svtjaewR0p9Y5UBTMNMQ2PcXsqss"",""type data!E2:F""),2,FALSE),$G433)&amp;""/"",$H433)),""""))"),"")</f>
        <v/>
      </c>
      <c r="K433" s="5" t="b">
        <v>0</v>
      </c>
      <c r="L433" s="7"/>
      <c r="M433" s="7"/>
    </row>
    <row r="434">
      <c r="A434" s="3" t="s">
        <v>600</v>
      </c>
      <c r="B434" s="3">
        <v>24.0</v>
      </c>
      <c r="C434" s="3">
        <v>8.0</v>
      </c>
      <c r="D434" s="4">
        <v>49.1887438283868</v>
      </c>
      <c r="E434" s="4">
        <v>-2.0964457551861</v>
      </c>
      <c r="F434" s="3" t="s">
        <v>385</v>
      </c>
      <c r="G434" s="3" t="s">
        <v>386</v>
      </c>
      <c r="H434" s="5"/>
      <c r="I434" s="5"/>
      <c r="J434" s="7" t="str">
        <f>IFERROR(__xludf.DUMMYFUNCTION("IF(AND(REGEXMATCH($H434,""50( ?['fF]([oO]{2})?[tT]?)?( ?[eE][rR]{2}[oO][rR])"")=FALSE,$H434&lt;&gt;"""",$I434&lt;&gt;""""),HYPERLINK(""https://www.munzee.com/m/""&amp;$H434&amp;""/""&amp;$I434&amp;""/map/?lat=""&amp;$D434&amp;""&amp;lon=""&amp;$E434&amp;""&amp;type=""&amp;$G434&amp;""&amp;name=""&amp;SUBSTITUTE($A434,""#"&amp;""",""%23""),$H434&amp;""/""&amp;$I434),IF($H434&lt;&gt;"""",IF(REGEXMATCH($H434,""50( ?['fF]([oO]{2})?[tT]?)?( ?[eE][rR]{2}[oO][rR])""),HYPERLINK(""https://www.munzee.com/map/?sandbox=1&amp;lat=""&amp;$D434&amp;""&amp;lon=""&amp;$E434&amp;""&amp;name=""&amp;SUBSTITUTE($A434,""#"",""%23""),""SANDBOX"""&amp;"),HYPERLINK(""https://www.munzee.com/m/""&amp;$H434&amp;""/deploys/0/type/""&amp;IFNA(VLOOKUP($G434,IMPORTRANGE(""https://docs.google.com/spreadsheets/d/1DliIGyDywdzxhd4svtjaewR0p9Y5UBTMNMQ2PcXsqss"",""type data!E2:F""),2,FALSE),$G434)&amp;""/"",$H434)),""""))"),"")</f>
        <v/>
      </c>
      <c r="K434" s="5" t="b">
        <v>0</v>
      </c>
      <c r="L434" s="7"/>
      <c r="M434" s="7"/>
    </row>
    <row r="435">
      <c r="A435" s="3" t="s">
        <v>601</v>
      </c>
      <c r="B435" s="3">
        <v>24.0</v>
      </c>
      <c r="C435" s="3">
        <v>9.0</v>
      </c>
      <c r="D435" s="4">
        <v>49.1886421955097</v>
      </c>
      <c r="E435" s="4">
        <v>-2.0962902513053</v>
      </c>
      <c r="F435" s="3" t="s">
        <v>385</v>
      </c>
      <c r="G435" s="3" t="s">
        <v>386</v>
      </c>
      <c r="H435" s="5"/>
      <c r="I435" s="5"/>
      <c r="J435" s="7" t="str">
        <f>IFERROR(__xludf.DUMMYFUNCTION("IF(AND(REGEXMATCH($H435,""50( ?['fF]([oO]{2})?[tT]?)?( ?[eE][rR]{2}[oO][rR])"")=FALSE,$H435&lt;&gt;"""",$I435&lt;&gt;""""),HYPERLINK(""https://www.munzee.com/m/""&amp;$H435&amp;""/""&amp;$I435&amp;""/map/?lat=""&amp;$D435&amp;""&amp;lon=""&amp;$E435&amp;""&amp;type=""&amp;$G435&amp;""&amp;name=""&amp;SUBSTITUTE($A435,""#"&amp;""",""%23""),$H435&amp;""/""&amp;$I435),IF($H435&lt;&gt;"""",IF(REGEXMATCH($H435,""50( ?['fF]([oO]{2})?[tT]?)?( ?[eE][rR]{2}[oO][rR])""),HYPERLINK(""https://www.munzee.com/map/?sandbox=1&amp;lat=""&amp;$D435&amp;""&amp;lon=""&amp;$E435&amp;""&amp;name=""&amp;SUBSTITUTE($A435,""#"",""%23""),""SANDBOX"""&amp;"),HYPERLINK(""https://www.munzee.com/m/""&amp;$H435&amp;""/deploys/0/type/""&amp;IFNA(VLOOKUP($G435,IMPORTRANGE(""https://docs.google.com/spreadsheets/d/1DliIGyDywdzxhd4svtjaewR0p9Y5UBTMNMQ2PcXsqss"",""type data!E2:F""),2,FALSE),$G435)&amp;""/"",$H435)),""""))"),"")</f>
        <v/>
      </c>
      <c r="K435" s="5" t="b">
        <v>0</v>
      </c>
      <c r="L435" s="7"/>
      <c r="M435" s="7"/>
    </row>
    <row r="436">
      <c r="A436" s="3" t="s">
        <v>602</v>
      </c>
      <c r="B436" s="3">
        <v>24.0</v>
      </c>
      <c r="C436" s="3">
        <v>10.0</v>
      </c>
      <c r="D436" s="4">
        <v>49.1885405626327</v>
      </c>
      <c r="E436" s="4">
        <v>-2.0961347477439</v>
      </c>
      <c r="F436" s="3" t="s">
        <v>385</v>
      </c>
      <c r="G436" s="3" t="s">
        <v>386</v>
      </c>
      <c r="H436" s="5"/>
      <c r="I436" s="5"/>
      <c r="J436" s="7" t="str">
        <f>IFERROR(__xludf.DUMMYFUNCTION("IF(AND(REGEXMATCH($H436,""50( ?['fF]([oO]{2})?[tT]?)?( ?[eE][rR]{2}[oO][rR])"")=FALSE,$H436&lt;&gt;"""",$I436&lt;&gt;""""),HYPERLINK(""https://www.munzee.com/m/""&amp;$H436&amp;""/""&amp;$I436&amp;""/map/?lat=""&amp;$D436&amp;""&amp;lon=""&amp;$E436&amp;""&amp;type=""&amp;$G436&amp;""&amp;name=""&amp;SUBSTITUTE($A436,""#"&amp;""",""%23""),$H436&amp;""/""&amp;$I436),IF($H436&lt;&gt;"""",IF(REGEXMATCH($H436,""50( ?['fF]([oO]{2})?[tT]?)?( ?[eE][rR]{2}[oO][rR])""),HYPERLINK(""https://www.munzee.com/map/?sandbox=1&amp;lat=""&amp;$D436&amp;""&amp;lon=""&amp;$E436&amp;""&amp;name=""&amp;SUBSTITUTE($A436,""#"",""%23""),""SANDBOX"""&amp;"),HYPERLINK(""https://www.munzee.com/m/""&amp;$H436&amp;""/deploys/0/type/""&amp;IFNA(VLOOKUP($G436,IMPORTRANGE(""https://docs.google.com/spreadsheets/d/1DliIGyDywdzxhd4svtjaewR0p9Y5UBTMNMQ2PcXsqss"",""type data!E2:F""),2,FALSE),$G436)&amp;""/"",$H436)),""""))"),"")</f>
        <v/>
      </c>
      <c r="K436" s="5" t="b">
        <v>0</v>
      </c>
      <c r="L436" s="7"/>
      <c r="M436" s="7"/>
    </row>
    <row r="437">
      <c r="A437" s="3" t="s">
        <v>603</v>
      </c>
      <c r="B437" s="3">
        <v>24.0</v>
      </c>
      <c r="C437" s="3">
        <v>11.0</v>
      </c>
      <c r="D437" s="4">
        <v>49.1884389297557</v>
      </c>
      <c r="E437" s="4">
        <v>-2.0959792445019</v>
      </c>
      <c r="F437" s="3" t="s">
        <v>518</v>
      </c>
      <c r="G437" s="3" t="s">
        <v>519</v>
      </c>
      <c r="H437" s="5"/>
      <c r="I437" s="5"/>
      <c r="J437" s="7" t="str">
        <f>IFERROR(__xludf.DUMMYFUNCTION("IF(AND(REGEXMATCH($H437,""50( ?['fF]([oO]{2})?[tT]?)?( ?[eE][rR]{2}[oO][rR])"")=FALSE,$H437&lt;&gt;"""",$I437&lt;&gt;""""),HYPERLINK(""https://www.munzee.com/m/""&amp;$H437&amp;""/""&amp;$I437&amp;""/map/?lat=""&amp;$D437&amp;""&amp;lon=""&amp;$E437&amp;""&amp;type=""&amp;$G437&amp;""&amp;name=""&amp;SUBSTITUTE($A437,""#"&amp;""",""%23""),$H437&amp;""/""&amp;$I437),IF($H437&lt;&gt;"""",IF(REGEXMATCH($H437,""50( ?['fF]([oO]{2})?[tT]?)?( ?[eE][rR]{2}[oO][rR])""),HYPERLINK(""https://www.munzee.com/map/?sandbox=1&amp;lat=""&amp;$D437&amp;""&amp;lon=""&amp;$E437&amp;""&amp;name=""&amp;SUBSTITUTE($A437,""#"",""%23""),""SANDBOX"""&amp;"),HYPERLINK(""https://www.munzee.com/m/""&amp;$H437&amp;""/deploys/0/type/""&amp;IFNA(VLOOKUP($G437,IMPORTRANGE(""https://docs.google.com/spreadsheets/d/1DliIGyDywdzxhd4svtjaewR0p9Y5UBTMNMQ2PcXsqss"",""type data!E2:F""),2,FALSE),$G437)&amp;""/"",$H437)),""""))"),"")</f>
        <v/>
      </c>
      <c r="K437" s="5" t="b">
        <v>0</v>
      </c>
      <c r="L437" s="7"/>
      <c r="M437" s="7"/>
    </row>
    <row r="438">
      <c r="A438" s="3" t="s">
        <v>604</v>
      </c>
      <c r="B438" s="3">
        <v>24.0</v>
      </c>
      <c r="C438" s="3">
        <v>12.0</v>
      </c>
      <c r="D438" s="4">
        <v>49.1883372968786</v>
      </c>
      <c r="E438" s="4">
        <v>-2.0958237415794</v>
      </c>
      <c r="F438" s="3" t="s">
        <v>453</v>
      </c>
      <c r="G438" s="3" t="s">
        <v>454</v>
      </c>
      <c r="H438" s="5"/>
      <c r="I438" s="5"/>
      <c r="J438" s="7" t="str">
        <f>IFERROR(__xludf.DUMMYFUNCTION("IF(AND(REGEXMATCH($H438,""50( ?['fF]([oO]{2})?[tT]?)?( ?[eE][rR]{2}[oO][rR])"")=FALSE,$H438&lt;&gt;"""",$I438&lt;&gt;""""),HYPERLINK(""https://www.munzee.com/m/""&amp;$H438&amp;""/""&amp;$I438&amp;""/map/?lat=""&amp;$D438&amp;""&amp;lon=""&amp;$E438&amp;""&amp;type=""&amp;$G438&amp;""&amp;name=""&amp;SUBSTITUTE($A438,""#"&amp;""",""%23""),$H438&amp;""/""&amp;$I438),IF($H438&lt;&gt;"""",IF(REGEXMATCH($H438,""50( ?['fF]([oO]{2})?[tT]?)?( ?[eE][rR]{2}[oO][rR])""),HYPERLINK(""https://www.munzee.com/map/?sandbox=1&amp;lat=""&amp;$D438&amp;""&amp;lon=""&amp;$E438&amp;""&amp;name=""&amp;SUBSTITUTE($A438,""#"",""%23""),""SANDBOX"""&amp;"),HYPERLINK(""https://www.munzee.com/m/""&amp;$H438&amp;""/deploys/0/type/""&amp;IFNA(VLOOKUP($G438,IMPORTRANGE(""https://docs.google.com/spreadsheets/d/1DliIGyDywdzxhd4svtjaewR0p9Y5UBTMNMQ2PcXsqss"",""type data!E2:F""),2,FALSE),$G438)&amp;""/"",$H438)),""""))"),"")</f>
        <v/>
      </c>
      <c r="K438" s="5" t="b">
        <v>0</v>
      </c>
      <c r="L438" s="7"/>
      <c r="M438" s="7"/>
    </row>
    <row r="439">
      <c r="A439" s="3" t="s">
        <v>605</v>
      </c>
      <c r="B439" s="3">
        <v>24.0</v>
      </c>
      <c r="C439" s="3">
        <v>13.0</v>
      </c>
      <c r="D439" s="4">
        <v>49.1882356640016</v>
      </c>
      <c r="E439" s="4">
        <v>-2.0956682389763</v>
      </c>
      <c r="F439" s="3" t="s">
        <v>453</v>
      </c>
      <c r="G439" s="3" t="s">
        <v>454</v>
      </c>
      <c r="H439" s="5"/>
      <c r="I439" s="5"/>
      <c r="J439" s="7" t="str">
        <f>IFERROR(__xludf.DUMMYFUNCTION("IF(AND(REGEXMATCH($H439,""50( ?['fF]([oO]{2})?[tT]?)?( ?[eE][rR]{2}[oO][rR])"")=FALSE,$H439&lt;&gt;"""",$I439&lt;&gt;""""),HYPERLINK(""https://www.munzee.com/m/""&amp;$H439&amp;""/""&amp;$I439&amp;""/map/?lat=""&amp;$D439&amp;""&amp;lon=""&amp;$E439&amp;""&amp;type=""&amp;$G439&amp;""&amp;name=""&amp;SUBSTITUTE($A439,""#"&amp;""",""%23""),$H439&amp;""/""&amp;$I439),IF($H439&lt;&gt;"""",IF(REGEXMATCH($H439,""50( ?['fF]([oO]{2})?[tT]?)?( ?[eE][rR]{2}[oO][rR])""),HYPERLINK(""https://www.munzee.com/map/?sandbox=1&amp;lat=""&amp;$D439&amp;""&amp;lon=""&amp;$E439&amp;""&amp;name=""&amp;SUBSTITUTE($A439,""#"",""%23""),""SANDBOX"""&amp;"),HYPERLINK(""https://www.munzee.com/m/""&amp;$H439&amp;""/deploys/0/type/""&amp;IFNA(VLOOKUP($G439,IMPORTRANGE(""https://docs.google.com/spreadsheets/d/1DliIGyDywdzxhd4svtjaewR0p9Y5UBTMNMQ2PcXsqss"",""type data!E2:F""),2,FALSE),$G439)&amp;""/"",$H439)),""""))"),"")</f>
        <v/>
      </c>
      <c r="K439" s="5" t="b">
        <v>0</v>
      </c>
      <c r="L439" s="7"/>
      <c r="M439" s="7"/>
    </row>
    <row r="440">
      <c r="A440" s="3" t="s">
        <v>606</v>
      </c>
      <c r="B440" s="3">
        <v>24.0</v>
      </c>
      <c r="C440" s="3">
        <v>14.0</v>
      </c>
      <c r="D440" s="4">
        <v>49.1881340311246</v>
      </c>
      <c r="E440" s="4">
        <v>-2.0955127366926</v>
      </c>
      <c r="F440" s="3" t="s">
        <v>366</v>
      </c>
      <c r="G440" s="3" t="s">
        <v>367</v>
      </c>
      <c r="H440" s="5"/>
      <c r="I440" s="5"/>
      <c r="J440" s="7" t="str">
        <f>IFERROR(__xludf.DUMMYFUNCTION("IF(AND(REGEXMATCH($H440,""50( ?['fF]([oO]{2})?[tT]?)?( ?[eE][rR]{2}[oO][rR])"")=FALSE,$H440&lt;&gt;"""",$I440&lt;&gt;""""),HYPERLINK(""https://www.munzee.com/m/""&amp;$H440&amp;""/""&amp;$I440&amp;""/map/?lat=""&amp;$D440&amp;""&amp;lon=""&amp;$E440&amp;""&amp;type=""&amp;$G440&amp;""&amp;name=""&amp;SUBSTITUTE($A440,""#"&amp;""",""%23""),$H440&amp;""/""&amp;$I440),IF($H440&lt;&gt;"""",IF(REGEXMATCH($H440,""50( ?['fF]([oO]{2})?[tT]?)?( ?[eE][rR]{2}[oO][rR])""),HYPERLINK(""https://www.munzee.com/map/?sandbox=1&amp;lat=""&amp;$D440&amp;""&amp;lon=""&amp;$E440&amp;""&amp;name=""&amp;SUBSTITUTE($A440,""#"",""%23""),""SANDBOX"""&amp;"),HYPERLINK(""https://www.munzee.com/m/""&amp;$H440&amp;""/deploys/0/type/""&amp;IFNA(VLOOKUP($G440,IMPORTRANGE(""https://docs.google.com/spreadsheets/d/1DliIGyDywdzxhd4svtjaewR0p9Y5UBTMNMQ2PcXsqss"",""type data!E2:F""),2,FALSE),$G440)&amp;""/"",$H440)),""""))"),"")</f>
        <v/>
      </c>
      <c r="K440" s="5" t="b">
        <v>0</v>
      </c>
      <c r="L440" s="7"/>
      <c r="M440" s="7"/>
    </row>
    <row r="441">
      <c r="A441" s="3" t="s">
        <v>607</v>
      </c>
      <c r="B441" s="3">
        <v>24.0</v>
      </c>
      <c r="C441" s="3">
        <v>15.0</v>
      </c>
      <c r="D441" s="4">
        <v>49.1880323982475</v>
      </c>
      <c r="E441" s="4">
        <v>-2.0953572347283</v>
      </c>
      <c r="F441" s="3" t="s">
        <v>339</v>
      </c>
      <c r="G441" s="3" t="s">
        <v>340</v>
      </c>
      <c r="H441" s="5"/>
      <c r="I441" s="5"/>
      <c r="J441" s="7" t="str">
        <f>IFERROR(__xludf.DUMMYFUNCTION("IF(AND(REGEXMATCH($H441,""50( ?['fF]([oO]{2})?[tT]?)?( ?[eE][rR]{2}[oO][rR])"")=FALSE,$H441&lt;&gt;"""",$I441&lt;&gt;""""),HYPERLINK(""https://www.munzee.com/m/""&amp;$H441&amp;""/""&amp;$I441&amp;""/map/?lat=""&amp;$D441&amp;""&amp;lon=""&amp;$E441&amp;""&amp;type=""&amp;$G441&amp;""&amp;name=""&amp;SUBSTITUTE($A441,""#"&amp;""",""%23""),$H441&amp;""/""&amp;$I441),IF($H441&lt;&gt;"""",IF(REGEXMATCH($H441,""50( ?['fF]([oO]{2})?[tT]?)?( ?[eE][rR]{2}[oO][rR])""),HYPERLINK(""https://www.munzee.com/map/?sandbox=1&amp;lat=""&amp;$D441&amp;""&amp;lon=""&amp;$E441&amp;""&amp;name=""&amp;SUBSTITUTE($A441,""#"",""%23""),""SANDBOX"""&amp;"),HYPERLINK(""https://www.munzee.com/m/""&amp;$H441&amp;""/deploys/0/type/""&amp;IFNA(VLOOKUP($G441,IMPORTRANGE(""https://docs.google.com/spreadsheets/d/1DliIGyDywdzxhd4svtjaewR0p9Y5UBTMNMQ2PcXsqss"",""type data!E2:F""),2,FALSE),$G441)&amp;""/"",$H441)),""""))"),"")</f>
        <v/>
      </c>
      <c r="K441" s="5" t="b">
        <v>0</v>
      </c>
      <c r="L441" s="7"/>
      <c r="M441" s="7"/>
    </row>
    <row r="442">
      <c r="A442" s="3" t="s">
        <v>608</v>
      </c>
      <c r="B442" s="3">
        <v>24.0</v>
      </c>
      <c r="C442" s="3">
        <v>16.0</v>
      </c>
      <c r="D442" s="4">
        <v>49.1879307653705</v>
      </c>
      <c r="E442" s="4">
        <v>-2.0952017330835</v>
      </c>
      <c r="F442" s="3" t="s">
        <v>339</v>
      </c>
      <c r="G442" s="3" t="s">
        <v>340</v>
      </c>
      <c r="H442" s="5"/>
      <c r="I442" s="5"/>
      <c r="J442" s="7" t="str">
        <f>IFERROR(__xludf.DUMMYFUNCTION("IF(AND(REGEXMATCH($H442,""50( ?['fF]([oO]{2})?[tT]?)?( ?[eE][rR]{2}[oO][rR])"")=FALSE,$H442&lt;&gt;"""",$I442&lt;&gt;""""),HYPERLINK(""https://www.munzee.com/m/""&amp;$H442&amp;""/""&amp;$I442&amp;""/map/?lat=""&amp;$D442&amp;""&amp;lon=""&amp;$E442&amp;""&amp;type=""&amp;$G442&amp;""&amp;name=""&amp;SUBSTITUTE($A442,""#"&amp;""",""%23""),$H442&amp;""/""&amp;$I442),IF($H442&lt;&gt;"""",IF(REGEXMATCH($H442,""50( ?['fF]([oO]{2})?[tT]?)?( ?[eE][rR]{2}[oO][rR])""),HYPERLINK(""https://www.munzee.com/map/?sandbox=1&amp;lat=""&amp;$D442&amp;""&amp;lon=""&amp;$E442&amp;""&amp;name=""&amp;SUBSTITUTE($A442,""#"",""%23""),""SANDBOX"""&amp;"),HYPERLINK(""https://www.munzee.com/m/""&amp;$H442&amp;""/deploys/0/type/""&amp;IFNA(VLOOKUP($G442,IMPORTRANGE(""https://docs.google.com/spreadsheets/d/1DliIGyDywdzxhd4svtjaewR0p9Y5UBTMNMQ2PcXsqss"",""type data!E2:F""),2,FALSE),$G442)&amp;""/"",$H442)),""""))"),"")</f>
        <v/>
      </c>
      <c r="K442" s="5" t="b">
        <v>0</v>
      </c>
      <c r="L442" s="7"/>
      <c r="M442" s="7"/>
    </row>
    <row r="443">
      <c r="A443" s="3" t="s">
        <v>609</v>
      </c>
      <c r="B443" s="3">
        <v>24.0</v>
      </c>
      <c r="C443" s="3">
        <v>17.0</v>
      </c>
      <c r="D443" s="4">
        <v>49.1878291324935</v>
      </c>
      <c r="E443" s="4">
        <v>-2.095046231758</v>
      </c>
      <c r="F443" s="3" t="s">
        <v>339</v>
      </c>
      <c r="G443" s="3" t="s">
        <v>340</v>
      </c>
      <c r="H443" s="5"/>
      <c r="I443" s="5"/>
      <c r="J443" s="7" t="str">
        <f>IFERROR(__xludf.DUMMYFUNCTION("IF(AND(REGEXMATCH($H443,""50( ?['fF]([oO]{2})?[tT]?)?( ?[eE][rR]{2}[oO][rR])"")=FALSE,$H443&lt;&gt;"""",$I443&lt;&gt;""""),HYPERLINK(""https://www.munzee.com/m/""&amp;$H443&amp;""/""&amp;$I443&amp;""/map/?lat=""&amp;$D443&amp;""&amp;lon=""&amp;$E443&amp;""&amp;type=""&amp;$G443&amp;""&amp;name=""&amp;SUBSTITUTE($A443,""#"&amp;""",""%23""),$H443&amp;""/""&amp;$I443),IF($H443&lt;&gt;"""",IF(REGEXMATCH($H443,""50( ?['fF]([oO]{2})?[tT]?)?( ?[eE][rR]{2}[oO][rR])""),HYPERLINK(""https://www.munzee.com/map/?sandbox=1&amp;lat=""&amp;$D443&amp;""&amp;lon=""&amp;$E443&amp;""&amp;name=""&amp;SUBSTITUTE($A443,""#"",""%23""),""SANDBOX"""&amp;"),HYPERLINK(""https://www.munzee.com/m/""&amp;$H443&amp;""/deploys/0/type/""&amp;IFNA(VLOOKUP($G443,IMPORTRANGE(""https://docs.google.com/spreadsheets/d/1DliIGyDywdzxhd4svtjaewR0p9Y5UBTMNMQ2PcXsqss"",""type data!E2:F""),2,FALSE),$G443)&amp;""/"",$H443)),""""))"),"")</f>
        <v/>
      </c>
      <c r="K443" s="5" t="b">
        <v>0</v>
      </c>
      <c r="L443" s="7"/>
      <c r="M443" s="7"/>
    </row>
    <row r="444">
      <c r="A444" s="3" t="s">
        <v>610</v>
      </c>
      <c r="B444" s="3">
        <v>24.0</v>
      </c>
      <c r="C444" s="3">
        <v>18.0</v>
      </c>
      <c r="D444" s="4">
        <v>49.1877274996164</v>
      </c>
      <c r="E444" s="4">
        <v>-2.094890730752</v>
      </c>
      <c r="F444" s="3" t="s">
        <v>296</v>
      </c>
      <c r="G444" s="3" t="s">
        <v>297</v>
      </c>
      <c r="H444" s="5" t="s">
        <v>611</v>
      </c>
      <c r="I444" s="5">
        <v>2228.0</v>
      </c>
      <c r="J444" s="6" t="str">
        <f>IFERROR(__xludf.DUMMYFUNCTION("IF(AND(REGEXMATCH($H444,""50( ?['fF]([oO]{2})?[tT]?)?( ?[eE][rR]{2}[oO][rR])"")=FALSE,$H444&lt;&gt;"""",$I444&lt;&gt;""""),HYPERLINK(""https://www.munzee.com/m/""&amp;$H444&amp;""/""&amp;$I444&amp;""/map/?lat=""&amp;$D444&amp;""&amp;lon=""&amp;$E444&amp;""&amp;type=""&amp;$G444&amp;""&amp;name=""&amp;SUBSTITUTE($A444,""#"&amp;""",""%23""),$H444&amp;""/""&amp;$I444),IF($H444&lt;&gt;"""",IF(REGEXMATCH($H444,""50( ?['fF]([oO]{2})?[tT]?)?( ?[eE][rR]{2}[oO][rR])""),HYPERLINK(""https://www.munzee.com/map/?sandbox=1&amp;lat=""&amp;$D444&amp;""&amp;lon=""&amp;$E444&amp;""&amp;name=""&amp;SUBSTITUTE($A444,""#"",""%23""),""SANDBOX"""&amp;"),HYPERLINK(""https://www.munzee.com/m/""&amp;$H444&amp;""/deploys/0/type/""&amp;IFNA(VLOOKUP($G444,IMPORTRANGE(""https://docs.google.com/spreadsheets/d/1DliIGyDywdzxhd4svtjaewR0p9Y5UBTMNMQ2PcXsqss"",""type data!E2:F""),2,FALSE),$G444)&amp;""/"",$H444)),""""))"),"silleb/2228")</f>
        <v>silleb/2228</v>
      </c>
      <c r="K444" s="5" t="b">
        <v>1</v>
      </c>
      <c r="L444" s="7"/>
      <c r="M444" s="7"/>
    </row>
    <row r="445">
      <c r="A445" s="3" t="s">
        <v>612</v>
      </c>
      <c r="B445" s="3">
        <v>24.0</v>
      </c>
      <c r="C445" s="3">
        <v>19.0</v>
      </c>
      <c r="D445" s="4">
        <v>49.1876258667394</v>
      </c>
      <c r="E445" s="4">
        <v>-2.0947352300655</v>
      </c>
      <c r="F445" s="3" t="s">
        <v>453</v>
      </c>
      <c r="G445" s="3" t="s">
        <v>454</v>
      </c>
      <c r="H445" s="5"/>
      <c r="I445" s="5"/>
      <c r="J445" s="7" t="str">
        <f>IFERROR(__xludf.DUMMYFUNCTION("IF(AND(REGEXMATCH($H445,""50( ?['fF]([oO]{2})?[tT]?)?( ?[eE][rR]{2}[oO][rR])"")=FALSE,$H445&lt;&gt;"""",$I445&lt;&gt;""""),HYPERLINK(""https://www.munzee.com/m/""&amp;$H445&amp;""/""&amp;$I445&amp;""/map/?lat=""&amp;$D445&amp;""&amp;lon=""&amp;$E445&amp;""&amp;type=""&amp;$G445&amp;""&amp;name=""&amp;SUBSTITUTE($A445,""#"&amp;""",""%23""),$H445&amp;""/""&amp;$I445),IF($H445&lt;&gt;"""",IF(REGEXMATCH($H445,""50( ?['fF]([oO]{2})?[tT]?)?( ?[eE][rR]{2}[oO][rR])""),HYPERLINK(""https://www.munzee.com/map/?sandbox=1&amp;lat=""&amp;$D445&amp;""&amp;lon=""&amp;$E445&amp;""&amp;name=""&amp;SUBSTITUTE($A445,""#"",""%23""),""SANDBOX"""&amp;"),HYPERLINK(""https://www.munzee.com/m/""&amp;$H445&amp;""/deploys/0/type/""&amp;IFNA(VLOOKUP($G445,IMPORTRANGE(""https://docs.google.com/spreadsheets/d/1DliIGyDywdzxhd4svtjaewR0p9Y5UBTMNMQ2PcXsqss"",""type data!E2:F""),2,FALSE),$G445)&amp;""/"",$H445)),""""))"),"")</f>
        <v/>
      </c>
      <c r="K445" s="5" t="b">
        <v>0</v>
      </c>
      <c r="L445" s="7"/>
      <c r="M445" s="7"/>
    </row>
    <row r="446">
      <c r="A446" s="3" t="s">
        <v>613</v>
      </c>
      <c r="B446" s="3">
        <v>24.0</v>
      </c>
      <c r="C446" s="3">
        <v>20.0</v>
      </c>
      <c r="D446" s="4">
        <v>49.1875242338624</v>
      </c>
      <c r="E446" s="4">
        <v>-2.0945797296982</v>
      </c>
      <c r="F446" s="3" t="s">
        <v>453</v>
      </c>
      <c r="G446" s="3" t="s">
        <v>454</v>
      </c>
      <c r="H446" s="5"/>
      <c r="I446" s="5"/>
      <c r="J446" s="7" t="str">
        <f>IFERROR(__xludf.DUMMYFUNCTION("IF(AND(REGEXMATCH($H446,""50( ?['fF]([oO]{2})?[tT]?)?( ?[eE][rR]{2}[oO][rR])"")=FALSE,$H446&lt;&gt;"""",$I446&lt;&gt;""""),HYPERLINK(""https://www.munzee.com/m/""&amp;$H446&amp;""/""&amp;$I446&amp;""/map/?lat=""&amp;$D446&amp;""&amp;lon=""&amp;$E446&amp;""&amp;type=""&amp;$G446&amp;""&amp;name=""&amp;SUBSTITUTE($A446,""#"&amp;""",""%23""),$H446&amp;""/""&amp;$I446),IF($H446&lt;&gt;"""",IF(REGEXMATCH($H446,""50( ?['fF]([oO]{2})?[tT]?)?( ?[eE][rR]{2}[oO][rR])""),HYPERLINK(""https://www.munzee.com/map/?sandbox=1&amp;lat=""&amp;$D446&amp;""&amp;lon=""&amp;$E446&amp;""&amp;name=""&amp;SUBSTITUTE($A446,""#"",""%23""),""SANDBOX"""&amp;"),HYPERLINK(""https://www.munzee.com/m/""&amp;$H446&amp;""/deploys/0/type/""&amp;IFNA(VLOOKUP($G446,IMPORTRANGE(""https://docs.google.com/spreadsheets/d/1DliIGyDywdzxhd4svtjaewR0p9Y5UBTMNMQ2PcXsqss"",""type data!E2:F""),2,FALSE),$G446)&amp;""/"",$H446)),""""))"),"")</f>
        <v/>
      </c>
      <c r="K446" s="5" t="b">
        <v>0</v>
      </c>
      <c r="L446" s="7"/>
      <c r="M446" s="7"/>
    </row>
    <row r="447">
      <c r="A447" s="3" t="s">
        <v>614</v>
      </c>
      <c r="B447" s="3">
        <v>24.0</v>
      </c>
      <c r="C447" s="3">
        <v>21.0</v>
      </c>
      <c r="D447" s="4">
        <v>49.1874226009854</v>
      </c>
      <c r="E447" s="4">
        <v>-2.0944242296505</v>
      </c>
      <c r="F447" s="3" t="s">
        <v>464</v>
      </c>
      <c r="G447" s="3" t="s">
        <v>465</v>
      </c>
      <c r="H447" s="5"/>
      <c r="I447" s="5"/>
      <c r="J447" s="7" t="str">
        <f>IFERROR(__xludf.DUMMYFUNCTION("IF(AND(REGEXMATCH($H447,""50( ?['fF]([oO]{2})?[tT]?)?( ?[eE][rR]{2}[oO][rR])"")=FALSE,$H447&lt;&gt;"""",$I447&lt;&gt;""""),HYPERLINK(""https://www.munzee.com/m/""&amp;$H447&amp;""/""&amp;$I447&amp;""/map/?lat=""&amp;$D447&amp;""&amp;lon=""&amp;$E447&amp;""&amp;type=""&amp;$G447&amp;""&amp;name=""&amp;SUBSTITUTE($A447,""#"&amp;""",""%23""),$H447&amp;""/""&amp;$I447),IF($H447&lt;&gt;"""",IF(REGEXMATCH($H447,""50( ?['fF]([oO]{2})?[tT]?)?( ?[eE][rR]{2}[oO][rR])""),HYPERLINK(""https://www.munzee.com/map/?sandbox=1&amp;lat=""&amp;$D447&amp;""&amp;lon=""&amp;$E447&amp;""&amp;name=""&amp;SUBSTITUTE($A447,""#"",""%23""),""SANDBOX"""&amp;"),HYPERLINK(""https://www.munzee.com/m/""&amp;$H447&amp;""/deploys/0/type/""&amp;IFNA(VLOOKUP($G447,IMPORTRANGE(""https://docs.google.com/spreadsheets/d/1DliIGyDywdzxhd4svtjaewR0p9Y5UBTMNMQ2PcXsqss"",""type data!E2:F""),2,FALSE),$G447)&amp;""/"",$H447)),""""))"),"")</f>
        <v/>
      </c>
      <c r="K447" s="5" t="b">
        <v>0</v>
      </c>
      <c r="L447" s="7"/>
      <c r="M447" s="7"/>
    </row>
    <row r="448">
      <c r="A448" s="3" t="s">
        <v>615</v>
      </c>
      <c r="B448" s="3">
        <v>24.0</v>
      </c>
      <c r="C448" s="3">
        <v>22.0</v>
      </c>
      <c r="D448" s="4">
        <v>49.1873209681083</v>
      </c>
      <c r="E448" s="4">
        <v>-2.0942687299221</v>
      </c>
      <c r="F448" s="3" t="s">
        <v>385</v>
      </c>
      <c r="G448" s="3" t="s">
        <v>386</v>
      </c>
      <c r="H448" s="5"/>
      <c r="I448" s="5"/>
      <c r="J448" s="7" t="str">
        <f>IFERROR(__xludf.DUMMYFUNCTION("IF(AND(REGEXMATCH($H448,""50( ?['fF]([oO]{2})?[tT]?)?( ?[eE][rR]{2}[oO][rR])"")=FALSE,$H448&lt;&gt;"""",$I448&lt;&gt;""""),HYPERLINK(""https://www.munzee.com/m/""&amp;$H448&amp;""/""&amp;$I448&amp;""/map/?lat=""&amp;$D448&amp;""&amp;lon=""&amp;$E448&amp;""&amp;type=""&amp;$G448&amp;""&amp;name=""&amp;SUBSTITUTE($A448,""#"&amp;""",""%23""),$H448&amp;""/""&amp;$I448),IF($H448&lt;&gt;"""",IF(REGEXMATCH($H448,""50( ?['fF]([oO]{2})?[tT]?)?( ?[eE][rR]{2}[oO][rR])""),HYPERLINK(""https://www.munzee.com/map/?sandbox=1&amp;lat=""&amp;$D448&amp;""&amp;lon=""&amp;$E448&amp;""&amp;name=""&amp;SUBSTITUTE($A448,""#"",""%23""),""SANDBOX"""&amp;"),HYPERLINK(""https://www.munzee.com/m/""&amp;$H448&amp;""/deploys/0/type/""&amp;IFNA(VLOOKUP($G448,IMPORTRANGE(""https://docs.google.com/spreadsheets/d/1DliIGyDywdzxhd4svtjaewR0p9Y5UBTMNMQ2PcXsqss"",""type data!E2:F""),2,FALSE),$G448)&amp;""/"",$H448)),""""))"),"")</f>
        <v/>
      </c>
      <c r="K448" s="5" t="b">
        <v>0</v>
      </c>
      <c r="L448" s="7"/>
      <c r="M448" s="7"/>
    </row>
    <row r="449">
      <c r="A449" s="3" t="s">
        <v>616</v>
      </c>
      <c r="B449" s="3">
        <v>24.0</v>
      </c>
      <c r="C449" s="3">
        <v>23.0</v>
      </c>
      <c r="D449" s="4">
        <v>49.1872193352313</v>
      </c>
      <c r="E449" s="4">
        <v>-2.0941132305131</v>
      </c>
      <c r="F449" s="3" t="s">
        <v>385</v>
      </c>
      <c r="G449" s="3" t="s">
        <v>386</v>
      </c>
      <c r="H449" s="5"/>
      <c r="I449" s="5"/>
      <c r="J449" s="7" t="str">
        <f>IFERROR(__xludf.DUMMYFUNCTION("IF(AND(REGEXMATCH($H449,""50( ?['fF]([oO]{2})?[tT]?)?( ?[eE][rR]{2}[oO][rR])"")=FALSE,$H449&lt;&gt;"""",$I449&lt;&gt;""""),HYPERLINK(""https://www.munzee.com/m/""&amp;$H449&amp;""/""&amp;$I449&amp;""/map/?lat=""&amp;$D449&amp;""&amp;lon=""&amp;$E449&amp;""&amp;type=""&amp;$G449&amp;""&amp;name=""&amp;SUBSTITUTE($A449,""#"&amp;""",""%23""),$H449&amp;""/""&amp;$I449),IF($H449&lt;&gt;"""",IF(REGEXMATCH($H449,""50( ?['fF]([oO]{2})?[tT]?)?( ?[eE][rR]{2}[oO][rR])""),HYPERLINK(""https://www.munzee.com/map/?sandbox=1&amp;lat=""&amp;$D449&amp;""&amp;lon=""&amp;$E449&amp;""&amp;name=""&amp;SUBSTITUTE($A449,""#"",""%23""),""SANDBOX"""&amp;"),HYPERLINK(""https://www.munzee.com/m/""&amp;$H449&amp;""/deploys/0/type/""&amp;IFNA(VLOOKUP($G449,IMPORTRANGE(""https://docs.google.com/spreadsheets/d/1DliIGyDywdzxhd4svtjaewR0p9Y5UBTMNMQ2PcXsqss"",""type data!E2:F""),2,FALSE),$G449)&amp;""/"",$H449)),""""))"),"")</f>
        <v/>
      </c>
      <c r="K449" s="5" t="b">
        <v>0</v>
      </c>
      <c r="L449" s="7"/>
      <c r="M449" s="7"/>
    </row>
    <row r="450">
      <c r="A450" s="3" t="s">
        <v>617</v>
      </c>
      <c r="B450" s="3">
        <v>24.0</v>
      </c>
      <c r="C450" s="3">
        <v>24.0</v>
      </c>
      <c r="D450" s="4">
        <v>49.1871177023543</v>
      </c>
      <c r="E450" s="4">
        <v>-2.0939577314236</v>
      </c>
      <c r="F450" s="3" t="s">
        <v>385</v>
      </c>
      <c r="G450" s="3" t="s">
        <v>386</v>
      </c>
      <c r="H450" s="5"/>
      <c r="I450" s="5"/>
      <c r="J450" s="7" t="str">
        <f>IFERROR(__xludf.DUMMYFUNCTION("IF(AND(REGEXMATCH($H450,""50( ?['fF]([oO]{2})?[tT]?)?( ?[eE][rR]{2}[oO][rR])"")=FALSE,$H450&lt;&gt;"""",$I450&lt;&gt;""""),HYPERLINK(""https://www.munzee.com/m/""&amp;$H450&amp;""/""&amp;$I450&amp;""/map/?lat=""&amp;$D450&amp;""&amp;lon=""&amp;$E450&amp;""&amp;type=""&amp;$G450&amp;""&amp;name=""&amp;SUBSTITUTE($A450,""#"&amp;""",""%23""),$H450&amp;""/""&amp;$I450),IF($H450&lt;&gt;"""",IF(REGEXMATCH($H450,""50( ?['fF]([oO]{2})?[tT]?)?( ?[eE][rR]{2}[oO][rR])""),HYPERLINK(""https://www.munzee.com/map/?sandbox=1&amp;lat=""&amp;$D450&amp;""&amp;lon=""&amp;$E450&amp;""&amp;name=""&amp;SUBSTITUTE($A450,""#"",""%23""),""SANDBOX"""&amp;"),HYPERLINK(""https://www.munzee.com/m/""&amp;$H450&amp;""/deploys/0/type/""&amp;IFNA(VLOOKUP($G450,IMPORTRANGE(""https://docs.google.com/spreadsheets/d/1DliIGyDywdzxhd4svtjaewR0p9Y5UBTMNMQ2PcXsqss"",""type data!E2:F""),2,FALSE),$G450)&amp;""/"",$H450)),""""))"),"")</f>
        <v/>
      </c>
      <c r="K450" s="5" t="b">
        <v>0</v>
      </c>
      <c r="L450" s="7"/>
      <c r="M450" s="7"/>
    </row>
    <row r="451">
      <c r="A451" s="3" t="s">
        <v>618</v>
      </c>
      <c r="B451" s="3">
        <v>24.0</v>
      </c>
      <c r="C451" s="3">
        <v>25.0</v>
      </c>
      <c r="D451" s="4">
        <v>49.1870160694772</v>
      </c>
      <c r="E451" s="4">
        <v>-2.0938022326535</v>
      </c>
      <c r="F451" s="3" t="s">
        <v>250</v>
      </c>
      <c r="G451" s="3" t="s">
        <v>251</v>
      </c>
      <c r="H451" s="5"/>
      <c r="I451" s="5"/>
      <c r="J451" s="7" t="str">
        <f>IFERROR(__xludf.DUMMYFUNCTION("IF(AND(REGEXMATCH($H451,""50( ?['fF]([oO]{2})?[tT]?)?( ?[eE][rR]{2}[oO][rR])"")=FALSE,$H451&lt;&gt;"""",$I451&lt;&gt;""""),HYPERLINK(""https://www.munzee.com/m/""&amp;$H451&amp;""/""&amp;$I451&amp;""/map/?lat=""&amp;$D451&amp;""&amp;lon=""&amp;$E451&amp;""&amp;type=""&amp;$G451&amp;""&amp;name=""&amp;SUBSTITUTE($A451,""#"&amp;""",""%23""),$H451&amp;""/""&amp;$I451),IF($H451&lt;&gt;"""",IF(REGEXMATCH($H451,""50( ?['fF]([oO]{2})?[tT]?)?( ?[eE][rR]{2}[oO][rR])""),HYPERLINK(""https://www.munzee.com/map/?sandbox=1&amp;lat=""&amp;$D451&amp;""&amp;lon=""&amp;$E451&amp;""&amp;name=""&amp;SUBSTITUTE($A451,""#"",""%23""),""SANDBOX"""&amp;"),HYPERLINK(""https://www.munzee.com/m/""&amp;$H451&amp;""/deploys/0/type/""&amp;IFNA(VLOOKUP($G451,IMPORTRANGE(""https://docs.google.com/spreadsheets/d/1DliIGyDywdzxhd4svtjaewR0p9Y5UBTMNMQ2PcXsqss"",""type data!E2:F""),2,FALSE),$G451)&amp;""/"",$H451)),""""))"),"")</f>
        <v/>
      </c>
      <c r="K451" s="5" t="b">
        <v>0</v>
      </c>
      <c r="L451" s="7"/>
      <c r="M451" s="7"/>
    </row>
    <row r="452">
      <c r="A452" s="3" t="s">
        <v>619</v>
      </c>
      <c r="B452" s="3">
        <v>24.0</v>
      </c>
      <c r="C452" s="3">
        <v>26.0</v>
      </c>
      <c r="D452" s="4">
        <v>49.1869144366002</v>
      </c>
      <c r="E452" s="4">
        <v>-2.0936467342028</v>
      </c>
      <c r="F452" s="3" t="s">
        <v>250</v>
      </c>
      <c r="G452" s="3" t="s">
        <v>251</v>
      </c>
      <c r="H452" s="5"/>
      <c r="I452" s="5"/>
      <c r="J452" s="7" t="str">
        <f>IFERROR(__xludf.DUMMYFUNCTION("IF(AND(REGEXMATCH($H452,""50( ?['fF]([oO]{2})?[tT]?)?( ?[eE][rR]{2}[oO][rR])"")=FALSE,$H452&lt;&gt;"""",$I452&lt;&gt;""""),HYPERLINK(""https://www.munzee.com/m/""&amp;$H452&amp;""/""&amp;$I452&amp;""/map/?lat=""&amp;$D452&amp;""&amp;lon=""&amp;$E452&amp;""&amp;type=""&amp;$G452&amp;""&amp;name=""&amp;SUBSTITUTE($A452,""#"&amp;""",""%23""),$H452&amp;""/""&amp;$I452),IF($H452&lt;&gt;"""",IF(REGEXMATCH($H452,""50( ?['fF]([oO]{2})?[tT]?)?( ?[eE][rR]{2}[oO][rR])""),HYPERLINK(""https://www.munzee.com/map/?sandbox=1&amp;lat=""&amp;$D452&amp;""&amp;lon=""&amp;$E452&amp;""&amp;name=""&amp;SUBSTITUTE($A452,""#"",""%23""),""SANDBOX"""&amp;"),HYPERLINK(""https://www.munzee.com/m/""&amp;$H452&amp;""/deploys/0/type/""&amp;IFNA(VLOOKUP($G452,IMPORTRANGE(""https://docs.google.com/spreadsheets/d/1DliIGyDywdzxhd4svtjaewR0p9Y5UBTMNMQ2PcXsqss"",""type data!E2:F""),2,FALSE),$G452)&amp;""/"",$H452)),""""))"),"")</f>
        <v/>
      </c>
      <c r="K452" s="5" t="b">
        <v>0</v>
      </c>
      <c r="L452" s="7"/>
      <c r="M452" s="7"/>
    </row>
    <row r="453">
      <c r="A453" s="3" t="s">
        <v>620</v>
      </c>
      <c r="B453" s="3">
        <v>25.0</v>
      </c>
      <c r="C453" s="3">
        <v>6.0</v>
      </c>
      <c r="D453" s="4">
        <v>49.1888454612638</v>
      </c>
      <c r="E453" s="4">
        <v>-2.0969122805651</v>
      </c>
      <c r="F453" s="3" t="s">
        <v>250</v>
      </c>
      <c r="G453" s="3" t="s">
        <v>251</v>
      </c>
      <c r="H453" s="5" t="s">
        <v>306</v>
      </c>
      <c r="I453" s="5">
        <v>3457.0</v>
      </c>
      <c r="J453" s="6" t="str">
        <f>IFERROR(__xludf.DUMMYFUNCTION("IF(AND(REGEXMATCH($H453,""50( ?['fF]([oO]{2})?[tT]?)?( ?[eE][rR]{2}[oO][rR])"")=FALSE,$H453&lt;&gt;"""",$I453&lt;&gt;""""),HYPERLINK(""https://www.munzee.com/m/""&amp;$H453&amp;""/""&amp;$I453&amp;""/map/?lat=""&amp;$D453&amp;""&amp;lon=""&amp;$E453&amp;""&amp;type=""&amp;$G453&amp;""&amp;name=""&amp;SUBSTITUTE($A453,""#"&amp;""",""%23""),$H453&amp;""/""&amp;$I453),IF($H453&lt;&gt;"""",IF(REGEXMATCH($H453,""50( ?['fF]([oO]{2})?[tT]?)?( ?[eE][rR]{2}[oO][rR])""),HYPERLINK(""https://www.munzee.com/map/?sandbox=1&amp;lat=""&amp;$D453&amp;""&amp;lon=""&amp;$E453&amp;""&amp;name=""&amp;SUBSTITUTE($A453,""#"",""%23""),""SANDBOX"""&amp;"),HYPERLINK(""https://www.munzee.com/m/""&amp;$H453&amp;""/deploys/0/type/""&amp;IFNA(VLOOKUP($G453,IMPORTRANGE(""https://docs.google.com/spreadsheets/d/1DliIGyDywdzxhd4svtjaewR0p9Y5UBTMNMQ2PcXsqss"",""type data!E2:F""),2,FALSE),$G453)&amp;""/"",$H453)),""""))"),"Bisquick2/3457")</f>
        <v>Bisquick2/3457</v>
      </c>
      <c r="K453" s="5" t="b">
        <v>1</v>
      </c>
      <c r="L453" s="5"/>
      <c r="M453" s="7"/>
    </row>
    <row r="454">
      <c r="A454" s="3" t="s">
        <v>621</v>
      </c>
      <c r="B454" s="3">
        <v>25.0</v>
      </c>
      <c r="C454" s="3">
        <v>7.0</v>
      </c>
      <c r="D454" s="4">
        <v>49.1887438283868</v>
      </c>
      <c r="E454" s="4">
        <v>-2.0967567763648</v>
      </c>
      <c r="F454" s="3" t="s">
        <v>250</v>
      </c>
      <c r="G454" s="3" t="s">
        <v>251</v>
      </c>
      <c r="H454" s="5"/>
      <c r="I454" s="5"/>
      <c r="J454" s="7" t="str">
        <f>IFERROR(__xludf.DUMMYFUNCTION("IF(AND(REGEXMATCH($H454,""50( ?['fF]([oO]{2})?[tT]?)?( ?[eE][rR]{2}[oO][rR])"")=FALSE,$H454&lt;&gt;"""",$I454&lt;&gt;""""),HYPERLINK(""https://www.munzee.com/m/""&amp;$H454&amp;""/""&amp;$I454&amp;""/map/?lat=""&amp;$D454&amp;""&amp;lon=""&amp;$E454&amp;""&amp;type=""&amp;$G454&amp;""&amp;name=""&amp;SUBSTITUTE($A454,""#"&amp;""",""%23""),$H454&amp;""/""&amp;$I454),IF($H454&lt;&gt;"""",IF(REGEXMATCH($H454,""50( ?['fF]([oO]{2})?[tT]?)?( ?[eE][rR]{2}[oO][rR])""),HYPERLINK(""https://www.munzee.com/map/?sandbox=1&amp;lat=""&amp;$D454&amp;""&amp;lon=""&amp;$E454&amp;""&amp;name=""&amp;SUBSTITUTE($A454,""#"",""%23""),""SANDBOX"""&amp;"),HYPERLINK(""https://www.munzee.com/m/""&amp;$H454&amp;""/deploys/0/type/""&amp;IFNA(VLOOKUP($G454,IMPORTRANGE(""https://docs.google.com/spreadsheets/d/1DliIGyDywdzxhd4svtjaewR0p9Y5UBTMNMQ2PcXsqss"",""type data!E2:F""),2,FALSE),$G454)&amp;""/"",$H454)),""""))"),"")</f>
        <v/>
      </c>
      <c r="K454" s="5" t="b">
        <v>0</v>
      </c>
      <c r="L454" s="7"/>
      <c r="M454" s="7"/>
    </row>
    <row r="455">
      <c r="A455" s="3" t="s">
        <v>622</v>
      </c>
      <c r="B455" s="3">
        <v>25.0</v>
      </c>
      <c r="C455" s="3">
        <v>8.0</v>
      </c>
      <c r="D455" s="4">
        <v>49.1886421955097</v>
      </c>
      <c r="E455" s="4">
        <v>-2.096601272484</v>
      </c>
      <c r="F455" s="3" t="s">
        <v>375</v>
      </c>
      <c r="G455" s="3" t="s">
        <v>376</v>
      </c>
      <c r="H455" s="5"/>
      <c r="I455" s="5"/>
      <c r="J455" s="7" t="str">
        <f>IFERROR(__xludf.DUMMYFUNCTION("IF(AND(REGEXMATCH($H455,""50( ?['fF]([oO]{2})?[tT]?)?( ?[eE][rR]{2}[oO][rR])"")=FALSE,$H455&lt;&gt;"""",$I455&lt;&gt;""""),HYPERLINK(""https://www.munzee.com/m/""&amp;$H455&amp;""/""&amp;$I455&amp;""/map/?lat=""&amp;$D455&amp;""&amp;lon=""&amp;$E455&amp;""&amp;type=""&amp;$G455&amp;""&amp;name=""&amp;SUBSTITUTE($A455,""#"&amp;""",""%23""),$H455&amp;""/""&amp;$I455),IF($H455&lt;&gt;"""",IF(REGEXMATCH($H455,""50( ?['fF]([oO]{2})?[tT]?)?( ?[eE][rR]{2}[oO][rR])""),HYPERLINK(""https://www.munzee.com/map/?sandbox=1&amp;lat=""&amp;$D455&amp;""&amp;lon=""&amp;$E455&amp;""&amp;name=""&amp;SUBSTITUTE($A455,""#"",""%23""),""SANDBOX"""&amp;"),HYPERLINK(""https://www.munzee.com/m/""&amp;$H455&amp;""/deploys/0/type/""&amp;IFNA(VLOOKUP($G455,IMPORTRANGE(""https://docs.google.com/spreadsheets/d/1DliIGyDywdzxhd4svtjaewR0p9Y5UBTMNMQ2PcXsqss"",""type data!E2:F""),2,FALSE),$G455)&amp;""/"",$H455)),""""))"),"")</f>
        <v/>
      </c>
      <c r="K455" s="5" t="b">
        <v>0</v>
      </c>
      <c r="L455" s="7"/>
      <c r="M455" s="7"/>
    </row>
    <row r="456">
      <c r="A456" s="3" t="s">
        <v>623</v>
      </c>
      <c r="B456" s="3">
        <v>25.0</v>
      </c>
      <c r="C456" s="3">
        <v>9.0</v>
      </c>
      <c r="D456" s="4">
        <v>49.1885405626327</v>
      </c>
      <c r="E456" s="4">
        <v>-2.0964457689226</v>
      </c>
      <c r="F456" s="3" t="s">
        <v>385</v>
      </c>
      <c r="G456" s="3" t="s">
        <v>386</v>
      </c>
      <c r="H456" s="5"/>
      <c r="I456" s="5"/>
      <c r="J456" s="7" t="str">
        <f>IFERROR(__xludf.DUMMYFUNCTION("IF(AND(REGEXMATCH($H456,""50( ?['fF]([oO]{2})?[tT]?)?( ?[eE][rR]{2}[oO][rR])"")=FALSE,$H456&lt;&gt;"""",$I456&lt;&gt;""""),HYPERLINK(""https://www.munzee.com/m/""&amp;$H456&amp;""/""&amp;$I456&amp;""/map/?lat=""&amp;$D456&amp;""&amp;lon=""&amp;$E456&amp;""&amp;type=""&amp;$G456&amp;""&amp;name=""&amp;SUBSTITUTE($A456,""#"&amp;""",""%23""),$H456&amp;""/""&amp;$I456),IF($H456&lt;&gt;"""",IF(REGEXMATCH($H456,""50( ?['fF]([oO]{2})?[tT]?)?( ?[eE][rR]{2}[oO][rR])""),HYPERLINK(""https://www.munzee.com/map/?sandbox=1&amp;lat=""&amp;$D456&amp;""&amp;lon=""&amp;$E456&amp;""&amp;name=""&amp;SUBSTITUTE($A456,""#"",""%23""),""SANDBOX"""&amp;"),HYPERLINK(""https://www.munzee.com/m/""&amp;$H456&amp;""/deploys/0/type/""&amp;IFNA(VLOOKUP($G456,IMPORTRANGE(""https://docs.google.com/spreadsheets/d/1DliIGyDywdzxhd4svtjaewR0p9Y5UBTMNMQ2PcXsqss"",""type data!E2:F""),2,FALSE),$G456)&amp;""/"",$H456)),""""))"),"")</f>
        <v/>
      </c>
      <c r="K456" s="5" t="b">
        <v>0</v>
      </c>
      <c r="L456" s="7"/>
      <c r="M456" s="7"/>
    </row>
    <row r="457">
      <c r="A457" s="3" t="s">
        <v>624</v>
      </c>
      <c r="B457" s="3">
        <v>25.0</v>
      </c>
      <c r="C457" s="3">
        <v>10.0</v>
      </c>
      <c r="D457" s="4">
        <v>49.1884389297557</v>
      </c>
      <c r="E457" s="4">
        <v>-2.0962902656806</v>
      </c>
      <c r="F457" s="3" t="s">
        <v>385</v>
      </c>
      <c r="G457" s="3" t="s">
        <v>386</v>
      </c>
      <c r="H457" s="5"/>
      <c r="I457" s="5"/>
      <c r="J457" s="7" t="str">
        <f>IFERROR(__xludf.DUMMYFUNCTION("IF(AND(REGEXMATCH($H457,""50( ?['fF]([oO]{2})?[tT]?)?( ?[eE][rR]{2}[oO][rR])"")=FALSE,$H457&lt;&gt;"""",$I457&lt;&gt;""""),HYPERLINK(""https://www.munzee.com/m/""&amp;$H457&amp;""/""&amp;$I457&amp;""/map/?lat=""&amp;$D457&amp;""&amp;lon=""&amp;$E457&amp;""&amp;type=""&amp;$G457&amp;""&amp;name=""&amp;SUBSTITUTE($A457,""#"&amp;""",""%23""),$H457&amp;""/""&amp;$I457),IF($H457&lt;&gt;"""",IF(REGEXMATCH($H457,""50( ?['fF]([oO]{2})?[tT]?)?( ?[eE][rR]{2}[oO][rR])""),HYPERLINK(""https://www.munzee.com/map/?sandbox=1&amp;lat=""&amp;$D457&amp;""&amp;lon=""&amp;$E457&amp;""&amp;name=""&amp;SUBSTITUTE($A457,""#"",""%23""),""SANDBOX"""&amp;"),HYPERLINK(""https://www.munzee.com/m/""&amp;$H457&amp;""/deploys/0/type/""&amp;IFNA(VLOOKUP($G457,IMPORTRANGE(""https://docs.google.com/spreadsheets/d/1DliIGyDywdzxhd4svtjaewR0p9Y5UBTMNMQ2PcXsqss"",""type data!E2:F""),2,FALSE),$G457)&amp;""/"",$H457)),""""))"),"")</f>
        <v/>
      </c>
      <c r="K457" s="5" t="b">
        <v>0</v>
      </c>
      <c r="L457" s="7"/>
      <c r="M457" s="7"/>
    </row>
    <row r="458">
      <c r="A458" s="3" t="s">
        <v>625</v>
      </c>
      <c r="B458" s="3">
        <v>25.0</v>
      </c>
      <c r="C458" s="3">
        <v>11.0</v>
      </c>
      <c r="D458" s="4">
        <v>49.1883372968786</v>
      </c>
      <c r="E458" s="4">
        <v>-2.0961347627581</v>
      </c>
      <c r="F458" s="3" t="s">
        <v>385</v>
      </c>
      <c r="G458" s="3" t="s">
        <v>386</v>
      </c>
      <c r="H458" s="5"/>
      <c r="I458" s="5"/>
      <c r="J458" s="7" t="str">
        <f>IFERROR(__xludf.DUMMYFUNCTION("IF(AND(REGEXMATCH($H458,""50( ?['fF]([oO]{2})?[tT]?)?( ?[eE][rR]{2}[oO][rR])"")=FALSE,$H458&lt;&gt;"""",$I458&lt;&gt;""""),HYPERLINK(""https://www.munzee.com/m/""&amp;$H458&amp;""/""&amp;$I458&amp;""/map/?lat=""&amp;$D458&amp;""&amp;lon=""&amp;$E458&amp;""&amp;type=""&amp;$G458&amp;""&amp;name=""&amp;SUBSTITUTE($A458,""#"&amp;""",""%23""),$H458&amp;""/""&amp;$I458),IF($H458&lt;&gt;"""",IF(REGEXMATCH($H458,""50( ?['fF]([oO]{2})?[tT]?)?( ?[eE][rR]{2}[oO][rR])""),HYPERLINK(""https://www.munzee.com/map/?sandbox=1&amp;lat=""&amp;$D458&amp;""&amp;lon=""&amp;$E458&amp;""&amp;name=""&amp;SUBSTITUTE($A458,""#"",""%23""),""SANDBOX"""&amp;"),HYPERLINK(""https://www.munzee.com/m/""&amp;$H458&amp;""/deploys/0/type/""&amp;IFNA(VLOOKUP($G458,IMPORTRANGE(""https://docs.google.com/spreadsheets/d/1DliIGyDywdzxhd4svtjaewR0p9Y5UBTMNMQ2PcXsqss"",""type data!E2:F""),2,FALSE),$G458)&amp;""/"",$H458)),""""))"),"")</f>
        <v/>
      </c>
      <c r="K458" s="5" t="b">
        <v>0</v>
      </c>
      <c r="L458" s="7"/>
      <c r="M458" s="7"/>
    </row>
    <row r="459">
      <c r="A459" s="3" t="s">
        <v>626</v>
      </c>
      <c r="B459" s="3">
        <v>25.0</v>
      </c>
      <c r="C459" s="3">
        <v>12.0</v>
      </c>
      <c r="D459" s="4">
        <v>49.1882356640016</v>
      </c>
      <c r="E459" s="4">
        <v>-2.095979260155</v>
      </c>
      <c r="F459" s="3" t="s">
        <v>296</v>
      </c>
      <c r="G459" s="3" t="s">
        <v>297</v>
      </c>
      <c r="H459" s="5"/>
      <c r="I459" s="5"/>
      <c r="J459" s="7" t="str">
        <f>IFERROR(__xludf.DUMMYFUNCTION("IF(AND(REGEXMATCH($H459,""50( ?['fF]([oO]{2})?[tT]?)?( ?[eE][rR]{2}[oO][rR])"")=FALSE,$H459&lt;&gt;"""",$I459&lt;&gt;""""),HYPERLINK(""https://www.munzee.com/m/""&amp;$H459&amp;""/""&amp;$I459&amp;""/map/?lat=""&amp;$D459&amp;""&amp;lon=""&amp;$E459&amp;""&amp;type=""&amp;$G459&amp;""&amp;name=""&amp;SUBSTITUTE($A459,""#"&amp;""",""%23""),$H459&amp;""/""&amp;$I459),IF($H459&lt;&gt;"""",IF(REGEXMATCH($H459,""50( ?['fF]([oO]{2})?[tT]?)?( ?[eE][rR]{2}[oO][rR])""),HYPERLINK(""https://www.munzee.com/map/?sandbox=1&amp;lat=""&amp;$D459&amp;""&amp;lon=""&amp;$E459&amp;""&amp;name=""&amp;SUBSTITUTE($A459,""#"",""%23""),""SANDBOX"""&amp;"),HYPERLINK(""https://www.munzee.com/m/""&amp;$H459&amp;""/deploys/0/type/""&amp;IFNA(VLOOKUP($G459,IMPORTRANGE(""https://docs.google.com/spreadsheets/d/1DliIGyDywdzxhd4svtjaewR0p9Y5UBTMNMQ2PcXsqss"",""type data!E2:F""),2,FALSE),$G459)&amp;""/"",$H459)),""""))"),"")</f>
        <v/>
      </c>
      <c r="K459" s="5" t="b">
        <v>0</v>
      </c>
      <c r="L459" s="7"/>
      <c r="M459" s="7"/>
    </row>
    <row r="460">
      <c r="A460" s="3" t="s">
        <v>627</v>
      </c>
      <c r="B460" s="3">
        <v>25.0</v>
      </c>
      <c r="C460" s="3">
        <v>13.0</v>
      </c>
      <c r="D460" s="4">
        <v>49.1881340311246</v>
      </c>
      <c r="E460" s="4">
        <v>-2.0958237578714</v>
      </c>
      <c r="F460" s="3" t="s">
        <v>296</v>
      </c>
      <c r="G460" s="3" t="s">
        <v>297</v>
      </c>
      <c r="H460" s="5" t="s">
        <v>267</v>
      </c>
      <c r="I460" s="5">
        <v>478.0</v>
      </c>
      <c r="J460" s="6" t="str">
        <f>IFERROR(__xludf.DUMMYFUNCTION("IF(AND(REGEXMATCH($H460,""50( ?['fF]([oO]{2})?[tT]?)?( ?[eE][rR]{2}[oO][rR])"")=FALSE,$H460&lt;&gt;"""",$I460&lt;&gt;""""),HYPERLINK(""https://www.munzee.com/m/""&amp;$H460&amp;""/""&amp;$I460&amp;""/map/?lat=""&amp;$D460&amp;""&amp;lon=""&amp;$E460&amp;""&amp;type=""&amp;$G460&amp;""&amp;name=""&amp;SUBSTITUTE($A460,""#"&amp;""",""%23""),$H460&amp;""/""&amp;$I460),IF($H460&lt;&gt;"""",IF(REGEXMATCH($H460,""50( ?['fF]([oO]{2})?[tT]?)?( ?[eE][rR]{2}[oO][rR])""),HYPERLINK(""https://www.munzee.com/map/?sandbox=1&amp;lat=""&amp;$D460&amp;""&amp;lon=""&amp;$E460&amp;""&amp;name=""&amp;SUBSTITUTE($A460,""#"",""%23""),""SANDBOX"""&amp;"),HYPERLINK(""https://www.munzee.com/m/""&amp;$H460&amp;""/deploys/0/type/""&amp;IFNA(VLOOKUP($G460,IMPORTRANGE(""https://docs.google.com/spreadsheets/d/1DliIGyDywdzxhd4svtjaewR0p9Y5UBTMNMQ2PcXsqss"",""type data!E2:F""),2,FALSE),$G460)&amp;""/"",$H460)),""""))"),"miaiow/478")</f>
        <v>miaiow/478</v>
      </c>
      <c r="K460" s="5" t="b">
        <v>1</v>
      </c>
      <c r="L460" s="7"/>
      <c r="M460" s="7"/>
    </row>
    <row r="461">
      <c r="A461" s="3" t="s">
        <v>628</v>
      </c>
      <c r="B461" s="3">
        <v>25.0</v>
      </c>
      <c r="C461" s="3">
        <v>14.0</v>
      </c>
      <c r="D461" s="4">
        <v>49.1880323982475</v>
      </c>
      <c r="E461" s="4">
        <v>-2.0956682559071</v>
      </c>
      <c r="F461" s="3" t="s">
        <v>453</v>
      </c>
      <c r="G461" s="3" t="s">
        <v>454</v>
      </c>
      <c r="H461" s="5"/>
      <c r="I461" s="5"/>
      <c r="J461" s="7" t="str">
        <f>IFERROR(__xludf.DUMMYFUNCTION("IF(AND(REGEXMATCH($H461,""50( ?['fF]([oO]{2})?[tT]?)?( ?[eE][rR]{2}[oO][rR])"")=FALSE,$H461&lt;&gt;"""",$I461&lt;&gt;""""),HYPERLINK(""https://www.munzee.com/m/""&amp;$H461&amp;""/""&amp;$I461&amp;""/map/?lat=""&amp;$D461&amp;""&amp;lon=""&amp;$E461&amp;""&amp;type=""&amp;$G461&amp;""&amp;name=""&amp;SUBSTITUTE($A461,""#"&amp;""",""%23""),$H461&amp;""/""&amp;$I461),IF($H461&lt;&gt;"""",IF(REGEXMATCH($H461,""50( ?['fF]([oO]{2})?[tT]?)?( ?[eE][rR]{2}[oO][rR])""),HYPERLINK(""https://www.munzee.com/map/?sandbox=1&amp;lat=""&amp;$D461&amp;""&amp;lon=""&amp;$E461&amp;""&amp;name=""&amp;SUBSTITUTE($A461,""#"",""%23""),""SANDBOX"""&amp;"),HYPERLINK(""https://www.munzee.com/m/""&amp;$H461&amp;""/deploys/0/type/""&amp;IFNA(VLOOKUP($G461,IMPORTRANGE(""https://docs.google.com/spreadsheets/d/1DliIGyDywdzxhd4svtjaewR0p9Y5UBTMNMQ2PcXsqss"",""type data!E2:F""),2,FALSE),$G461)&amp;""/"",$H461)),""""))"),"")</f>
        <v/>
      </c>
      <c r="K461" s="5" t="b">
        <v>0</v>
      </c>
      <c r="L461" s="7"/>
      <c r="M461" s="7"/>
    </row>
    <row r="462">
      <c r="A462" s="3" t="s">
        <v>629</v>
      </c>
      <c r="B462" s="3">
        <v>25.0</v>
      </c>
      <c r="C462" s="3">
        <v>15.0</v>
      </c>
      <c r="D462" s="4">
        <v>49.1879307653705</v>
      </c>
      <c r="E462" s="4">
        <v>-2.0955127542622</v>
      </c>
      <c r="F462" s="3" t="s">
        <v>484</v>
      </c>
      <c r="G462" s="3" t="s">
        <v>485</v>
      </c>
      <c r="H462" s="5"/>
      <c r="I462" s="5"/>
      <c r="J462" s="7" t="str">
        <f>IFERROR(__xludf.DUMMYFUNCTION("IF(AND(REGEXMATCH($H462,""50( ?['fF]([oO]{2})?[tT]?)?( ?[eE][rR]{2}[oO][rR])"")=FALSE,$H462&lt;&gt;"""",$I462&lt;&gt;""""),HYPERLINK(""https://www.munzee.com/m/""&amp;$H462&amp;""/""&amp;$I462&amp;""/map/?lat=""&amp;$D462&amp;""&amp;lon=""&amp;$E462&amp;""&amp;type=""&amp;$G462&amp;""&amp;name=""&amp;SUBSTITUTE($A462,""#"&amp;""",""%23""),$H462&amp;""/""&amp;$I462),IF($H462&lt;&gt;"""",IF(REGEXMATCH($H462,""50( ?['fF]([oO]{2})?[tT]?)?( ?[eE][rR]{2}[oO][rR])""),HYPERLINK(""https://www.munzee.com/map/?sandbox=1&amp;lat=""&amp;$D462&amp;""&amp;lon=""&amp;$E462&amp;""&amp;name=""&amp;SUBSTITUTE($A462,""#"",""%23""),""SANDBOX"""&amp;"),HYPERLINK(""https://www.munzee.com/m/""&amp;$H462&amp;""/deploys/0/type/""&amp;IFNA(VLOOKUP($G462,IMPORTRANGE(""https://docs.google.com/spreadsheets/d/1DliIGyDywdzxhd4svtjaewR0p9Y5UBTMNMQ2PcXsqss"",""type data!E2:F""),2,FALSE),$G462)&amp;""/"",$H462)),""""))"),"")</f>
        <v/>
      </c>
      <c r="K462" s="5" t="b">
        <v>0</v>
      </c>
      <c r="L462" s="7"/>
      <c r="M462" s="7"/>
    </row>
    <row r="463">
      <c r="A463" s="3" t="s">
        <v>630</v>
      </c>
      <c r="B463" s="3">
        <v>25.0</v>
      </c>
      <c r="C463" s="3">
        <v>16.0</v>
      </c>
      <c r="D463" s="4">
        <v>49.1878291324935</v>
      </c>
      <c r="E463" s="4">
        <v>-2.0953572529368</v>
      </c>
      <c r="F463" s="3" t="s">
        <v>339</v>
      </c>
      <c r="G463" s="3" t="s">
        <v>340</v>
      </c>
      <c r="H463" s="5"/>
      <c r="I463" s="5"/>
      <c r="J463" s="7" t="str">
        <f>IFERROR(__xludf.DUMMYFUNCTION("IF(AND(REGEXMATCH($H463,""50( ?['fF]([oO]{2})?[tT]?)?( ?[eE][rR]{2}[oO][rR])"")=FALSE,$H463&lt;&gt;"""",$I463&lt;&gt;""""),HYPERLINK(""https://www.munzee.com/m/""&amp;$H463&amp;""/""&amp;$I463&amp;""/map/?lat=""&amp;$D463&amp;""&amp;lon=""&amp;$E463&amp;""&amp;type=""&amp;$G463&amp;""&amp;name=""&amp;SUBSTITUTE($A463,""#"&amp;""",""%23""),$H463&amp;""/""&amp;$I463),IF($H463&lt;&gt;"""",IF(REGEXMATCH($H463,""50( ?['fF]([oO]{2})?[tT]?)?( ?[eE][rR]{2}[oO][rR])""),HYPERLINK(""https://www.munzee.com/map/?sandbox=1&amp;lat=""&amp;$D463&amp;""&amp;lon=""&amp;$E463&amp;""&amp;name=""&amp;SUBSTITUTE($A463,""#"",""%23""),""SANDBOX"""&amp;"),HYPERLINK(""https://www.munzee.com/m/""&amp;$H463&amp;""/deploys/0/type/""&amp;IFNA(VLOOKUP($G463,IMPORTRANGE(""https://docs.google.com/spreadsheets/d/1DliIGyDywdzxhd4svtjaewR0p9Y5UBTMNMQ2PcXsqss"",""type data!E2:F""),2,FALSE),$G463)&amp;""/"",$H463)),""""))"),"")</f>
        <v/>
      </c>
      <c r="K463" s="5" t="b">
        <v>0</v>
      </c>
      <c r="L463" s="7"/>
      <c r="M463" s="7"/>
    </row>
    <row r="464">
      <c r="A464" s="3" t="s">
        <v>631</v>
      </c>
      <c r="B464" s="3">
        <v>25.0</v>
      </c>
      <c r="C464" s="3">
        <v>17.0</v>
      </c>
      <c r="D464" s="4">
        <v>49.1877274996164</v>
      </c>
      <c r="E464" s="4">
        <v>-2.0952017519307</v>
      </c>
      <c r="F464" s="3" t="s">
        <v>296</v>
      </c>
      <c r="G464" s="3" t="s">
        <v>297</v>
      </c>
      <c r="H464" s="5"/>
      <c r="I464" s="5"/>
      <c r="J464" s="7" t="str">
        <f>IFERROR(__xludf.DUMMYFUNCTION("IF(AND(REGEXMATCH($H464,""50( ?['fF]([oO]{2})?[tT]?)?( ?[eE][rR]{2}[oO][rR])"")=FALSE,$H464&lt;&gt;"""",$I464&lt;&gt;""""),HYPERLINK(""https://www.munzee.com/m/""&amp;$H464&amp;""/""&amp;$I464&amp;""/map/?lat=""&amp;$D464&amp;""&amp;lon=""&amp;$E464&amp;""&amp;type=""&amp;$G464&amp;""&amp;name=""&amp;SUBSTITUTE($A464,""#"&amp;""",""%23""),$H464&amp;""/""&amp;$I464),IF($H464&lt;&gt;"""",IF(REGEXMATCH($H464,""50( ?['fF]([oO]{2})?[tT]?)?( ?[eE][rR]{2}[oO][rR])""),HYPERLINK(""https://www.munzee.com/map/?sandbox=1&amp;lat=""&amp;$D464&amp;""&amp;lon=""&amp;$E464&amp;""&amp;name=""&amp;SUBSTITUTE($A464,""#"",""%23""),""SANDBOX"""&amp;"),HYPERLINK(""https://www.munzee.com/m/""&amp;$H464&amp;""/deploys/0/type/""&amp;IFNA(VLOOKUP($G464,IMPORTRANGE(""https://docs.google.com/spreadsheets/d/1DliIGyDywdzxhd4svtjaewR0p9Y5UBTMNMQ2PcXsqss"",""type data!E2:F""),2,FALSE),$G464)&amp;""/"",$H464)),""""))"),"")</f>
        <v/>
      </c>
      <c r="K464" s="5" t="b">
        <v>0</v>
      </c>
      <c r="L464" s="7"/>
      <c r="M464" s="7"/>
    </row>
    <row r="465">
      <c r="A465" s="3" t="s">
        <v>632</v>
      </c>
      <c r="B465" s="3">
        <v>25.0</v>
      </c>
      <c r="C465" s="3">
        <v>18.0</v>
      </c>
      <c r="D465" s="4">
        <v>49.1876258667394</v>
      </c>
      <c r="E465" s="4">
        <v>-2.0950462512442</v>
      </c>
      <c r="F465" s="3" t="s">
        <v>453</v>
      </c>
      <c r="G465" s="3" t="s">
        <v>454</v>
      </c>
      <c r="H465" s="5"/>
      <c r="I465" s="5"/>
      <c r="J465" s="7" t="str">
        <f>IFERROR(__xludf.DUMMYFUNCTION("IF(AND(REGEXMATCH($H465,""50( ?['fF]([oO]{2})?[tT]?)?( ?[eE][rR]{2}[oO][rR])"")=FALSE,$H465&lt;&gt;"""",$I465&lt;&gt;""""),HYPERLINK(""https://www.munzee.com/m/""&amp;$H465&amp;""/""&amp;$I465&amp;""/map/?lat=""&amp;$D465&amp;""&amp;lon=""&amp;$E465&amp;""&amp;type=""&amp;$G465&amp;""&amp;name=""&amp;SUBSTITUTE($A465,""#"&amp;""",""%23""),$H465&amp;""/""&amp;$I465),IF($H465&lt;&gt;"""",IF(REGEXMATCH($H465,""50( ?['fF]([oO]{2})?[tT]?)?( ?[eE][rR]{2}[oO][rR])""),HYPERLINK(""https://www.munzee.com/map/?sandbox=1&amp;lat=""&amp;$D465&amp;""&amp;lon=""&amp;$E465&amp;""&amp;name=""&amp;SUBSTITUTE($A465,""#"",""%23""),""SANDBOX"""&amp;"),HYPERLINK(""https://www.munzee.com/m/""&amp;$H465&amp;""/deploys/0/type/""&amp;IFNA(VLOOKUP($G465,IMPORTRANGE(""https://docs.google.com/spreadsheets/d/1DliIGyDywdzxhd4svtjaewR0p9Y5UBTMNMQ2PcXsqss"",""type data!E2:F""),2,FALSE),$G465)&amp;""/"",$H465)),""""))"),"")</f>
        <v/>
      </c>
      <c r="K465" s="5" t="b">
        <v>0</v>
      </c>
      <c r="L465" s="7"/>
      <c r="M465" s="7"/>
    </row>
    <row r="466">
      <c r="A466" s="3" t="s">
        <v>633</v>
      </c>
      <c r="B466" s="3">
        <v>25.0</v>
      </c>
      <c r="C466" s="3">
        <v>19.0</v>
      </c>
      <c r="D466" s="4">
        <v>49.1875242338624</v>
      </c>
      <c r="E466" s="4">
        <v>-2.094890750877</v>
      </c>
      <c r="F466" s="3" t="s">
        <v>450</v>
      </c>
      <c r="G466" s="3" t="s">
        <v>451</v>
      </c>
      <c r="H466" s="5"/>
      <c r="I466" s="5"/>
      <c r="J466" s="7" t="str">
        <f>IFERROR(__xludf.DUMMYFUNCTION("IF(AND(REGEXMATCH($H466,""50( ?['fF]([oO]{2})?[tT]?)?( ?[eE][rR]{2}[oO][rR])"")=FALSE,$H466&lt;&gt;"""",$I466&lt;&gt;""""),HYPERLINK(""https://www.munzee.com/m/""&amp;$H466&amp;""/""&amp;$I466&amp;""/map/?lat=""&amp;$D466&amp;""&amp;lon=""&amp;$E466&amp;""&amp;type=""&amp;$G466&amp;""&amp;name=""&amp;SUBSTITUTE($A466,""#"&amp;""",""%23""),$H466&amp;""/""&amp;$I466),IF($H466&lt;&gt;"""",IF(REGEXMATCH($H466,""50( ?['fF]([oO]{2})?[tT]?)?( ?[eE][rR]{2}[oO][rR])""),HYPERLINK(""https://www.munzee.com/map/?sandbox=1&amp;lat=""&amp;$D466&amp;""&amp;lon=""&amp;$E466&amp;""&amp;name=""&amp;SUBSTITUTE($A466,""#"",""%23""),""SANDBOX"""&amp;"),HYPERLINK(""https://www.munzee.com/m/""&amp;$H466&amp;""/deploys/0/type/""&amp;IFNA(VLOOKUP($G466,IMPORTRANGE(""https://docs.google.com/spreadsheets/d/1DliIGyDywdzxhd4svtjaewR0p9Y5UBTMNMQ2PcXsqss"",""type data!E2:F""),2,FALSE),$G466)&amp;""/"",$H466)),""""))"),"")</f>
        <v/>
      </c>
      <c r="K466" s="5" t="b">
        <v>0</v>
      </c>
      <c r="L466" s="7"/>
      <c r="M466" s="7"/>
    </row>
    <row r="467">
      <c r="A467" s="3" t="s">
        <v>634</v>
      </c>
      <c r="B467" s="3">
        <v>25.0</v>
      </c>
      <c r="C467" s="3">
        <v>20.0</v>
      </c>
      <c r="D467" s="4">
        <v>49.1874226009854</v>
      </c>
      <c r="E467" s="4">
        <v>-2.0947352508292</v>
      </c>
      <c r="F467" s="3" t="s">
        <v>385</v>
      </c>
      <c r="G467" s="3" t="s">
        <v>386</v>
      </c>
      <c r="H467" s="5"/>
      <c r="I467" s="5"/>
      <c r="J467" s="7" t="str">
        <f>IFERROR(__xludf.DUMMYFUNCTION("IF(AND(REGEXMATCH($H467,""50( ?['fF]([oO]{2})?[tT]?)?( ?[eE][rR]{2}[oO][rR])"")=FALSE,$H467&lt;&gt;"""",$I467&lt;&gt;""""),HYPERLINK(""https://www.munzee.com/m/""&amp;$H467&amp;""/""&amp;$I467&amp;""/map/?lat=""&amp;$D467&amp;""&amp;lon=""&amp;$E467&amp;""&amp;type=""&amp;$G467&amp;""&amp;name=""&amp;SUBSTITUTE($A467,""#"&amp;""",""%23""),$H467&amp;""/""&amp;$I467),IF($H467&lt;&gt;"""",IF(REGEXMATCH($H467,""50( ?['fF]([oO]{2})?[tT]?)?( ?[eE][rR]{2}[oO][rR])""),HYPERLINK(""https://www.munzee.com/map/?sandbox=1&amp;lat=""&amp;$D467&amp;""&amp;lon=""&amp;$E467&amp;""&amp;name=""&amp;SUBSTITUTE($A467,""#"",""%23""),""SANDBOX"""&amp;"),HYPERLINK(""https://www.munzee.com/m/""&amp;$H467&amp;""/deploys/0/type/""&amp;IFNA(VLOOKUP($G467,IMPORTRANGE(""https://docs.google.com/spreadsheets/d/1DliIGyDywdzxhd4svtjaewR0p9Y5UBTMNMQ2PcXsqss"",""type data!E2:F""),2,FALSE),$G467)&amp;""/"",$H467)),""""))"),"")</f>
        <v/>
      </c>
      <c r="K467" s="5" t="b">
        <v>0</v>
      </c>
      <c r="L467" s="7"/>
      <c r="M467" s="7"/>
    </row>
    <row r="468">
      <c r="A468" s="3" t="s">
        <v>635</v>
      </c>
      <c r="B468" s="3">
        <v>25.0</v>
      </c>
      <c r="C468" s="3">
        <v>21.0</v>
      </c>
      <c r="D468" s="4">
        <v>49.1873209681083</v>
      </c>
      <c r="E468" s="4">
        <v>-2.0945797511008</v>
      </c>
      <c r="F468" s="3" t="s">
        <v>385</v>
      </c>
      <c r="G468" s="3" t="s">
        <v>386</v>
      </c>
      <c r="H468" s="5"/>
      <c r="I468" s="5"/>
      <c r="J468" s="7" t="str">
        <f>IFERROR(__xludf.DUMMYFUNCTION("IF(AND(REGEXMATCH($H468,""50( ?['fF]([oO]{2})?[tT]?)?( ?[eE][rR]{2}[oO][rR])"")=FALSE,$H468&lt;&gt;"""",$I468&lt;&gt;""""),HYPERLINK(""https://www.munzee.com/m/""&amp;$H468&amp;""/""&amp;$I468&amp;""/map/?lat=""&amp;$D468&amp;""&amp;lon=""&amp;$E468&amp;""&amp;type=""&amp;$G468&amp;""&amp;name=""&amp;SUBSTITUTE($A468,""#"&amp;""",""%23""),$H468&amp;""/""&amp;$I468),IF($H468&lt;&gt;"""",IF(REGEXMATCH($H468,""50( ?['fF]([oO]{2})?[tT]?)?( ?[eE][rR]{2}[oO][rR])""),HYPERLINK(""https://www.munzee.com/map/?sandbox=1&amp;lat=""&amp;$D468&amp;""&amp;lon=""&amp;$E468&amp;""&amp;name=""&amp;SUBSTITUTE($A468,""#"",""%23""),""SANDBOX"""&amp;"),HYPERLINK(""https://www.munzee.com/m/""&amp;$H468&amp;""/deploys/0/type/""&amp;IFNA(VLOOKUP($G468,IMPORTRANGE(""https://docs.google.com/spreadsheets/d/1DliIGyDywdzxhd4svtjaewR0p9Y5UBTMNMQ2PcXsqss"",""type data!E2:F""),2,FALSE),$G468)&amp;""/"",$H468)),""""))"),"")</f>
        <v/>
      </c>
      <c r="K468" s="5" t="b">
        <v>0</v>
      </c>
      <c r="L468" s="7"/>
      <c r="M468" s="7"/>
    </row>
    <row r="469">
      <c r="A469" s="3" t="s">
        <v>636</v>
      </c>
      <c r="B469" s="3">
        <v>25.0</v>
      </c>
      <c r="C469" s="3">
        <v>22.0</v>
      </c>
      <c r="D469" s="4">
        <v>49.1872193352313</v>
      </c>
      <c r="E469" s="4">
        <v>-2.0944242516919</v>
      </c>
      <c r="F469" s="3" t="s">
        <v>385</v>
      </c>
      <c r="G469" s="3" t="s">
        <v>386</v>
      </c>
      <c r="H469" s="5"/>
      <c r="I469" s="5"/>
      <c r="J469" s="7" t="str">
        <f>IFERROR(__xludf.DUMMYFUNCTION("IF(AND(REGEXMATCH($H469,""50( ?['fF]([oO]{2})?[tT]?)?( ?[eE][rR]{2}[oO][rR])"")=FALSE,$H469&lt;&gt;"""",$I469&lt;&gt;""""),HYPERLINK(""https://www.munzee.com/m/""&amp;$H469&amp;""/""&amp;$I469&amp;""/map/?lat=""&amp;$D469&amp;""&amp;lon=""&amp;$E469&amp;""&amp;type=""&amp;$G469&amp;""&amp;name=""&amp;SUBSTITUTE($A469,""#"&amp;""",""%23""),$H469&amp;""/""&amp;$I469),IF($H469&lt;&gt;"""",IF(REGEXMATCH($H469,""50( ?['fF]([oO]{2})?[tT]?)?( ?[eE][rR]{2}[oO][rR])""),HYPERLINK(""https://www.munzee.com/map/?sandbox=1&amp;lat=""&amp;$D469&amp;""&amp;lon=""&amp;$E469&amp;""&amp;name=""&amp;SUBSTITUTE($A469,""#"",""%23""),""SANDBOX"""&amp;"),HYPERLINK(""https://www.munzee.com/m/""&amp;$H469&amp;""/deploys/0/type/""&amp;IFNA(VLOOKUP($G469,IMPORTRANGE(""https://docs.google.com/spreadsheets/d/1DliIGyDywdzxhd4svtjaewR0p9Y5UBTMNMQ2PcXsqss"",""type data!E2:F""),2,FALSE),$G469)&amp;""/"",$H469)),""""))"),"")</f>
        <v/>
      </c>
      <c r="K469" s="5" t="b">
        <v>0</v>
      </c>
      <c r="L469" s="7"/>
      <c r="M469" s="7"/>
    </row>
    <row r="470">
      <c r="A470" s="3" t="s">
        <v>637</v>
      </c>
      <c r="B470" s="3">
        <v>25.0</v>
      </c>
      <c r="C470" s="3">
        <v>23.0</v>
      </c>
      <c r="D470" s="4">
        <v>49.1871177023543</v>
      </c>
      <c r="E470" s="4">
        <v>-2.0942687526024</v>
      </c>
      <c r="F470" s="3" t="s">
        <v>385</v>
      </c>
      <c r="G470" s="3" t="s">
        <v>386</v>
      </c>
      <c r="H470" s="5"/>
      <c r="I470" s="5"/>
      <c r="J470" s="7" t="str">
        <f>IFERROR(__xludf.DUMMYFUNCTION("IF(AND(REGEXMATCH($H470,""50( ?['fF]([oO]{2})?[tT]?)?( ?[eE][rR]{2}[oO][rR])"")=FALSE,$H470&lt;&gt;"""",$I470&lt;&gt;""""),HYPERLINK(""https://www.munzee.com/m/""&amp;$H470&amp;""/""&amp;$I470&amp;""/map/?lat=""&amp;$D470&amp;""&amp;lon=""&amp;$E470&amp;""&amp;type=""&amp;$G470&amp;""&amp;name=""&amp;SUBSTITUTE($A470,""#"&amp;""",""%23""),$H470&amp;""/""&amp;$I470),IF($H470&lt;&gt;"""",IF(REGEXMATCH($H470,""50( ?['fF]([oO]{2})?[tT]?)?( ?[eE][rR]{2}[oO][rR])""),HYPERLINK(""https://www.munzee.com/map/?sandbox=1&amp;lat=""&amp;$D470&amp;""&amp;lon=""&amp;$E470&amp;""&amp;name=""&amp;SUBSTITUTE($A470,""#"",""%23""),""SANDBOX"""&amp;"),HYPERLINK(""https://www.munzee.com/m/""&amp;$H470&amp;""/deploys/0/type/""&amp;IFNA(VLOOKUP($G470,IMPORTRANGE(""https://docs.google.com/spreadsheets/d/1DliIGyDywdzxhd4svtjaewR0p9Y5UBTMNMQ2PcXsqss"",""type data!E2:F""),2,FALSE),$G470)&amp;""/"",$H470)),""""))"),"")</f>
        <v/>
      </c>
      <c r="K470" s="5" t="b">
        <v>0</v>
      </c>
      <c r="L470" s="7"/>
      <c r="M470" s="7"/>
    </row>
    <row r="471">
      <c r="A471" s="3" t="s">
        <v>638</v>
      </c>
      <c r="B471" s="3">
        <v>25.0</v>
      </c>
      <c r="C471" s="3">
        <v>24.0</v>
      </c>
      <c r="D471" s="4">
        <v>49.1870160694772</v>
      </c>
      <c r="E471" s="4">
        <v>-2.0941132538322</v>
      </c>
      <c r="F471" s="3" t="s">
        <v>385</v>
      </c>
      <c r="G471" s="3" t="s">
        <v>386</v>
      </c>
      <c r="H471" s="5"/>
      <c r="I471" s="5"/>
      <c r="J471" s="7" t="str">
        <f>IFERROR(__xludf.DUMMYFUNCTION("IF(AND(REGEXMATCH($H471,""50( ?['fF]([oO]{2})?[tT]?)?( ?[eE][rR]{2}[oO][rR])"")=FALSE,$H471&lt;&gt;"""",$I471&lt;&gt;""""),HYPERLINK(""https://www.munzee.com/m/""&amp;$H471&amp;""/""&amp;$I471&amp;""/map/?lat=""&amp;$D471&amp;""&amp;lon=""&amp;$E471&amp;""&amp;type=""&amp;$G471&amp;""&amp;name=""&amp;SUBSTITUTE($A471,""#"&amp;""",""%23""),$H471&amp;""/""&amp;$I471),IF($H471&lt;&gt;"""",IF(REGEXMATCH($H471,""50( ?['fF]([oO]{2})?[tT]?)?( ?[eE][rR]{2}[oO][rR])""),HYPERLINK(""https://www.munzee.com/map/?sandbox=1&amp;lat=""&amp;$D471&amp;""&amp;lon=""&amp;$E471&amp;""&amp;name=""&amp;SUBSTITUTE($A471,""#"",""%23""),""SANDBOX"""&amp;"),HYPERLINK(""https://www.munzee.com/m/""&amp;$H471&amp;""/deploys/0/type/""&amp;IFNA(VLOOKUP($G471,IMPORTRANGE(""https://docs.google.com/spreadsheets/d/1DliIGyDywdzxhd4svtjaewR0p9Y5UBTMNMQ2PcXsqss"",""type data!E2:F""),2,FALSE),$G471)&amp;""/"",$H471)),""""))"),"")</f>
        <v/>
      </c>
      <c r="K471" s="5" t="b">
        <v>0</v>
      </c>
      <c r="L471" s="7"/>
      <c r="M471" s="7"/>
    </row>
    <row r="472">
      <c r="A472" s="3" t="s">
        <v>639</v>
      </c>
      <c r="B472" s="3">
        <v>25.0</v>
      </c>
      <c r="C472" s="3">
        <v>25.0</v>
      </c>
      <c r="D472" s="4">
        <v>49.1869144366002</v>
      </c>
      <c r="E472" s="4">
        <v>-2.0939577553816</v>
      </c>
      <c r="F472" s="3" t="s">
        <v>250</v>
      </c>
      <c r="G472" s="3" t="s">
        <v>251</v>
      </c>
      <c r="H472" s="5"/>
      <c r="I472" s="5"/>
      <c r="J472" s="7" t="str">
        <f>IFERROR(__xludf.DUMMYFUNCTION("IF(AND(REGEXMATCH($H472,""50( ?['fF]([oO]{2})?[tT]?)?( ?[eE][rR]{2}[oO][rR])"")=FALSE,$H472&lt;&gt;"""",$I472&lt;&gt;""""),HYPERLINK(""https://www.munzee.com/m/""&amp;$H472&amp;""/""&amp;$I472&amp;""/map/?lat=""&amp;$D472&amp;""&amp;lon=""&amp;$E472&amp;""&amp;type=""&amp;$G472&amp;""&amp;name=""&amp;SUBSTITUTE($A472,""#"&amp;""",""%23""),$H472&amp;""/""&amp;$I472),IF($H472&lt;&gt;"""",IF(REGEXMATCH($H472,""50( ?['fF]([oO]{2})?[tT]?)?( ?[eE][rR]{2}[oO][rR])""),HYPERLINK(""https://www.munzee.com/map/?sandbox=1&amp;lat=""&amp;$D472&amp;""&amp;lon=""&amp;$E472&amp;""&amp;name=""&amp;SUBSTITUTE($A472,""#"",""%23""),""SANDBOX"""&amp;"),HYPERLINK(""https://www.munzee.com/m/""&amp;$H472&amp;""/deploys/0/type/""&amp;IFNA(VLOOKUP($G472,IMPORTRANGE(""https://docs.google.com/spreadsheets/d/1DliIGyDywdzxhd4svtjaewR0p9Y5UBTMNMQ2PcXsqss"",""type data!E2:F""),2,FALSE),$G472)&amp;""/"",$H472)),""""))"),"")</f>
        <v/>
      </c>
      <c r="K472" s="5" t="b">
        <v>0</v>
      </c>
      <c r="L472" s="7"/>
      <c r="M472" s="7"/>
    </row>
    <row r="473">
      <c r="A473" s="3" t="s">
        <v>640</v>
      </c>
      <c r="B473" s="3">
        <v>25.0</v>
      </c>
      <c r="C473" s="3">
        <v>26.0</v>
      </c>
      <c r="D473" s="4">
        <v>49.1868128037232</v>
      </c>
      <c r="E473" s="4">
        <v>-2.0938022572502</v>
      </c>
      <c r="F473" s="3" t="s">
        <v>250</v>
      </c>
      <c r="G473" s="3" t="s">
        <v>251</v>
      </c>
      <c r="H473" s="5"/>
      <c r="I473" s="5"/>
      <c r="J473" s="7" t="str">
        <f>IFERROR(__xludf.DUMMYFUNCTION("IF(AND(REGEXMATCH($H473,""50( ?['fF]([oO]{2})?[tT]?)?( ?[eE][rR]{2}[oO][rR])"")=FALSE,$H473&lt;&gt;"""",$I473&lt;&gt;""""),HYPERLINK(""https://www.munzee.com/m/""&amp;$H473&amp;""/""&amp;$I473&amp;""/map/?lat=""&amp;$D473&amp;""&amp;lon=""&amp;$E473&amp;""&amp;type=""&amp;$G473&amp;""&amp;name=""&amp;SUBSTITUTE($A473,""#"&amp;""",""%23""),$H473&amp;""/""&amp;$I473),IF($H473&lt;&gt;"""",IF(REGEXMATCH($H473,""50( ?['fF]([oO]{2})?[tT]?)?( ?[eE][rR]{2}[oO][rR])""),HYPERLINK(""https://www.munzee.com/map/?sandbox=1&amp;lat=""&amp;$D473&amp;""&amp;lon=""&amp;$E473&amp;""&amp;name=""&amp;SUBSTITUTE($A473,""#"",""%23""),""SANDBOX"""&amp;"),HYPERLINK(""https://www.munzee.com/m/""&amp;$H473&amp;""/deploys/0/type/""&amp;IFNA(VLOOKUP($G473,IMPORTRANGE(""https://docs.google.com/spreadsheets/d/1DliIGyDywdzxhd4svtjaewR0p9Y5UBTMNMQ2PcXsqss"",""type data!E2:F""),2,FALSE),$G473)&amp;""/"",$H473)),""""))"),"")</f>
        <v/>
      </c>
      <c r="K473" s="5" t="b">
        <v>0</v>
      </c>
      <c r="L473" s="7"/>
      <c r="M473" s="7"/>
    </row>
    <row r="474">
      <c r="A474" s="3" t="s">
        <v>641</v>
      </c>
      <c r="B474" s="3">
        <v>26.0</v>
      </c>
      <c r="C474" s="3">
        <v>7.0</v>
      </c>
      <c r="D474" s="4">
        <v>49.1886421955097</v>
      </c>
      <c r="E474" s="4">
        <v>-2.0969122930238</v>
      </c>
      <c r="F474" s="3" t="s">
        <v>250</v>
      </c>
      <c r="G474" s="3" t="s">
        <v>251</v>
      </c>
      <c r="H474" s="5"/>
      <c r="I474" s="5"/>
      <c r="J474" s="7" t="str">
        <f>IFERROR(__xludf.DUMMYFUNCTION("IF(AND(REGEXMATCH($H474,""50( ?['fF]([oO]{2})?[tT]?)?( ?[eE][rR]{2}[oO][rR])"")=FALSE,$H474&lt;&gt;"""",$I474&lt;&gt;""""),HYPERLINK(""https://www.munzee.com/m/""&amp;$H474&amp;""/""&amp;$I474&amp;""/map/?lat=""&amp;$D474&amp;""&amp;lon=""&amp;$E474&amp;""&amp;type=""&amp;$G474&amp;""&amp;name=""&amp;SUBSTITUTE($A474,""#"&amp;""",""%23""),$H474&amp;""/""&amp;$I474),IF($H474&lt;&gt;"""",IF(REGEXMATCH($H474,""50( ?['fF]([oO]{2})?[tT]?)?( ?[eE][rR]{2}[oO][rR])""),HYPERLINK(""https://www.munzee.com/map/?sandbox=1&amp;lat=""&amp;$D474&amp;""&amp;lon=""&amp;$E474&amp;""&amp;name=""&amp;SUBSTITUTE($A474,""#"",""%23""),""SANDBOX"""&amp;"),HYPERLINK(""https://www.munzee.com/m/""&amp;$H474&amp;""/deploys/0/type/""&amp;IFNA(VLOOKUP($G474,IMPORTRANGE(""https://docs.google.com/spreadsheets/d/1DliIGyDywdzxhd4svtjaewR0p9Y5UBTMNMQ2PcXsqss"",""type data!E2:F""),2,FALSE),$G474)&amp;""/"",$H474)),""""))"),"")</f>
        <v/>
      </c>
      <c r="K474" s="5" t="b">
        <v>0</v>
      </c>
      <c r="L474" s="7"/>
      <c r="M474" s="7"/>
    </row>
    <row r="475">
      <c r="A475" s="3" t="s">
        <v>642</v>
      </c>
      <c r="B475" s="3">
        <v>26.0</v>
      </c>
      <c r="C475" s="3">
        <v>8.0</v>
      </c>
      <c r="D475" s="4">
        <v>49.1885405626327</v>
      </c>
      <c r="E475" s="4">
        <v>-2.0967567894625</v>
      </c>
      <c r="F475" s="3" t="s">
        <v>250</v>
      </c>
      <c r="G475" s="3" t="s">
        <v>251</v>
      </c>
      <c r="H475" s="5"/>
      <c r="I475" s="5"/>
      <c r="J475" s="7" t="str">
        <f>IFERROR(__xludf.DUMMYFUNCTION("IF(AND(REGEXMATCH($H475,""50( ?['fF]([oO]{2})?[tT]?)?( ?[eE][rR]{2}[oO][rR])"")=FALSE,$H475&lt;&gt;"""",$I475&lt;&gt;""""),HYPERLINK(""https://www.munzee.com/m/""&amp;$H475&amp;""/""&amp;$I475&amp;""/map/?lat=""&amp;$D475&amp;""&amp;lon=""&amp;$E475&amp;""&amp;type=""&amp;$G475&amp;""&amp;name=""&amp;SUBSTITUTE($A475,""#"&amp;""",""%23""),$H475&amp;""/""&amp;$I475),IF($H475&lt;&gt;"""",IF(REGEXMATCH($H475,""50( ?['fF]([oO]{2})?[tT]?)?( ?[eE][rR]{2}[oO][rR])""),HYPERLINK(""https://www.munzee.com/map/?sandbox=1&amp;lat=""&amp;$D475&amp;""&amp;lon=""&amp;$E475&amp;""&amp;name=""&amp;SUBSTITUTE($A475,""#"",""%23""),""SANDBOX"""&amp;"),HYPERLINK(""https://www.munzee.com/m/""&amp;$H475&amp;""/deploys/0/type/""&amp;IFNA(VLOOKUP($G475,IMPORTRANGE(""https://docs.google.com/spreadsheets/d/1DliIGyDywdzxhd4svtjaewR0p9Y5UBTMNMQ2PcXsqss"",""type data!E2:F""),2,FALSE),$G475)&amp;""/"",$H475)),""""))"),"")</f>
        <v/>
      </c>
      <c r="K475" s="5" t="b">
        <v>0</v>
      </c>
      <c r="L475" s="7"/>
      <c r="M475" s="7"/>
    </row>
    <row r="476">
      <c r="A476" s="3" t="s">
        <v>643</v>
      </c>
      <c r="B476" s="3">
        <v>26.0</v>
      </c>
      <c r="C476" s="3">
        <v>9.0</v>
      </c>
      <c r="D476" s="4">
        <v>49.1884389297557</v>
      </c>
      <c r="E476" s="4">
        <v>-2.0966012862204</v>
      </c>
      <c r="F476" s="3" t="s">
        <v>329</v>
      </c>
      <c r="G476" s="3" t="s">
        <v>330</v>
      </c>
      <c r="H476" s="5" t="s">
        <v>60</v>
      </c>
      <c r="I476" s="5">
        <v>1561.0</v>
      </c>
      <c r="J476" s="6" t="str">
        <f>IFERROR(__xludf.DUMMYFUNCTION("IF(AND(REGEXMATCH($H476,""50( ?['fF]([oO]{2})?[tT]?)?( ?[eE][rR]{2}[oO][rR])"")=FALSE,$H476&lt;&gt;"""",$I476&lt;&gt;""""),HYPERLINK(""https://www.munzee.com/m/""&amp;$H476&amp;""/""&amp;$I476&amp;""/map/?lat=""&amp;$D476&amp;""&amp;lon=""&amp;$E476&amp;""&amp;type=""&amp;$G476&amp;""&amp;name=""&amp;SUBSTITUTE($A476,""#"&amp;""",""%23""),$H476&amp;""/""&amp;$I476),IF($H476&lt;&gt;"""",IF(REGEXMATCH($H476,""50( ?['fF]([oO]{2})?[tT]?)?( ?[eE][rR]{2}[oO][rR])""),HYPERLINK(""https://www.munzee.com/map/?sandbox=1&amp;lat=""&amp;$D476&amp;""&amp;lon=""&amp;$E476&amp;""&amp;name=""&amp;SUBSTITUTE($A476,""#"",""%23""),""SANDBOX"""&amp;"),HYPERLINK(""https://www.munzee.com/m/""&amp;$H476&amp;""/deploys/0/type/""&amp;IFNA(VLOOKUP($G476,IMPORTRANGE(""https://docs.google.com/spreadsheets/d/1DliIGyDywdzxhd4svtjaewR0p9Y5UBTMNMQ2PcXsqss"",""type data!E2:F""),2,FALSE),$G476)&amp;""/"",$H476)),""""))"),"pippy44 /1561")</f>
        <v>pippy44 /1561</v>
      </c>
      <c r="K476" s="5" t="b">
        <v>0</v>
      </c>
      <c r="L476" s="7"/>
      <c r="M476" s="7"/>
    </row>
    <row r="477">
      <c r="A477" s="3" t="s">
        <v>644</v>
      </c>
      <c r="B477" s="3">
        <v>26.0</v>
      </c>
      <c r="C477" s="3">
        <v>10.0</v>
      </c>
      <c r="D477" s="4">
        <v>49.1883372968786</v>
      </c>
      <c r="E477" s="4">
        <v>-2.0964457832979</v>
      </c>
      <c r="F477" s="3" t="s">
        <v>385</v>
      </c>
      <c r="G477" s="3" t="s">
        <v>386</v>
      </c>
      <c r="H477" s="5"/>
      <c r="I477" s="5"/>
      <c r="J477" s="7" t="str">
        <f>IFERROR(__xludf.DUMMYFUNCTION("IF(AND(REGEXMATCH($H477,""50( ?['fF]([oO]{2})?[tT]?)?( ?[eE][rR]{2}[oO][rR])"")=FALSE,$H477&lt;&gt;"""",$I477&lt;&gt;""""),HYPERLINK(""https://www.munzee.com/m/""&amp;$H477&amp;""/""&amp;$I477&amp;""/map/?lat=""&amp;$D477&amp;""&amp;lon=""&amp;$E477&amp;""&amp;type=""&amp;$G477&amp;""&amp;name=""&amp;SUBSTITUTE($A477,""#"&amp;""",""%23""),$H477&amp;""/""&amp;$I477),IF($H477&lt;&gt;"""",IF(REGEXMATCH($H477,""50( ?['fF]([oO]{2})?[tT]?)?( ?[eE][rR]{2}[oO][rR])""),HYPERLINK(""https://www.munzee.com/map/?sandbox=1&amp;lat=""&amp;$D477&amp;""&amp;lon=""&amp;$E477&amp;""&amp;name=""&amp;SUBSTITUTE($A477,""#"",""%23""),""SANDBOX"""&amp;"),HYPERLINK(""https://www.munzee.com/m/""&amp;$H477&amp;""/deploys/0/type/""&amp;IFNA(VLOOKUP($G477,IMPORTRANGE(""https://docs.google.com/spreadsheets/d/1DliIGyDywdzxhd4svtjaewR0p9Y5UBTMNMQ2PcXsqss"",""type data!E2:F""),2,FALSE),$G477)&amp;""/"",$H477)),""""))"),"")</f>
        <v/>
      </c>
      <c r="K477" s="5" t="b">
        <v>0</v>
      </c>
      <c r="L477" s="7"/>
      <c r="M477" s="7"/>
    </row>
    <row r="478">
      <c r="A478" s="3" t="s">
        <v>645</v>
      </c>
      <c r="B478" s="3">
        <v>26.0</v>
      </c>
      <c r="C478" s="3">
        <v>11.0</v>
      </c>
      <c r="D478" s="4">
        <v>49.1882356640016</v>
      </c>
      <c r="E478" s="4">
        <v>-2.0962902806948</v>
      </c>
      <c r="F478" s="3" t="s">
        <v>385</v>
      </c>
      <c r="G478" s="3" t="s">
        <v>386</v>
      </c>
      <c r="H478" s="5"/>
      <c r="I478" s="5"/>
      <c r="J478" s="7" t="str">
        <f>IFERROR(__xludf.DUMMYFUNCTION("IF(AND(REGEXMATCH($H478,""50( ?['fF]([oO]{2})?[tT]?)?( ?[eE][rR]{2}[oO][rR])"")=FALSE,$H478&lt;&gt;"""",$I478&lt;&gt;""""),HYPERLINK(""https://www.munzee.com/m/""&amp;$H478&amp;""/""&amp;$I478&amp;""/map/?lat=""&amp;$D478&amp;""&amp;lon=""&amp;$E478&amp;""&amp;type=""&amp;$G478&amp;""&amp;name=""&amp;SUBSTITUTE($A478,""#"&amp;""",""%23""),$H478&amp;""/""&amp;$I478),IF($H478&lt;&gt;"""",IF(REGEXMATCH($H478,""50( ?['fF]([oO]{2})?[tT]?)?( ?[eE][rR]{2}[oO][rR])""),HYPERLINK(""https://www.munzee.com/map/?sandbox=1&amp;lat=""&amp;$D478&amp;""&amp;lon=""&amp;$E478&amp;""&amp;name=""&amp;SUBSTITUTE($A478,""#"",""%23""),""SANDBOX"""&amp;"),HYPERLINK(""https://www.munzee.com/m/""&amp;$H478&amp;""/deploys/0/type/""&amp;IFNA(VLOOKUP($G478,IMPORTRANGE(""https://docs.google.com/spreadsheets/d/1DliIGyDywdzxhd4svtjaewR0p9Y5UBTMNMQ2PcXsqss"",""type data!E2:F""),2,FALSE),$G478)&amp;""/"",$H478)),""""))"),"")</f>
        <v/>
      </c>
      <c r="K478" s="5" t="b">
        <v>0</v>
      </c>
      <c r="L478" s="7"/>
      <c r="M478" s="7"/>
    </row>
    <row r="479">
      <c r="A479" s="3" t="s">
        <v>646</v>
      </c>
      <c r="B479" s="3">
        <v>26.0</v>
      </c>
      <c r="C479" s="3">
        <v>12.0</v>
      </c>
      <c r="D479" s="4">
        <v>49.1881340311246</v>
      </c>
      <c r="E479" s="4">
        <v>-2.0961347784112</v>
      </c>
      <c r="F479" s="3" t="s">
        <v>296</v>
      </c>
      <c r="G479" s="3" t="s">
        <v>297</v>
      </c>
      <c r="H479" s="5" t="s">
        <v>512</v>
      </c>
      <c r="I479" s="5">
        <v>1603.0</v>
      </c>
      <c r="J479" s="6" t="str">
        <f>IFERROR(__xludf.DUMMYFUNCTION("IF(AND(REGEXMATCH($H479,""50( ?['fF]([oO]{2})?[tT]?)?( ?[eE][rR]{2}[oO][rR])"")=FALSE,$H479&lt;&gt;"""",$I479&lt;&gt;""""),HYPERLINK(""https://www.munzee.com/m/""&amp;$H479&amp;""/""&amp;$I479&amp;""/map/?lat=""&amp;$D479&amp;""&amp;lon=""&amp;$E479&amp;""&amp;type=""&amp;$G479&amp;""&amp;name=""&amp;SUBSTITUTE($A479,""#"&amp;""",""%23""),$H479&amp;""/""&amp;$I479),IF($H479&lt;&gt;"""",IF(REGEXMATCH($H479,""50( ?['fF]([oO]{2})?[tT]?)?( ?[eE][rR]{2}[oO][rR])""),HYPERLINK(""https://www.munzee.com/map/?sandbox=1&amp;lat=""&amp;$D479&amp;""&amp;lon=""&amp;$E479&amp;""&amp;name=""&amp;SUBSTITUTE($A479,""#"",""%23""),""SANDBOX"""&amp;"),HYPERLINK(""https://www.munzee.com/m/""&amp;$H479&amp;""/deploys/0/type/""&amp;IFNA(VLOOKUP($G479,IMPORTRANGE(""https://docs.google.com/spreadsheets/d/1DliIGyDywdzxhd4svtjaewR0p9Y5UBTMNMQ2PcXsqss"",""type data!E2:F""),2,FALSE),$G479)&amp;""/"",$H479)),""""))"),"kellyat9/1603")</f>
        <v>kellyat9/1603</v>
      </c>
      <c r="K479" s="5" t="b">
        <v>1</v>
      </c>
      <c r="L479" s="7"/>
      <c r="M479" s="7"/>
    </row>
    <row r="480">
      <c r="A480" s="3" t="s">
        <v>647</v>
      </c>
      <c r="B480" s="3">
        <v>26.0</v>
      </c>
      <c r="C480" s="3">
        <v>13.0</v>
      </c>
      <c r="D480" s="4">
        <v>49.1880323982475</v>
      </c>
      <c r="E480" s="4">
        <v>-2.0959792764469</v>
      </c>
      <c r="F480" s="3" t="s">
        <v>296</v>
      </c>
      <c r="G480" s="3" t="s">
        <v>297</v>
      </c>
      <c r="H480" s="5"/>
      <c r="I480" s="5"/>
      <c r="J480" s="7" t="str">
        <f>IFERROR(__xludf.DUMMYFUNCTION("IF(AND(REGEXMATCH($H480,""50( ?['fF]([oO]{2})?[tT]?)?( ?[eE][rR]{2}[oO][rR])"")=FALSE,$H480&lt;&gt;"""",$I480&lt;&gt;""""),HYPERLINK(""https://www.munzee.com/m/""&amp;$H480&amp;""/""&amp;$I480&amp;""/map/?lat=""&amp;$D480&amp;""&amp;lon=""&amp;$E480&amp;""&amp;type=""&amp;$G480&amp;""&amp;name=""&amp;SUBSTITUTE($A480,""#"&amp;""",""%23""),$H480&amp;""/""&amp;$I480),IF($H480&lt;&gt;"""",IF(REGEXMATCH($H480,""50( ?['fF]([oO]{2})?[tT]?)?( ?[eE][rR]{2}[oO][rR])""),HYPERLINK(""https://www.munzee.com/map/?sandbox=1&amp;lat=""&amp;$D480&amp;""&amp;lon=""&amp;$E480&amp;""&amp;name=""&amp;SUBSTITUTE($A480,""#"",""%23""),""SANDBOX"""&amp;"),HYPERLINK(""https://www.munzee.com/m/""&amp;$H480&amp;""/deploys/0/type/""&amp;IFNA(VLOOKUP($G480,IMPORTRANGE(""https://docs.google.com/spreadsheets/d/1DliIGyDywdzxhd4svtjaewR0p9Y5UBTMNMQ2PcXsqss"",""type data!E2:F""),2,FALSE),$G480)&amp;""/"",$H480)),""""))"),"")</f>
        <v/>
      </c>
      <c r="K480" s="5" t="b">
        <v>0</v>
      </c>
      <c r="L480" s="7"/>
      <c r="M480" s="7"/>
    </row>
    <row r="481">
      <c r="A481" s="3" t="s">
        <v>648</v>
      </c>
      <c r="B481" s="3">
        <v>26.0</v>
      </c>
      <c r="C481" s="3">
        <v>14.0</v>
      </c>
      <c r="D481" s="4">
        <v>49.1879307653705</v>
      </c>
      <c r="E481" s="4">
        <v>-2.0958237748021</v>
      </c>
      <c r="F481" s="3" t="s">
        <v>296</v>
      </c>
      <c r="G481" s="3" t="s">
        <v>297</v>
      </c>
      <c r="H481" s="5"/>
      <c r="I481" s="5"/>
      <c r="J481" s="7" t="str">
        <f>IFERROR(__xludf.DUMMYFUNCTION("IF(AND(REGEXMATCH($H481,""50( ?['fF]([oO]{2})?[tT]?)?( ?[eE][rR]{2}[oO][rR])"")=FALSE,$H481&lt;&gt;"""",$I481&lt;&gt;""""),HYPERLINK(""https://www.munzee.com/m/""&amp;$H481&amp;""/""&amp;$I481&amp;""/map/?lat=""&amp;$D481&amp;""&amp;lon=""&amp;$E481&amp;""&amp;type=""&amp;$G481&amp;""&amp;name=""&amp;SUBSTITUTE($A481,""#"&amp;""",""%23""),$H481&amp;""/""&amp;$I481),IF($H481&lt;&gt;"""",IF(REGEXMATCH($H481,""50( ?['fF]([oO]{2})?[tT]?)?( ?[eE][rR]{2}[oO][rR])""),HYPERLINK(""https://www.munzee.com/map/?sandbox=1&amp;lat=""&amp;$D481&amp;""&amp;lon=""&amp;$E481&amp;""&amp;name=""&amp;SUBSTITUTE($A481,""#"",""%23""),""SANDBOX"""&amp;"),HYPERLINK(""https://www.munzee.com/m/""&amp;$H481&amp;""/deploys/0/type/""&amp;IFNA(VLOOKUP($G481,IMPORTRANGE(""https://docs.google.com/spreadsheets/d/1DliIGyDywdzxhd4svtjaewR0p9Y5UBTMNMQ2PcXsqss"",""type data!E2:F""),2,FALSE),$G481)&amp;""/"",$H481)),""""))"),"")</f>
        <v/>
      </c>
      <c r="K481" s="5" t="b">
        <v>0</v>
      </c>
      <c r="L481" s="7"/>
      <c r="M481" s="7"/>
    </row>
    <row r="482">
      <c r="A482" s="3" t="s">
        <v>649</v>
      </c>
      <c r="B482" s="3">
        <v>26.0</v>
      </c>
      <c r="C482" s="3">
        <v>15.0</v>
      </c>
      <c r="D482" s="4">
        <v>49.1878291324935</v>
      </c>
      <c r="E482" s="4">
        <v>-2.0956682734766</v>
      </c>
      <c r="F482" s="3" t="s">
        <v>296</v>
      </c>
      <c r="G482" s="3" t="s">
        <v>297</v>
      </c>
      <c r="H482" s="5" t="s">
        <v>512</v>
      </c>
      <c r="I482" s="5">
        <v>1640.0</v>
      </c>
      <c r="J482" s="6" t="str">
        <f>IFERROR(__xludf.DUMMYFUNCTION("IF(AND(REGEXMATCH($H482,""50( ?['fF]([oO]{2})?[tT]?)?( ?[eE][rR]{2}[oO][rR])"")=FALSE,$H482&lt;&gt;"""",$I482&lt;&gt;""""),HYPERLINK(""https://www.munzee.com/m/""&amp;$H482&amp;""/""&amp;$I482&amp;""/map/?lat=""&amp;$D482&amp;""&amp;lon=""&amp;$E482&amp;""&amp;type=""&amp;$G482&amp;""&amp;name=""&amp;SUBSTITUTE($A482,""#"&amp;""",""%23""),$H482&amp;""/""&amp;$I482),IF($H482&lt;&gt;"""",IF(REGEXMATCH($H482,""50( ?['fF]([oO]{2})?[tT]?)?( ?[eE][rR]{2}[oO][rR])""),HYPERLINK(""https://www.munzee.com/map/?sandbox=1&amp;lat=""&amp;$D482&amp;""&amp;lon=""&amp;$E482&amp;""&amp;name=""&amp;SUBSTITUTE($A482,""#"",""%23""),""SANDBOX"""&amp;"),HYPERLINK(""https://www.munzee.com/m/""&amp;$H482&amp;""/deploys/0/type/""&amp;IFNA(VLOOKUP($G482,IMPORTRANGE(""https://docs.google.com/spreadsheets/d/1DliIGyDywdzxhd4svtjaewR0p9Y5UBTMNMQ2PcXsqss"",""type data!E2:F""),2,FALSE),$G482)&amp;""/"",$H482)),""""))"),"kellyat9/1640")</f>
        <v>kellyat9/1640</v>
      </c>
      <c r="K482" s="5" t="b">
        <v>1</v>
      </c>
      <c r="L482" s="7"/>
      <c r="M482" s="7"/>
    </row>
    <row r="483">
      <c r="A483" s="3" t="s">
        <v>650</v>
      </c>
      <c r="B483" s="3">
        <v>26.0</v>
      </c>
      <c r="C483" s="3">
        <v>16.0</v>
      </c>
      <c r="D483" s="4">
        <v>49.1877274996164</v>
      </c>
      <c r="E483" s="4">
        <v>-2.0955127724706</v>
      </c>
      <c r="F483" s="3" t="s">
        <v>453</v>
      </c>
      <c r="G483" s="3" t="s">
        <v>454</v>
      </c>
      <c r="H483" s="5"/>
      <c r="I483" s="5"/>
      <c r="J483" s="7" t="str">
        <f>IFERROR(__xludf.DUMMYFUNCTION("IF(AND(REGEXMATCH($H483,""50( ?['fF]([oO]{2})?[tT]?)?( ?[eE][rR]{2}[oO][rR])"")=FALSE,$H483&lt;&gt;"""",$I483&lt;&gt;""""),HYPERLINK(""https://www.munzee.com/m/""&amp;$H483&amp;""/""&amp;$I483&amp;""/map/?lat=""&amp;$D483&amp;""&amp;lon=""&amp;$E483&amp;""&amp;type=""&amp;$G483&amp;""&amp;name=""&amp;SUBSTITUTE($A483,""#"&amp;""",""%23""),$H483&amp;""/""&amp;$I483),IF($H483&lt;&gt;"""",IF(REGEXMATCH($H483,""50( ?['fF]([oO]{2})?[tT]?)?( ?[eE][rR]{2}[oO][rR])""),HYPERLINK(""https://www.munzee.com/map/?sandbox=1&amp;lat=""&amp;$D483&amp;""&amp;lon=""&amp;$E483&amp;""&amp;name=""&amp;SUBSTITUTE($A483,""#"",""%23""),""SANDBOX"""&amp;"),HYPERLINK(""https://www.munzee.com/m/""&amp;$H483&amp;""/deploys/0/type/""&amp;IFNA(VLOOKUP($G483,IMPORTRANGE(""https://docs.google.com/spreadsheets/d/1DliIGyDywdzxhd4svtjaewR0p9Y5UBTMNMQ2PcXsqss"",""type data!E2:F""),2,FALSE),$G483)&amp;""/"",$H483)),""""))"),"")</f>
        <v/>
      </c>
      <c r="K483" s="5" t="b">
        <v>0</v>
      </c>
      <c r="L483" s="7"/>
      <c r="M483" s="7"/>
    </row>
    <row r="484">
      <c r="A484" s="3" t="s">
        <v>651</v>
      </c>
      <c r="B484" s="3">
        <v>26.0</v>
      </c>
      <c r="C484" s="3">
        <v>17.0</v>
      </c>
      <c r="D484" s="4">
        <v>49.1876258667394</v>
      </c>
      <c r="E484" s="4">
        <v>-2.095357271784</v>
      </c>
      <c r="F484" s="3" t="s">
        <v>450</v>
      </c>
      <c r="G484" s="3" t="s">
        <v>451</v>
      </c>
      <c r="H484" s="5"/>
      <c r="I484" s="5"/>
      <c r="J484" s="7" t="str">
        <f>IFERROR(__xludf.DUMMYFUNCTION("IF(AND(REGEXMATCH($H484,""50( ?['fF]([oO]{2})?[tT]?)?( ?[eE][rR]{2}[oO][rR])"")=FALSE,$H484&lt;&gt;"""",$I484&lt;&gt;""""),HYPERLINK(""https://www.munzee.com/m/""&amp;$H484&amp;""/""&amp;$I484&amp;""/map/?lat=""&amp;$D484&amp;""&amp;lon=""&amp;$E484&amp;""&amp;type=""&amp;$G484&amp;""&amp;name=""&amp;SUBSTITUTE($A484,""#"&amp;""",""%23""),$H484&amp;""/""&amp;$I484),IF($H484&lt;&gt;"""",IF(REGEXMATCH($H484,""50( ?['fF]([oO]{2})?[tT]?)?( ?[eE][rR]{2}[oO][rR])""),HYPERLINK(""https://www.munzee.com/map/?sandbox=1&amp;lat=""&amp;$D484&amp;""&amp;lon=""&amp;$E484&amp;""&amp;name=""&amp;SUBSTITUTE($A484,""#"",""%23""),""SANDBOX"""&amp;"),HYPERLINK(""https://www.munzee.com/m/""&amp;$H484&amp;""/deploys/0/type/""&amp;IFNA(VLOOKUP($G484,IMPORTRANGE(""https://docs.google.com/spreadsheets/d/1DliIGyDywdzxhd4svtjaewR0p9Y5UBTMNMQ2PcXsqss"",""type data!E2:F""),2,FALSE),$G484)&amp;""/"",$H484)),""""))"),"")</f>
        <v/>
      </c>
      <c r="K484" s="5" t="b">
        <v>0</v>
      </c>
      <c r="L484" s="7"/>
      <c r="M484" s="7"/>
    </row>
    <row r="485">
      <c r="A485" s="3" t="s">
        <v>652</v>
      </c>
      <c r="B485" s="3">
        <v>26.0</v>
      </c>
      <c r="C485" s="3">
        <v>18.0</v>
      </c>
      <c r="D485" s="4">
        <v>49.1875242338624</v>
      </c>
      <c r="E485" s="4">
        <v>-2.0952017714168</v>
      </c>
      <c r="F485" s="3" t="s">
        <v>385</v>
      </c>
      <c r="G485" s="3" t="s">
        <v>386</v>
      </c>
      <c r="H485" s="5"/>
      <c r="I485" s="5"/>
      <c r="J485" s="7" t="str">
        <f>IFERROR(__xludf.DUMMYFUNCTION("IF(AND(REGEXMATCH($H485,""50( ?['fF]([oO]{2})?[tT]?)?( ?[eE][rR]{2}[oO][rR])"")=FALSE,$H485&lt;&gt;"""",$I485&lt;&gt;""""),HYPERLINK(""https://www.munzee.com/m/""&amp;$H485&amp;""/""&amp;$I485&amp;""/map/?lat=""&amp;$D485&amp;""&amp;lon=""&amp;$E485&amp;""&amp;type=""&amp;$G485&amp;""&amp;name=""&amp;SUBSTITUTE($A485,""#"&amp;""",""%23""),$H485&amp;""/""&amp;$I485),IF($H485&lt;&gt;"""",IF(REGEXMATCH($H485,""50( ?['fF]([oO]{2})?[tT]?)?( ?[eE][rR]{2}[oO][rR])""),HYPERLINK(""https://www.munzee.com/map/?sandbox=1&amp;lat=""&amp;$D485&amp;""&amp;lon=""&amp;$E485&amp;""&amp;name=""&amp;SUBSTITUTE($A485,""#"",""%23""),""SANDBOX"""&amp;"),HYPERLINK(""https://www.munzee.com/m/""&amp;$H485&amp;""/deploys/0/type/""&amp;IFNA(VLOOKUP($G485,IMPORTRANGE(""https://docs.google.com/spreadsheets/d/1DliIGyDywdzxhd4svtjaewR0p9Y5UBTMNMQ2PcXsqss"",""type data!E2:F""),2,FALSE),$G485)&amp;""/"",$H485)),""""))"),"")</f>
        <v/>
      </c>
      <c r="K485" s="5" t="b">
        <v>0</v>
      </c>
      <c r="L485" s="7"/>
      <c r="M485" s="7"/>
    </row>
    <row r="486">
      <c r="A486" s="3" t="s">
        <v>653</v>
      </c>
      <c r="B486" s="3">
        <v>26.0</v>
      </c>
      <c r="C486" s="3">
        <v>19.0</v>
      </c>
      <c r="D486" s="4">
        <v>49.1874226009854</v>
      </c>
      <c r="E486" s="4">
        <v>-2.095046271369</v>
      </c>
      <c r="F486" s="3" t="s">
        <v>385</v>
      </c>
      <c r="G486" s="3" t="s">
        <v>386</v>
      </c>
      <c r="H486" s="5"/>
      <c r="I486" s="5"/>
      <c r="J486" s="7" t="str">
        <f>IFERROR(__xludf.DUMMYFUNCTION("IF(AND(REGEXMATCH($H486,""50( ?['fF]([oO]{2})?[tT]?)?( ?[eE][rR]{2}[oO][rR])"")=FALSE,$H486&lt;&gt;"""",$I486&lt;&gt;""""),HYPERLINK(""https://www.munzee.com/m/""&amp;$H486&amp;""/""&amp;$I486&amp;""/map/?lat=""&amp;$D486&amp;""&amp;lon=""&amp;$E486&amp;""&amp;type=""&amp;$G486&amp;""&amp;name=""&amp;SUBSTITUTE($A486,""#"&amp;""",""%23""),$H486&amp;""/""&amp;$I486),IF($H486&lt;&gt;"""",IF(REGEXMATCH($H486,""50( ?['fF]([oO]{2})?[tT]?)?( ?[eE][rR]{2}[oO][rR])""),HYPERLINK(""https://www.munzee.com/map/?sandbox=1&amp;lat=""&amp;$D486&amp;""&amp;lon=""&amp;$E486&amp;""&amp;name=""&amp;SUBSTITUTE($A486,""#"",""%23""),""SANDBOX"""&amp;"),HYPERLINK(""https://www.munzee.com/m/""&amp;$H486&amp;""/deploys/0/type/""&amp;IFNA(VLOOKUP($G486,IMPORTRANGE(""https://docs.google.com/spreadsheets/d/1DliIGyDywdzxhd4svtjaewR0p9Y5UBTMNMQ2PcXsqss"",""type data!E2:F""),2,FALSE),$G486)&amp;""/"",$H486)),""""))"),"")</f>
        <v/>
      </c>
      <c r="K486" s="5" t="b">
        <v>0</v>
      </c>
      <c r="L486" s="7"/>
      <c r="M486" s="7"/>
    </row>
    <row r="487">
      <c r="A487" s="3" t="s">
        <v>654</v>
      </c>
      <c r="B487" s="3">
        <v>26.0</v>
      </c>
      <c r="C487" s="3">
        <v>20.0</v>
      </c>
      <c r="D487" s="4">
        <v>49.1873209681083</v>
      </c>
      <c r="E487" s="4">
        <v>-2.0948907716406</v>
      </c>
      <c r="F487" s="3" t="s">
        <v>385</v>
      </c>
      <c r="G487" s="3" t="s">
        <v>386</v>
      </c>
      <c r="H487" s="5"/>
      <c r="I487" s="5"/>
      <c r="J487" s="7" t="str">
        <f>IFERROR(__xludf.DUMMYFUNCTION("IF(AND(REGEXMATCH($H487,""50( ?['fF]([oO]{2})?[tT]?)?( ?[eE][rR]{2}[oO][rR])"")=FALSE,$H487&lt;&gt;"""",$I487&lt;&gt;""""),HYPERLINK(""https://www.munzee.com/m/""&amp;$H487&amp;""/""&amp;$I487&amp;""/map/?lat=""&amp;$D487&amp;""&amp;lon=""&amp;$E487&amp;""&amp;type=""&amp;$G487&amp;""&amp;name=""&amp;SUBSTITUTE($A487,""#"&amp;""",""%23""),$H487&amp;""/""&amp;$I487),IF($H487&lt;&gt;"""",IF(REGEXMATCH($H487,""50( ?['fF]([oO]{2})?[tT]?)?( ?[eE][rR]{2}[oO][rR])""),HYPERLINK(""https://www.munzee.com/map/?sandbox=1&amp;lat=""&amp;$D487&amp;""&amp;lon=""&amp;$E487&amp;""&amp;name=""&amp;SUBSTITUTE($A487,""#"",""%23""),""SANDBOX"""&amp;"),HYPERLINK(""https://www.munzee.com/m/""&amp;$H487&amp;""/deploys/0/type/""&amp;IFNA(VLOOKUP($G487,IMPORTRANGE(""https://docs.google.com/spreadsheets/d/1DliIGyDywdzxhd4svtjaewR0p9Y5UBTMNMQ2PcXsqss"",""type data!E2:F""),2,FALSE),$G487)&amp;""/"",$H487)),""""))"),"")</f>
        <v/>
      </c>
      <c r="K487" s="5" t="b">
        <v>0</v>
      </c>
      <c r="L487" s="7"/>
      <c r="M487" s="7"/>
    </row>
    <row r="488">
      <c r="A488" s="3" t="s">
        <v>655</v>
      </c>
      <c r="B488" s="3">
        <v>26.0</v>
      </c>
      <c r="C488" s="3">
        <v>21.0</v>
      </c>
      <c r="D488" s="4">
        <v>49.1872193352313</v>
      </c>
      <c r="E488" s="4">
        <v>-2.0947352722317</v>
      </c>
      <c r="F488" s="3" t="s">
        <v>385</v>
      </c>
      <c r="G488" s="3" t="s">
        <v>386</v>
      </c>
      <c r="H488" s="5" t="s">
        <v>370</v>
      </c>
      <c r="I488" s="5">
        <v>4877.0</v>
      </c>
      <c r="J488" s="6" t="str">
        <f>IFERROR(__xludf.DUMMYFUNCTION("IF(AND(REGEXMATCH($H488,""50( ?['fF]([oO]{2})?[tT]?)?( ?[eE][rR]{2}[oO][rR])"")=FALSE,$H488&lt;&gt;"""",$I488&lt;&gt;""""),HYPERLINK(""https://www.munzee.com/m/""&amp;$H488&amp;""/""&amp;$I488&amp;""/map/?lat=""&amp;$D488&amp;""&amp;lon=""&amp;$E488&amp;""&amp;type=""&amp;$G488&amp;""&amp;name=""&amp;SUBSTITUTE($A488,""#"&amp;""",""%23""),$H488&amp;""/""&amp;$I488),IF($H488&lt;&gt;"""",IF(REGEXMATCH($H488,""50( ?['fF]([oO]{2})?[tT]?)?( ?[eE][rR]{2}[oO][rR])""),HYPERLINK(""https://www.munzee.com/map/?sandbox=1&amp;lat=""&amp;$D488&amp;""&amp;lon=""&amp;$E488&amp;""&amp;name=""&amp;SUBSTITUTE($A488,""#"",""%23""),""SANDBOX"""&amp;"),HYPERLINK(""https://www.munzee.com/m/""&amp;$H488&amp;""/deploys/0/type/""&amp;IFNA(VLOOKUP($G488,IMPORTRANGE(""https://docs.google.com/spreadsheets/d/1DliIGyDywdzxhd4svtjaewR0p9Y5UBTMNMQ2PcXsqss"",""type data!E2:F""),2,FALSE),$G488)&amp;""/"",$H488)),""""))"),"vadotech/4877")</f>
        <v>vadotech/4877</v>
      </c>
      <c r="K488" s="5" t="b">
        <v>1</v>
      </c>
      <c r="L488" s="7"/>
      <c r="M488" s="7"/>
    </row>
    <row r="489">
      <c r="A489" s="3" t="s">
        <v>656</v>
      </c>
      <c r="B489" s="3">
        <v>26.0</v>
      </c>
      <c r="C489" s="3">
        <v>22.0</v>
      </c>
      <c r="D489" s="4">
        <v>49.1871177023543</v>
      </c>
      <c r="E489" s="4">
        <v>-2.0945797731422</v>
      </c>
      <c r="F489" s="3" t="s">
        <v>385</v>
      </c>
      <c r="G489" s="3" t="s">
        <v>386</v>
      </c>
      <c r="H489" s="5" t="s">
        <v>657</v>
      </c>
      <c r="I489" s="19">
        <v>1288.0</v>
      </c>
      <c r="J489" s="6" t="str">
        <f>IFERROR(__xludf.DUMMYFUNCTION("IF(AND(REGEXMATCH($H489,""50( ?['fF]([oO]{2})?[tT]?)?( ?[eE][rR]{2}[oO][rR])"")=FALSE,$H489&lt;&gt;"""",$I489&lt;&gt;""""),HYPERLINK(""https://www.munzee.com/m/""&amp;$H489&amp;""/""&amp;$I489&amp;""/map/?lat=""&amp;$D489&amp;""&amp;lon=""&amp;$E489&amp;""&amp;type=""&amp;$G489&amp;""&amp;name=""&amp;SUBSTITUTE($A489,""#"&amp;""",""%23""),$H489&amp;""/""&amp;$I489),IF($H489&lt;&gt;"""",IF(REGEXMATCH($H489,""50( ?['fF]([oO]{2})?[tT]?)?( ?[eE][rR]{2}[oO][rR])""),HYPERLINK(""https://www.munzee.com/map/?sandbox=1&amp;lat=""&amp;$D489&amp;""&amp;lon=""&amp;$E489&amp;""&amp;name=""&amp;SUBSTITUTE($A489,""#"",""%23""),""SANDBOX"""&amp;"),HYPERLINK(""https://www.munzee.com/m/""&amp;$H489&amp;""/deploys/0/type/""&amp;IFNA(VLOOKUP($G489,IMPORTRANGE(""https://docs.google.com/spreadsheets/d/1DliIGyDywdzxhd4svtjaewR0p9Y5UBTMNMQ2PcXsqss"",""type data!E2:F""),2,FALSE),$G489)&amp;""/"",$H489)),""""))"),"Lehmis/1288")</f>
        <v>Lehmis/1288</v>
      </c>
      <c r="K489" s="5" t="b">
        <v>1</v>
      </c>
      <c r="L489" s="7"/>
      <c r="M489" s="7"/>
    </row>
    <row r="490">
      <c r="A490" s="3" t="s">
        <v>658</v>
      </c>
      <c r="B490" s="3">
        <v>26.0</v>
      </c>
      <c r="C490" s="3">
        <v>23.0</v>
      </c>
      <c r="D490" s="4">
        <v>49.1870160694772</v>
      </c>
      <c r="E490" s="4">
        <v>-2.094424274372</v>
      </c>
      <c r="F490" s="3" t="s">
        <v>329</v>
      </c>
      <c r="G490" s="3" t="s">
        <v>330</v>
      </c>
      <c r="H490" s="5"/>
      <c r="I490" s="5"/>
      <c r="J490" s="7" t="str">
        <f>IFERROR(__xludf.DUMMYFUNCTION("IF(AND(REGEXMATCH($H490,""50( ?['fF]([oO]{2})?[tT]?)?( ?[eE][rR]{2}[oO][rR])"")=FALSE,$H490&lt;&gt;"""",$I490&lt;&gt;""""),HYPERLINK(""https://www.munzee.com/m/""&amp;$H490&amp;""/""&amp;$I490&amp;""/map/?lat=""&amp;$D490&amp;""&amp;lon=""&amp;$E490&amp;""&amp;type=""&amp;$G490&amp;""&amp;name=""&amp;SUBSTITUTE($A490,""#"&amp;""",""%23""),$H490&amp;""/""&amp;$I490),IF($H490&lt;&gt;"""",IF(REGEXMATCH($H490,""50( ?['fF]([oO]{2})?[tT]?)?( ?[eE][rR]{2}[oO][rR])""),HYPERLINK(""https://www.munzee.com/map/?sandbox=1&amp;lat=""&amp;$D490&amp;""&amp;lon=""&amp;$E490&amp;""&amp;name=""&amp;SUBSTITUTE($A490,""#"",""%23""),""SANDBOX"""&amp;"),HYPERLINK(""https://www.munzee.com/m/""&amp;$H490&amp;""/deploys/0/type/""&amp;IFNA(VLOOKUP($G490,IMPORTRANGE(""https://docs.google.com/spreadsheets/d/1DliIGyDywdzxhd4svtjaewR0p9Y5UBTMNMQ2PcXsqss"",""type data!E2:F""),2,FALSE),$G490)&amp;""/"",$H490)),""""))"),"")</f>
        <v/>
      </c>
      <c r="K490" s="5" t="b">
        <v>0</v>
      </c>
      <c r="L490" s="7"/>
      <c r="M490" s="7"/>
    </row>
    <row r="491">
      <c r="A491" s="3" t="s">
        <v>659</v>
      </c>
      <c r="B491" s="3">
        <v>26.0</v>
      </c>
      <c r="C491" s="3">
        <v>24.0</v>
      </c>
      <c r="D491" s="4">
        <v>49.1869144366002</v>
      </c>
      <c r="E491" s="4">
        <v>-2.0942687759214</v>
      </c>
      <c r="F491" s="3" t="s">
        <v>250</v>
      </c>
      <c r="G491" s="3" t="s">
        <v>251</v>
      </c>
      <c r="H491" s="5"/>
      <c r="I491" s="5"/>
      <c r="J491" s="7" t="str">
        <f>IFERROR(__xludf.DUMMYFUNCTION("IF(AND(REGEXMATCH($H491,""50( ?['fF]([oO]{2})?[tT]?)?( ?[eE][rR]{2}[oO][rR])"")=FALSE,$H491&lt;&gt;"""",$I491&lt;&gt;""""),HYPERLINK(""https://www.munzee.com/m/""&amp;$H491&amp;""/""&amp;$I491&amp;""/map/?lat=""&amp;$D491&amp;""&amp;lon=""&amp;$E491&amp;""&amp;type=""&amp;$G491&amp;""&amp;name=""&amp;SUBSTITUTE($A491,""#"&amp;""",""%23""),$H491&amp;""/""&amp;$I491),IF($H491&lt;&gt;"""",IF(REGEXMATCH($H491,""50( ?['fF]([oO]{2})?[tT]?)?( ?[eE][rR]{2}[oO][rR])""),HYPERLINK(""https://www.munzee.com/map/?sandbox=1&amp;lat=""&amp;$D491&amp;""&amp;lon=""&amp;$E491&amp;""&amp;name=""&amp;SUBSTITUTE($A491,""#"",""%23""),""SANDBOX"""&amp;"),HYPERLINK(""https://www.munzee.com/m/""&amp;$H491&amp;""/deploys/0/type/""&amp;IFNA(VLOOKUP($G491,IMPORTRANGE(""https://docs.google.com/spreadsheets/d/1DliIGyDywdzxhd4svtjaewR0p9Y5UBTMNMQ2PcXsqss"",""type data!E2:F""),2,FALSE),$G491)&amp;""/"",$H491)),""""))"),"")</f>
        <v/>
      </c>
      <c r="K491" s="5" t="b">
        <v>0</v>
      </c>
      <c r="L491" s="7"/>
      <c r="M491" s="7"/>
    </row>
    <row r="492">
      <c r="A492" s="3" t="s">
        <v>660</v>
      </c>
      <c r="B492" s="3">
        <v>26.0</v>
      </c>
      <c r="C492" s="3">
        <v>25.0</v>
      </c>
      <c r="D492" s="4">
        <v>49.1868128037232</v>
      </c>
      <c r="E492" s="4">
        <v>-2.09411327779</v>
      </c>
      <c r="F492" s="3" t="s">
        <v>250</v>
      </c>
      <c r="G492" s="3" t="s">
        <v>251</v>
      </c>
      <c r="H492" s="5" t="s">
        <v>661</v>
      </c>
      <c r="I492" s="5">
        <v>9654.0</v>
      </c>
      <c r="J492" s="6" t="str">
        <f>IFERROR(__xludf.DUMMYFUNCTION("IF(AND(REGEXMATCH($H492,""50( ?['fF]([oO]{2})?[tT]?)?( ?[eE][rR]{2}[oO][rR])"")=FALSE,$H492&lt;&gt;"""",$I492&lt;&gt;""""),HYPERLINK(""https://www.munzee.com/m/""&amp;$H492&amp;""/""&amp;$I492&amp;""/map/?lat=""&amp;$D492&amp;""&amp;lon=""&amp;$E492&amp;""&amp;type=""&amp;$G492&amp;""&amp;name=""&amp;SUBSTITUTE($A492,""#"&amp;""",""%23""),$H492&amp;""/""&amp;$I492),IF($H492&lt;&gt;"""",IF(REGEXMATCH($H492,""50( ?['fF]([oO]{2})?[tT]?)?( ?[eE][rR]{2}[oO][rR])""),HYPERLINK(""https://www.munzee.com/map/?sandbox=1&amp;lat=""&amp;$D492&amp;""&amp;lon=""&amp;$E492&amp;""&amp;name=""&amp;SUBSTITUTE($A492,""#"",""%23""),""SANDBOX"""&amp;"),HYPERLINK(""https://www.munzee.com/m/""&amp;$H492&amp;""/deploys/0/type/""&amp;IFNA(VLOOKUP($G492,IMPORTRANGE(""https://docs.google.com/spreadsheets/d/1DliIGyDywdzxhd4svtjaewR0p9Y5UBTMNMQ2PcXsqss"",""type data!E2:F""),2,FALSE),$G492)&amp;""/"",$H492)),""""))"),"Munzeeprof /9654")</f>
        <v>Munzeeprof /9654</v>
      </c>
      <c r="K492" s="5" t="b">
        <v>1</v>
      </c>
      <c r="L492" s="7"/>
      <c r="M492" s="7"/>
    </row>
    <row r="493">
      <c r="A493" s="3" t="s">
        <v>662</v>
      </c>
      <c r="B493" s="3">
        <v>27.0</v>
      </c>
      <c r="C493" s="3">
        <v>9.0</v>
      </c>
      <c r="D493" s="4">
        <v>49.1883372968786</v>
      </c>
      <c r="E493" s="4">
        <v>-2.0967568031988</v>
      </c>
      <c r="F493" s="3" t="s">
        <v>329</v>
      </c>
      <c r="G493" s="3" t="s">
        <v>330</v>
      </c>
      <c r="H493" s="5"/>
      <c r="I493" s="5"/>
      <c r="J493" s="7" t="str">
        <f>IFERROR(__xludf.DUMMYFUNCTION("IF(AND(REGEXMATCH($H493,""50( ?['fF]([oO]{2})?[tT]?)?( ?[eE][rR]{2}[oO][rR])"")=FALSE,$H493&lt;&gt;"""",$I493&lt;&gt;""""),HYPERLINK(""https://www.munzee.com/m/""&amp;$H493&amp;""/""&amp;$I493&amp;""/map/?lat=""&amp;$D493&amp;""&amp;lon=""&amp;$E493&amp;""&amp;type=""&amp;$G493&amp;""&amp;name=""&amp;SUBSTITUTE($A493,""#"&amp;""",""%23""),$H493&amp;""/""&amp;$I493),IF($H493&lt;&gt;"""",IF(REGEXMATCH($H493,""50( ?['fF]([oO]{2})?[tT]?)?( ?[eE][rR]{2}[oO][rR])""),HYPERLINK(""https://www.munzee.com/map/?sandbox=1&amp;lat=""&amp;$D493&amp;""&amp;lon=""&amp;$E493&amp;""&amp;name=""&amp;SUBSTITUTE($A493,""#"",""%23""),""SANDBOX"""&amp;"),HYPERLINK(""https://www.munzee.com/m/""&amp;$H493&amp;""/deploys/0/type/""&amp;IFNA(VLOOKUP($G493,IMPORTRANGE(""https://docs.google.com/spreadsheets/d/1DliIGyDywdzxhd4svtjaewR0p9Y5UBTMNMQ2PcXsqss"",""type data!E2:F""),2,FALSE),$G493)&amp;""/"",$H493)),""""))"),"")</f>
        <v/>
      </c>
      <c r="K493" s="5" t="b">
        <v>0</v>
      </c>
      <c r="L493" s="7"/>
      <c r="M493" s="7"/>
    </row>
    <row r="494">
      <c r="A494" s="3" t="s">
        <v>663</v>
      </c>
      <c r="B494" s="3">
        <v>27.0</v>
      </c>
      <c r="C494" s="3">
        <v>10.0</v>
      </c>
      <c r="D494" s="4">
        <v>49.1882356640016</v>
      </c>
      <c r="E494" s="4">
        <v>-2.0966013005957</v>
      </c>
      <c r="F494" s="3" t="s">
        <v>329</v>
      </c>
      <c r="G494" s="3" t="s">
        <v>330</v>
      </c>
      <c r="H494" s="5"/>
      <c r="I494" s="5"/>
      <c r="J494" s="7" t="str">
        <f>IFERROR(__xludf.DUMMYFUNCTION("IF(AND(REGEXMATCH($H494,""50( ?['fF]([oO]{2})?[tT]?)?( ?[eE][rR]{2}[oO][rR])"")=FALSE,$H494&lt;&gt;"""",$I494&lt;&gt;""""),HYPERLINK(""https://www.munzee.com/m/""&amp;$H494&amp;""/""&amp;$I494&amp;""/map/?lat=""&amp;$D494&amp;""&amp;lon=""&amp;$E494&amp;""&amp;type=""&amp;$G494&amp;""&amp;name=""&amp;SUBSTITUTE($A494,""#"&amp;""",""%23""),$H494&amp;""/""&amp;$I494),IF($H494&lt;&gt;"""",IF(REGEXMATCH($H494,""50( ?['fF]([oO]{2})?[tT]?)?( ?[eE][rR]{2}[oO][rR])""),HYPERLINK(""https://www.munzee.com/map/?sandbox=1&amp;lat=""&amp;$D494&amp;""&amp;lon=""&amp;$E494&amp;""&amp;name=""&amp;SUBSTITUTE($A494,""#"",""%23""),""SANDBOX"""&amp;"),HYPERLINK(""https://www.munzee.com/m/""&amp;$H494&amp;""/deploys/0/type/""&amp;IFNA(VLOOKUP($G494,IMPORTRANGE(""https://docs.google.com/spreadsheets/d/1DliIGyDywdzxhd4svtjaewR0p9Y5UBTMNMQ2PcXsqss"",""type data!E2:F""),2,FALSE),$G494)&amp;""/"",$H494)),""""))"),"")</f>
        <v/>
      </c>
      <c r="K494" s="5" t="b">
        <v>0</v>
      </c>
      <c r="L494" s="7"/>
      <c r="M494" s="7"/>
    </row>
    <row r="495">
      <c r="A495" s="3" t="s">
        <v>664</v>
      </c>
      <c r="B495" s="3">
        <v>27.0</v>
      </c>
      <c r="C495" s="3">
        <v>11.0</v>
      </c>
      <c r="D495" s="4">
        <v>49.1881340311246</v>
      </c>
      <c r="E495" s="4">
        <v>-2.0964457983121</v>
      </c>
      <c r="F495" s="3" t="s">
        <v>329</v>
      </c>
      <c r="G495" s="3" t="s">
        <v>330</v>
      </c>
      <c r="H495" s="5"/>
      <c r="I495" s="5"/>
      <c r="J495" s="7" t="str">
        <f>IFERROR(__xludf.DUMMYFUNCTION("IF(AND(REGEXMATCH($H495,""50( ?['fF]([oO]{2})?[tT]?)?( ?[eE][rR]{2}[oO][rR])"")=FALSE,$H495&lt;&gt;"""",$I495&lt;&gt;""""),HYPERLINK(""https://www.munzee.com/m/""&amp;$H495&amp;""/""&amp;$I495&amp;""/map/?lat=""&amp;$D495&amp;""&amp;lon=""&amp;$E495&amp;""&amp;type=""&amp;$G495&amp;""&amp;name=""&amp;SUBSTITUTE($A495,""#"&amp;""",""%23""),$H495&amp;""/""&amp;$I495),IF($H495&lt;&gt;"""",IF(REGEXMATCH($H495,""50( ?['fF]([oO]{2})?[tT]?)?( ?[eE][rR]{2}[oO][rR])""),HYPERLINK(""https://www.munzee.com/map/?sandbox=1&amp;lat=""&amp;$D495&amp;""&amp;lon=""&amp;$E495&amp;""&amp;name=""&amp;SUBSTITUTE($A495,""#"",""%23""),""SANDBOX"""&amp;"),HYPERLINK(""https://www.munzee.com/m/""&amp;$H495&amp;""/deploys/0/type/""&amp;IFNA(VLOOKUP($G495,IMPORTRANGE(""https://docs.google.com/spreadsheets/d/1DliIGyDywdzxhd4svtjaewR0p9Y5UBTMNMQ2PcXsqss"",""type data!E2:F""),2,FALSE),$G495)&amp;""/"",$H495)),""""))"),"")</f>
        <v/>
      </c>
      <c r="K495" s="5" t="b">
        <v>0</v>
      </c>
      <c r="L495" s="7"/>
      <c r="M495" s="7"/>
    </row>
    <row r="496">
      <c r="A496" s="3" t="s">
        <v>665</v>
      </c>
      <c r="B496" s="3">
        <v>27.0</v>
      </c>
      <c r="C496" s="3">
        <v>12.0</v>
      </c>
      <c r="D496" s="4">
        <v>49.1880323982475</v>
      </c>
      <c r="E496" s="4">
        <v>-2.0962902963478</v>
      </c>
      <c r="F496" s="3" t="s">
        <v>666</v>
      </c>
      <c r="G496" s="3" t="s">
        <v>667</v>
      </c>
      <c r="H496" s="5"/>
      <c r="I496" s="5"/>
      <c r="J496" s="7" t="str">
        <f>IFERROR(__xludf.DUMMYFUNCTION("IF(AND(REGEXMATCH($H496,""50( ?['fF]([oO]{2})?[tT]?)?( ?[eE][rR]{2}[oO][rR])"")=FALSE,$H496&lt;&gt;"""",$I496&lt;&gt;""""),HYPERLINK(""https://www.munzee.com/m/""&amp;$H496&amp;""/""&amp;$I496&amp;""/map/?lat=""&amp;$D496&amp;""&amp;lon=""&amp;$E496&amp;""&amp;type=""&amp;$G496&amp;""&amp;name=""&amp;SUBSTITUTE($A496,""#"&amp;""",""%23""),$H496&amp;""/""&amp;$I496),IF($H496&lt;&gt;"""",IF(REGEXMATCH($H496,""50( ?['fF]([oO]{2})?[tT]?)?( ?[eE][rR]{2}[oO][rR])""),HYPERLINK(""https://www.munzee.com/map/?sandbox=1&amp;lat=""&amp;$D496&amp;""&amp;lon=""&amp;$E496&amp;""&amp;name=""&amp;SUBSTITUTE($A496,""#"",""%23""),""SANDBOX"""&amp;"),HYPERLINK(""https://www.munzee.com/m/""&amp;$H496&amp;""/deploys/0/type/""&amp;IFNA(VLOOKUP($G496,IMPORTRANGE(""https://docs.google.com/spreadsheets/d/1DliIGyDywdzxhd4svtjaewR0p9Y5UBTMNMQ2PcXsqss"",""type data!E2:F""),2,FALSE),$G496)&amp;""/"",$H496)),""""))"),"")</f>
        <v/>
      </c>
      <c r="K496" s="5" t="b">
        <v>0</v>
      </c>
      <c r="L496" s="7"/>
      <c r="M496" s="7"/>
    </row>
    <row r="497">
      <c r="A497" s="3" t="s">
        <v>668</v>
      </c>
      <c r="B497" s="3">
        <v>27.0</v>
      </c>
      <c r="C497" s="3">
        <v>13.0</v>
      </c>
      <c r="D497" s="4">
        <v>49.1879307653705</v>
      </c>
      <c r="E497" s="4">
        <v>-2.0961347947029</v>
      </c>
      <c r="F497" s="3" t="s">
        <v>669</v>
      </c>
      <c r="G497" s="3" t="s">
        <v>670</v>
      </c>
      <c r="H497" s="5" t="s">
        <v>191</v>
      </c>
      <c r="I497" s="5">
        <v>1188.0</v>
      </c>
      <c r="J497" s="6" t="str">
        <f>IFERROR(__xludf.DUMMYFUNCTION("IF(AND(REGEXMATCH($H497,""50( ?['fF]([oO]{2})?[tT]?)?( ?[eE][rR]{2}[oO][rR])"")=FALSE,$H497&lt;&gt;"""",$I497&lt;&gt;""""),HYPERLINK(""https://www.munzee.com/m/""&amp;$H497&amp;""/""&amp;$I497&amp;""/map/?lat=""&amp;$D497&amp;""&amp;lon=""&amp;$E497&amp;""&amp;type=""&amp;$G497&amp;""&amp;name=""&amp;SUBSTITUTE($A497,""#"&amp;""",""%23""),$H497&amp;""/""&amp;$I497),IF($H497&lt;&gt;"""",IF(REGEXMATCH($H497,""50( ?['fF]([oO]{2})?[tT]?)?( ?[eE][rR]{2}[oO][rR])""),HYPERLINK(""https://www.munzee.com/map/?sandbox=1&amp;lat=""&amp;$D497&amp;""&amp;lon=""&amp;$E497&amp;""&amp;name=""&amp;SUBSTITUTE($A497,""#"",""%23""),""SANDBOX"""&amp;"),HYPERLINK(""https://www.munzee.com/m/""&amp;$H497&amp;""/deploys/0/type/""&amp;IFNA(VLOOKUP($G497,IMPORTRANGE(""https://docs.google.com/spreadsheets/d/1DliIGyDywdzxhd4svtjaewR0p9Y5UBTMNMQ2PcXsqss"",""type data!E2:F""),2,FALSE),$G497)&amp;""/"",$H497)),""""))"),"walktohere/1188")</f>
        <v>walktohere/1188</v>
      </c>
      <c r="K497" s="5" t="b">
        <v>1</v>
      </c>
      <c r="L497" s="7"/>
      <c r="M497" s="7"/>
    </row>
    <row r="498">
      <c r="A498" s="3" t="s">
        <v>671</v>
      </c>
      <c r="B498" s="3">
        <v>27.0</v>
      </c>
      <c r="C498" s="3">
        <v>14.0</v>
      </c>
      <c r="D498" s="4">
        <v>49.1878291324935</v>
      </c>
      <c r="E498" s="4">
        <v>-2.0959792933775</v>
      </c>
      <c r="F498" s="3" t="s">
        <v>518</v>
      </c>
      <c r="G498" s="3" t="s">
        <v>519</v>
      </c>
      <c r="H498" s="5"/>
      <c r="I498" s="5"/>
      <c r="J498" s="7" t="str">
        <f>IFERROR(__xludf.DUMMYFUNCTION("IF(AND(REGEXMATCH($H498,""50( ?['fF]([oO]{2})?[tT]?)?( ?[eE][rR]{2}[oO][rR])"")=FALSE,$H498&lt;&gt;"""",$I498&lt;&gt;""""),HYPERLINK(""https://www.munzee.com/m/""&amp;$H498&amp;""/""&amp;$I498&amp;""/map/?lat=""&amp;$D498&amp;""&amp;lon=""&amp;$E498&amp;""&amp;type=""&amp;$G498&amp;""&amp;name=""&amp;SUBSTITUTE($A498,""#"&amp;""",""%23""),$H498&amp;""/""&amp;$I498),IF($H498&lt;&gt;"""",IF(REGEXMATCH($H498,""50( ?['fF]([oO]{2})?[tT]?)?( ?[eE][rR]{2}[oO][rR])""),HYPERLINK(""https://www.munzee.com/map/?sandbox=1&amp;lat=""&amp;$D498&amp;""&amp;lon=""&amp;$E498&amp;""&amp;name=""&amp;SUBSTITUTE($A498,""#"",""%23""),""SANDBOX"""&amp;"),HYPERLINK(""https://www.munzee.com/m/""&amp;$H498&amp;""/deploys/0/type/""&amp;IFNA(VLOOKUP($G498,IMPORTRANGE(""https://docs.google.com/spreadsheets/d/1DliIGyDywdzxhd4svtjaewR0p9Y5UBTMNMQ2PcXsqss"",""type data!E2:F""),2,FALSE),$G498)&amp;""/"",$H498)),""""))"),"")</f>
        <v/>
      </c>
      <c r="K498" s="5" t="b">
        <v>0</v>
      </c>
      <c r="L498" s="7"/>
      <c r="M498" s="7"/>
    </row>
    <row r="499">
      <c r="A499" s="3" t="s">
        <v>672</v>
      </c>
      <c r="B499" s="3">
        <v>27.0</v>
      </c>
      <c r="C499" s="3">
        <v>15.0</v>
      </c>
      <c r="D499" s="4">
        <v>49.1877274996164</v>
      </c>
      <c r="E499" s="4">
        <v>-2.0958237923714</v>
      </c>
      <c r="F499" s="3" t="s">
        <v>476</v>
      </c>
      <c r="G499" s="3" t="s">
        <v>477</v>
      </c>
      <c r="H499" s="5"/>
      <c r="I499" s="5"/>
      <c r="J499" s="7" t="str">
        <f>IFERROR(__xludf.DUMMYFUNCTION("IF(AND(REGEXMATCH($H499,""50( ?['fF]([oO]{2})?[tT]?)?( ?[eE][rR]{2}[oO][rR])"")=FALSE,$H499&lt;&gt;"""",$I499&lt;&gt;""""),HYPERLINK(""https://www.munzee.com/m/""&amp;$H499&amp;""/""&amp;$I499&amp;""/map/?lat=""&amp;$D499&amp;""&amp;lon=""&amp;$E499&amp;""&amp;type=""&amp;$G499&amp;""&amp;name=""&amp;SUBSTITUTE($A499,""#"&amp;""",""%23""),$H499&amp;""/""&amp;$I499),IF($H499&lt;&gt;"""",IF(REGEXMATCH($H499,""50( ?['fF]([oO]{2})?[tT]?)?( ?[eE][rR]{2}[oO][rR])""),HYPERLINK(""https://www.munzee.com/map/?sandbox=1&amp;lat=""&amp;$D499&amp;""&amp;lon=""&amp;$E499&amp;""&amp;name=""&amp;SUBSTITUTE($A499,""#"",""%23""),""SANDBOX"""&amp;"),HYPERLINK(""https://www.munzee.com/m/""&amp;$H499&amp;""/deploys/0/type/""&amp;IFNA(VLOOKUP($G499,IMPORTRANGE(""https://docs.google.com/spreadsheets/d/1DliIGyDywdzxhd4svtjaewR0p9Y5UBTMNMQ2PcXsqss"",""type data!E2:F""),2,FALSE),$G499)&amp;""/"",$H499)),""""))"),"")</f>
        <v/>
      </c>
      <c r="K499" s="5" t="b">
        <v>0</v>
      </c>
      <c r="L499" s="7"/>
      <c r="M499" s="7"/>
    </row>
    <row r="500">
      <c r="A500" s="3" t="s">
        <v>673</v>
      </c>
      <c r="B500" s="3">
        <v>27.0</v>
      </c>
      <c r="C500" s="3">
        <v>18.0</v>
      </c>
      <c r="D500" s="4">
        <v>49.1874226009854</v>
      </c>
      <c r="E500" s="4">
        <v>-2.0953572912699</v>
      </c>
      <c r="F500" s="3" t="s">
        <v>518</v>
      </c>
      <c r="G500" s="3" t="s">
        <v>519</v>
      </c>
      <c r="H500" s="5"/>
      <c r="I500" s="5"/>
      <c r="J500" s="7" t="str">
        <f>IFERROR(__xludf.DUMMYFUNCTION("IF(AND(REGEXMATCH($H500,""50( ?['fF]([oO]{2})?[tT]?)?( ?[eE][rR]{2}[oO][rR])"")=FALSE,$H500&lt;&gt;"""",$I500&lt;&gt;""""),HYPERLINK(""https://www.munzee.com/m/""&amp;$H500&amp;""/""&amp;$I500&amp;""/map/?lat=""&amp;$D500&amp;""&amp;lon=""&amp;$E500&amp;""&amp;type=""&amp;$G500&amp;""&amp;name=""&amp;SUBSTITUTE($A500,""#"&amp;""",""%23""),$H500&amp;""/""&amp;$I500),IF($H500&lt;&gt;"""",IF(REGEXMATCH($H500,""50( ?['fF]([oO]{2})?[tT]?)?( ?[eE][rR]{2}[oO][rR])""),HYPERLINK(""https://www.munzee.com/map/?sandbox=1&amp;lat=""&amp;$D500&amp;""&amp;lon=""&amp;$E500&amp;""&amp;name=""&amp;SUBSTITUTE($A500,""#"",""%23""),""SANDBOX"""&amp;"),HYPERLINK(""https://www.munzee.com/m/""&amp;$H500&amp;""/deploys/0/type/""&amp;IFNA(VLOOKUP($G500,IMPORTRANGE(""https://docs.google.com/spreadsheets/d/1DliIGyDywdzxhd4svtjaewR0p9Y5UBTMNMQ2PcXsqss"",""type data!E2:F""),2,FALSE),$G500)&amp;""/"",$H500)),""""))"),"")</f>
        <v/>
      </c>
      <c r="K500" s="5" t="b">
        <v>0</v>
      </c>
      <c r="L500" s="7"/>
      <c r="M500" s="7"/>
    </row>
    <row r="501">
      <c r="A501" s="3" t="s">
        <v>674</v>
      </c>
      <c r="B501" s="3">
        <v>27.0</v>
      </c>
      <c r="C501" s="3">
        <v>19.0</v>
      </c>
      <c r="D501" s="4">
        <v>49.1873209681083</v>
      </c>
      <c r="E501" s="4">
        <v>-2.0952017915415</v>
      </c>
      <c r="F501" s="3" t="s">
        <v>675</v>
      </c>
      <c r="G501" s="3" t="s">
        <v>676</v>
      </c>
      <c r="H501" s="5" t="s">
        <v>364</v>
      </c>
      <c r="I501" s="5">
        <v>107.0</v>
      </c>
      <c r="J501" s="6" t="str">
        <f>IFERROR(__xludf.DUMMYFUNCTION("IF(AND(REGEXMATCH($H501,""50( ?['fF]([oO]{2})?[tT]?)?( ?[eE][rR]{2}[oO][rR])"")=FALSE,$H501&lt;&gt;"""",$I501&lt;&gt;""""),HYPERLINK(""https://www.munzee.com/m/""&amp;$H501&amp;""/""&amp;$I501&amp;""/map/?lat=""&amp;$D501&amp;""&amp;lon=""&amp;$E501&amp;""&amp;type=""&amp;$G501&amp;""&amp;name=""&amp;SUBSTITUTE($A501,""#"&amp;""",""%23""),$H501&amp;""/""&amp;$I501),IF($H501&lt;&gt;"""",IF(REGEXMATCH($H501,""50( ?['fF]([oO]{2})?[tT]?)?( ?[eE][rR]{2}[oO][rR])""),HYPERLINK(""https://www.munzee.com/map/?sandbox=1&amp;lat=""&amp;$D501&amp;""&amp;lon=""&amp;$E501&amp;""&amp;name=""&amp;SUBSTITUTE($A501,""#"",""%23""),""SANDBOX"""&amp;"),HYPERLINK(""https://www.munzee.com/m/""&amp;$H501&amp;""/deploys/0/type/""&amp;IFNA(VLOOKUP($G501,IMPORTRANGE(""https://docs.google.com/spreadsheets/d/1DliIGyDywdzxhd4svtjaewR0p9Y5UBTMNMQ2PcXsqss"",""type data!E2:F""),2,FALSE),$G501)&amp;""/"",$H501)),""""))"),"louisehen/107")</f>
        <v>louisehen/107</v>
      </c>
      <c r="K501" s="5" t="b">
        <v>1</v>
      </c>
      <c r="L501" s="7"/>
      <c r="M501" s="7"/>
    </row>
    <row r="502">
      <c r="A502" s="3" t="s">
        <v>677</v>
      </c>
      <c r="B502" s="3">
        <v>27.0</v>
      </c>
      <c r="C502" s="3">
        <v>20.0</v>
      </c>
      <c r="D502" s="4">
        <v>49.1872193352313</v>
      </c>
      <c r="E502" s="4">
        <v>-2.0950462921326</v>
      </c>
      <c r="F502" s="3" t="s">
        <v>666</v>
      </c>
      <c r="G502" s="3" t="s">
        <v>667</v>
      </c>
      <c r="H502" s="5"/>
      <c r="I502" s="5"/>
      <c r="J502" s="7" t="str">
        <f>IFERROR(__xludf.DUMMYFUNCTION("IF(AND(REGEXMATCH($H502,""50( ?['fF]([oO]{2})?[tT]?)?( ?[eE][rR]{2}[oO][rR])"")=FALSE,$H502&lt;&gt;"""",$I502&lt;&gt;""""),HYPERLINK(""https://www.munzee.com/m/""&amp;$H502&amp;""/""&amp;$I502&amp;""/map/?lat=""&amp;$D502&amp;""&amp;lon=""&amp;$E502&amp;""&amp;type=""&amp;$G502&amp;""&amp;name=""&amp;SUBSTITUTE($A502,""#"&amp;""",""%23""),$H502&amp;""/""&amp;$I502),IF($H502&lt;&gt;"""",IF(REGEXMATCH($H502,""50( ?['fF]([oO]{2})?[tT]?)?( ?[eE][rR]{2}[oO][rR])""),HYPERLINK(""https://www.munzee.com/map/?sandbox=1&amp;lat=""&amp;$D502&amp;""&amp;lon=""&amp;$E502&amp;""&amp;name=""&amp;SUBSTITUTE($A502,""#"",""%23""),""SANDBOX"""&amp;"),HYPERLINK(""https://www.munzee.com/m/""&amp;$H502&amp;""/deploys/0/type/""&amp;IFNA(VLOOKUP($G502,IMPORTRANGE(""https://docs.google.com/spreadsheets/d/1DliIGyDywdzxhd4svtjaewR0p9Y5UBTMNMQ2PcXsqss"",""type data!E2:F""),2,FALSE),$G502)&amp;""/"",$H502)),""""))"),"")</f>
        <v/>
      </c>
      <c r="K502" s="5" t="b">
        <v>0</v>
      </c>
      <c r="L502" s="7"/>
      <c r="M502" s="7"/>
    </row>
    <row r="503">
      <c r="A503" s="3" t="s">
        <v>678</v>
      </c>
      <c r="B503" s="3">
        <v>27.0</v>
      </c>
      <c r="C503" s="3">
        <v>21.0</v>
      </c>
      <c r="D503" s="4">
        <v>49.1871177023543</v>
      </c>
      <c r="E503" s="4">
        <v>-2.0948907930431</v>
      </c>
      <c r="F503" s="3" t="s">
        <v>329</v>
      </c>
      <c r="G503" s="3" t="s">
        <v>330</v>
      </c>
      <c r="H503" s="5"/>
      <c r="I503" s="5"/>
      <c r="J503" s="7" t="str">
        <f>IFERROR(__xludf.DUMMYFUNCTION("IF(AND(REGEXMATCH($H503,""50( ?['fF]([oO]{2})?[tT]?)?( ?[eE][rR]{2}[oO][rR])"")=FALSE,$H503&lt;&gt;"""",$I503&lt;&gt;""""),HYPERLINK(""https://www.munzee.com/m/""&amp;$H503&amp;""/""&amp;$I503&amp;""/map/?lat=""&amp;$D503&amp;""&amp;lon=""&amp;$E503&amp;""&amp;type=""&amp;$G503&amp;""&amp;name=""&amp;SUBSTITUTE($A503,""#"&amp;""",""%23""),$H503&amp;""/""&amp;$I503),IF($H503&lt;&gt;"""",IF(REGEXMATCH($H503,""50( ?['fF]([oO]{2})?[tT]?)?( ?[eE][rR]{2}[oO][rR])""),HYPERLINK(""https://www.munzee.com/map/?sandbox=1&amp;lat=""&amp;$D503&amp;""&amp;lon=""&amp;$E503&amp;""&amp;name=""&amp;SUBSTITUTE($A503,""#"",""%23""),""SANDBOX"""&amp;"),HYPERLINK(""https://www.munzee.com/m/""&amp;$H503&amp;""/deploys/0/type/""&amp;IFNA(VLOOKUP($G503,IMPORTRANGE(""https://docs.google.com/spreadsheets/d/1DliIGyDywdzxhd4svtjaewR0p9Y5UBTMNMQ2PcXsqss"",""type data!E2:F""),2,FALSE),$G503)&amp;""/"",$H503)),""""))"),"")</f>
        <v/>
      </c>
      <c r="K503" s="5" t="b">
        <v>0</v>
      </c>
      <c r="L503" s="7"/>
      <c r="M503" s="7"/>
    </row>
    <row r="504">
      <c r="A504" s="3" t="s">
        <v>679</v>
      </c>
      <c r="B504" s="3">
        <v>27.0</v>
      </c>
      <c r="C504" s="3">
        <v>22.0</v>
      </c>
      <c r="D504" s="4">
        <v>49.1870160694772</v>
      </c>
      <c r="E504" s="4">
        <v>-2.0947352942729</v>
      </c>
      <c r="F504" s="3" t="s">
        <v>329</v>
      </c>
      <c r="G504" s="3" t="s">
        <v>330</v>
      </c>
      <c r="H504" s="5"/>
      <c r="I504" s="5"/>
      <c r="J504" s="7" t="str">
        <f>IFERROR(__xludf.DUMMYFUNCTION("IF(AND(REGEXMATCH($H504,""50( ?['fF]([oO]{2})?[tT]?)?( ?[eE][rR]{2}[oO][rR])"")=FALSE,$H504&lt;&gt;"""",$I504&lt;&gt;""""),HYPERLINK(""https://www.munzee.com/m/""&amp;$H504&amp;""/""&amp;$I504&amp;""/map/?lat=""&amp;$D504&amp;""&amp;lon=""&amp;$E504&amp;""&amp;type=""&amp;$G504&amp;""&amp;name=""&amp;SUBSTITUTE($A504,""#"&amp;""",""%23""),$H504&amp;""/""&amp;$I504),IF($H504&lt;&gt;"""",IF(REGEXMATCH($H504,""50( ?['fF]([oO]{2})?[tT]?)?( ?[eE][rR]{2}[oO][rR])""),HYPERLINK(""https://www.munzee.com/map/?sandbox=1&amp;lat=""&amp;$D504&amp;""&amp;lon=""&amp;$E504&amp;""&amp;name=""&amp;SUBSTITUTE($A504,""#"",""%23""),""SANDBOX"""&amp;"),HYPERLINK(""https://www.munzee.com/m/""&amp;$H504&amp;""/deploys/0/type/""&amp;IFNA(VLOOKUP($G504,IMPORTRANGE(""https://docs.google.com/spreadsheets/d/1DliIGyDywdzxhd4svtjaewR0p9Y5UBTMNMQ2PcXsqss"",""type data!E2:F""),2,FALSE),$G504)&amp;""/"",$H504)),""""))"),"")</f>
        <v/>
      </c>
      <c r="K504" s="5" t="b">
        <v>0</v>
      </c>
      <c r="L504" s="7"/>
      <c r="M504" s="7"/>
    </row>
    <row r="505">
      <c r="A505" s="3" t="s">
        <v>680</v>
      </c>
      <c r="B505" s="3">
        <v>27.0</v>
      </c>
      <c r="C505" s="3">
        <v>23.0</v>
      </c>
      <c r="D505" s="4">
        <v>49.1869144366002</v>
      </c>
      <c r="E505" s="4">
        <v>-2.0945797958223</v>
      </c>
      <c r="F505" s="3" t="s">
        <v>329</v>
      </c>
      <c r="G505" s="3" t="s">
        <v>330</v>
      </c>
      <c r="H505" s="5"/>
      <c r="I505" s="5"/>
      <c r="J505" s="7" t="str">
        <f>IFERROR(__xludf.DUMMYFUNCTION("IF(AND(REGEXMATCH($H505,""50( ?['fF]([oO]{2})?[tT]?)?( ?[eE][rR]{2}[oO][rR])"")=FALSE,$H505&lt;&gt;"""",$I505&lt;&gt;""""),HYPERLINK(""https://www.munzee.com/m/""&amp;$H505&amp;""/""&amp;$I505&amp;""/map/?lat=""&amp;$D505&amp;""&amp;lon=""&amp;$E505&amp;""&amp;type=""&amp;$G505&amp;""&amp;name=""&amp;SUBSTITUTE($A505,""#"&amp;""",""%23""),$H505&amp;""/""&amp;$I505),IF($H505&lt;&gt;"""",IF(REGEXMATCH($H505,""50( ?['fF]([oO]{2})?[tT]?)?( ?[eE][rR]{2}[oO][rR])""),HYPERLINK(""https://www.munzee.com/map/?sandbox=1&amp;lat=""&amp;$D505&amp;""&amp;lon=""&amp;$E505&amp;""&amp;name=""&amp;SUBSTITUTE($A505,""#"",""%23""),""SANDBOX"""&amp;"),HYPERLINK(""https://www.munzee.com/m/""&amp;$H505&amp;""/deploys/0/type/""&amp;IFNA(VLOOKUP($G505,IMPORTRANGE(""https://docs.google.com/spreadsheets/d/1DliIGyDywdzxhd4svtjaewR0p9Y5UBTMNMQ2PcXsqss"",""type data!E2:F""),2,FALSE),$G505)&amp;""/"",$H505)),""""))"),"")</f>
        <v/>
      </c>
      <c r="K505" s="5" t="b">
        <v>0</v>
      </c>
      <c r="L505" s="7"/>
      <c r="M505" s="7"/>
    </row>
    <row r="506">
      <c r="A506" s="3" t="s">
        <v>681</v>
      </c>
      <c r="B506" s="3">
        <v>27.0</v>
      </c>
      <c r="C506" s="3">
        <v>24.0</v>
      </c>
      <c r="D506" s="4">
        <v>49.1868128037232</v>
      </c>
      <c r="E506" s="4">
        <v>-2.0944242976909</v>
      </c>
      <c r="F506" s="3" t="s">
        <v>250</v>
      </c>
      <c r="G506" s="3" t="s">
        <v>251</v>
      </c>
      <c r="H506" s="5" t="s">
        <v>41</v>
      </c>
      <c r="I506" s="5">
        <v>148.0</v>
      </c>
      <c r="J506" s="6" t="str">
        <f>IFERROR(__xludf.DUMMYFUNCTION("IF(AND(REGEXMATCH($H506,""50( ?['fF]([oO]{2})?[tT]?)?( ?[eE][rR]{2}[oO][rR])"")=FALSE,$H506&lt;&gt;"""",$I506&lt;&gt;""""),HYPERLINK(""https://www.munzee.com/m/""&amp;$H506&amp;""/""&amp;$I506&amp;""/map/?lat=""&amp;$D506&amp;""&amp;lon=""&amp;$E506&amp;""&amp;type=""&amp;$G506&amp;""&amp;name=""&amp;SUBSTITUTE($A506,""#"&amp;""",""%23""),$H506&amp;""/""&amp;$I506),IF($H506&lt;&gt;"""",IF(REGEXMATCH($H506,""50( ?['fF]([oO]{2})?[tT]?)?( ?[eE][rR]{2}[oO][rR])""),HYPERLINK(""https://www.munzee.com/map/?sandbox=1&amp;lat=""&amp;$D506&amp;""&amp;lon=""&amp;$E506&amp;""&amp;name=""&amp;SUBSTITUTE($A506,""#"",""%23""),""SANDBOX"""&amp;"),HYPERLINK(""https://www.munzee.com/m/""&amp;$H506&amp;""/deploys/0/type/""&amp;IFNA(VLOOKUP($G506,IMPORTRANGE(""https://docs.google.com/spreadsheets/d/1DliIGyDywdzxhd4svtjaewR0p9Y5UBTMNMQ2PcXsqss"",""type data!E2:F""),2,FALSE),$G506)&amp;""/"",$H506)),""""))"),"olliekins/148")</f>
        <v>olliekins/148</v>
      </c>
      <c r="K506" s="5" t="b">
        <v>1</v>
      </c>
      <c r="L506" s="7"/>
      <c r="M506" s="7"/>
    </row>
    <row r="507">
      <c r="A507" s="3" t="s">
        <v>682</v>
      </c>
      <c r="B507" s="3">
        <v>29.0</v>
      </c>
      <c r="C507" s="3">
        <v>16.0</v>
      </c>
      <c r="D507" s="4">
        <v>49.1874226009854</v>
      </c>
      <c r="E507" s="4">
        <v>-2.0959793291545</v>
      </c>
      <c r="F507" s="3" t="s">
        <v>683</v>
      </c>
      <c r="G507" s="3" t="s">
        <v>684</v>
      </c>
      <c r="H507" s="5" t="s">
        <v>45</v>
      </c>
      <c r="I507" s="5">
        <v>1934.0</v>
      </c>
      <c r="J507" s="6" t="str">
        <f>IFERROR(__xludf.DUMMYFUNCTION("IF(AND(REGEXMATCH($H507,""50( ?['fF]([oO]{2})?[tT]?)?( ?[eE][rR]{2}[oO][rR])"")=FALSE,$H507&lt;&gt;"""",$I507&lt;&gt;""""),HYPERLINK(""https://www.munzee.com/m/""&amp;$H507&amp;""/""&amp;$I507&amp;""/map/?lat=""&amp;$D507&amp;""&amp;lon=""&amp;$E507&amp;""&amp;type=""&amp;$G507&amp;""&amp;name=""&amp;SUBSTITUTE($A507,""#"&amp;""",""%23""),$H507&amp;""/""&amp;$I507),IF($H507&lt;&gt;"""",IF(REGEXMATCH($H507,""50( ?['fF]([oO]{2})?[tT]?)?( ?[eE][rR]{2}[oO][rR])""),HYPERLINK(""https://www.munzee.com/map/?sandbox=1&amp;lat=""&amp;$D507&amp;""&amp;lon=""&amp;$E507&amp;""&amp;name=""&amp;SUBSTITUTE($A507,""#"",""%23""),""SANDBOX"""&amp;"),HYPERLINK(""https://www.munzee.com/m/""&amp;$H507&amp;""/deploys/0/type/""&amp;IFNA(VLOOKUP($G507,IMPORTRANGE(""https://docs.google.com/spreadsheets/d/1DliIGyDywdzxhd4svtjaewR0p9Y5UBTMNMQ2PcXsqss"",""type data!E2:F""),2,FALSE),$G507)&amp;""/"",$H507)),""""))"),"technical13/1934")</f>
        <v>technical13/1934</v>
      </c>
      <c r="K507" s="5" t="b">
        <v>1</v>
      </c>
      <c r="L507" s="5"/>
      <c r="M507" s="7"/>
    </row>
  </sheetData>
  <customSheetViews>
    <customSheetView guid="{167F809F-9DDC-4FD9-99DF-9667C6CBDFB0}" filter="1" showAutoFilter="1">
      <autoFilter ref="$A$1:$M$507">
        <filterColumn colId="7">
          <filters>
            <filter val="Anetzet"/>
            <filter val="Sivontim"/>
            <filter val="Squ1rr3l"/>
            <filter val="wrose"/>
            <filter val="squirreledaway"/>
            <filter val="johnsjen"/>
            <filter val="Majsan"/>
            <filter val="TheEvilPoles"/>
            <filter val="Syrtene"/>
            <filter val="rgforsythe"/>
            <filter val="theirishduo"/>
            <filter val="hz"/>
            <filter val="ArchieRuby"/>
            <filter val="lanyasummer"/>
            <filter val="wemissmo"/>
            <filter val="Bearmomscouter"/>
            <filter val="olliekins"/>
            <filter val="scoutref"/>
            <filter val="NoahCache"/>
            <filter val="Miaiow"/>
            <filter val="ivwarrior"/>
            <filter val="xptwo"/>
            <filter val="iScreamBIue"/>
            <filter val="Arrrow"/>
            <filter val="Neta"/>
            <filter val="Attis"/>
            <filter val="Olliekins"/>
            <filter val="Littlemonsters77"/>
            <filter val="JRdaBoss"/>
            <filter val="pippy44"/>
            <filter val="Taxi343"/>
            <filter val="Cidinho"/>
            <filter val="destolkjes4ever"/>
            <filter val="cpmunz"/>
            <filter val="geckofreund"/>
            <filter val="Cinnamons"/>
            <filter val="Frostbyte13"/>
            <filter val="Bisquick2"/>
            <filter val="barefootguru"/>
            <filter val="5Star"/>
            <filter val="Moppett85"/>
            <filter val="crazycolorado"/>
            <filter val="90mile"/>
            <filter val="Pippy44"/>
            <filter val="WinterCheetah"/>
            <filter val="Vitalijus"/>
            <filter val="jacksparrow"/>
            <filter val="TheJenks7"/>
            <filter val="mobility"/>
            <filter val="NikitaStolk"/>
            <filter val="kiitokurre"/>
            <filter val="Derlame"/>
            <filter val="silleb"/>
            <filter val="Centern"/>
            <filter val="Herbie"/>
            <filter val="Peter1980"/>
            <filter val="Alzarius"/>
            <filter val="redshark78"/>
            <filter val="kellyat9"/>
            <filter val="Cachelady"/>
            <filter val="Franske"/>
            <filter val="SJClyde"/>
            <filter val="miaiow"/>
            <filter val="c-bn"/>
            <filter val="wally62"/>
            <filter val="crscousins"/>
            <filter val="IggiePiggie"/>
            <filter val="louisehen"/>
            <filter val="georeyna"/>
            <filter val="MaryJaneKitty"/>
            <filter val="rayannchick"/>
            <filter val="BonnieB1"/>
            <filter val="MsGiggler"/>
            <filter val="123xilef"/>
            <filter val="MeanderingMonkeys"/>
            <filter val="FindersGirl"/>
            <filter val="vadotech"/>
            <filter val="babyw"/>
            <filter val="JemmaJ1983"/>
            <filter val="teamsturms"/>
            <filter val="Lehmis"/>
            <filter val="Sportytaxi"/>
            <filter val="technical13"/>
            <filter val="Munzeeprof"/>
            <filter val="WVKiwi"/>
            <filter val="katinka3"/>
            <filter val="walktohere"/>
          </filters>
        </filterColumn>
        <filterColumn colId="10">
          <filters>
            <filter val="FALSE"/>
          </filters>
        </filterColumn>
      </autoFilter>
    </customSheetView>
    <customSheetView guid="{8B863836-2715-4A6D-AA54-1A113D7A18CF}" filter="1" showAutoFilter="1">
      <autoFilter ref="$A$1:$M$507">
        <filterColumn colId="5">
          <filters>
            <filter val="Crossbow"/>
          </filters>
        </filterColumn>
      </autoFilter>
    </customSheetView>
    <customSheetView guid="{1A933A6E-8B07-48FA-9F33-724AF73F6A82}" filter="1" showAutoFilter="1">
      <autoFilter ref="$A$1:$M$507">
        <filterColumn colId="5">
          <filters>
            <filter val="Catapult"/>
          </filters>
        </filterColumn>
      </autoFilter>
    </customSheetView>
  </customSheetViews>
  <conditionalFormatting sqref="A2:I507">
    <cfRule type="expression" dxfId="0" priority="1">
      <formula>IF(AND(OR($H2="",$I2=""),$K2=TRUE),TRUE,FALSE)</formula>
    </cfRule>
  </conditionalFormatting>
  <conditionalFormatting sqref="A2:K507">
    <cfRule type="expression" dxfId="1" priority="2">
      <formula>IF(AND($H2&lt;&gt;"",$I2&lt;&gt;"",$K2=TRUE),TRUE,FALSE)</formula>
    </cfRule>
  </conditionalFormatting>
  <conditionalFormatting sqref="A2:G507">
    <cfRule type="expression" dxfId="2" priority="3">
      <formula>IF($G2="POI",TRUE,FALSE)</formula>
    </cfRule>
  </conditionalFormatting>
  <conditionalFormatting sqref="A2:F507">
    <cfRule type="expression" dxfId="3" priority="4">
      <formula>IF($G2="timberwolf",TRUE,FALSE)</formula>
    </cfRule>
  </conditionalFormatting>
  <conditionalFormatting sqref="A2:F507">
    <cfRule type="expression" dxfId="4" priority="5">
      <formula>IF($G2="silver",TRUE,FALSE)</formula>
    </cfRule>
  </conditionalFormatting>
  <conditionalFormatting sqref="A2:F507">
    <cfRule type="expression" dxfId="5" priority="6">
      <formula>IF($G2="gray",TRUE,FALSE)</formula>
    </cfRule>
  </conditionalFormatting>
  <conditionalFormatting sqref="A2:F507">
    <cfRule type="expression" dxfId="6" priority="7">
      <formula>IF($G2="black",TRUE,FALSE)</formula>
    </cfRule>
  </conditionalFormatting>
  <conditionalFormatting sqref="A2:F507">
    <cfRule type="expression" dxfId="7" priority="8">
      <formula>IF($G2="orchid",TRUE,FALSE)</formula>
    </cfRule>
  </conditionalFormatting>
  <conditionalFormatting sqref="A2:F507">
    <cfRule type="expression" dxfId="8" priority="9">
      <formula>IF($G2="wisteria",TRUE,FALSE)</formula>
    </cfRule>
  </conditionalFormatting>
  <conditionalFormatting sqref="A2:F507">
    <cfRule type="expression" dxfId="9" priority="10">
      <formula>IF($G2="purple mountains majesty",TRUE,FALSE)</formula>
    </cfRule>
  </conditionalFormatting>
  <conditionalFormatting sqref="A2:F507">
    <cfRule type="expression" dxfId="10" priority="11">
      <formula>IF($G2="violet",TRUE,FALSE)</formula>
    </cfRule>
  </conditionalFormatting>
  <conditionalFormatting sqref="A2:F507">
    <cfRule type="expression" dxfId="11" priority="12">
      <formula>IF($G2="plum",TRUE,FALSE)</formula>
    </cfRule>
  </conditionalFormatting>
  <conditionalFormatting sqref="A2:F507">
    <cfRule type="expression" dxfId="12" priority="13">
      <formula>IF($G2="violet",TRUE,FALSE)</formula>
    </cfRule>
  </conditionalFormatting>
  <conditionalFormatting sqref="A2:F507">
    <cfRule type="expression" dxfId="13" priority="14">
      <formula>IF($G2="indigo",TRUE,FALSE)</formula>
    </cfRule>
  </conditionalFormatting>
  <conditionalFormatting sqref="A2:F507">
    <cfRule type="expression" dxfId="14" priority="15">
      <formula>IF($G2="blue",TRUE,FALSE)</formula>
    </cfRule>
  </conditionalFormatting>
  <conditionalFormatting sqref="A2:F507">
    <cfRule type="expression" dxfId="15" priority="16">
      <formula>IF($G2="cadet blue",TRUE,FALSE)</formula>
    </cfRule>
  </conditionalFormatting>
  <conditionalFormatting sqref="A2:F507">
    <cfRule type="expression" dxfId="16" priority="17">
      <formula>IF($G2="periwinkle",TRUE,FALSE)</formula>
    </cfRule>
  </conditionalFormatting>
  <conditionalFormatting sqref="A2:F507">
    <cfRule type="expression" dxfId="17" priority="18">
      <formula>IF($G2="cornflower",TRUE,FALSE)</formula>
    </cfRule>
  </conditionalFormatting>
  <conditionalFormatting sqref="A2:F507">
    <cfRule type="expression" dxfId="18" priority="19">
      <formula>IF($G2="blue green",TRUE,FALSE)</formula>
    </cfRule>
  </conditionalFormatting>
  <conditionalFormatting sqref="A2:F507">
    <cfRule type="expression" dxfId="19" priority="20">
      <formula>IF($G2="pacific blue",TRUE,FALSE)</formula>
    </cfRule>
  </conditionalFormatting>
  <conditionalFormatting sqref="A2:F507">
    <cfRule type="expression" dxfId="20" priority="21">
      <formula>IF($G2="cerulean",TRUE,FALSE)</formula>
    </cfRule>
  </conditionalFormatting>
  <conditionalFormatting sqref="A2:F507">
    <cfRule type="expression" dxfId="21" priority="22">
      <formula>IF($G2="robin egg blue",TRUE,FALSE)</formula>
    </cfRule>
  </conditionalFormatting>
  <conditionalFormatting sqref="A2:F507">
    <cfRule type="expression" dxfId="22" priority="23">
      <formula>IF($G2="turquoise blue",TRUE,FALSE)</formula>
    </cfRule>
  </conditionalFormatting>
  <conditionalFormatting sqref="A2:F507">
    <cfRule type="expression" dxfId="23" priority="24">
      <formula>IF($G2="sea green",TRUE,FALSE)</formula>
    </cfRule>
  </conditionalFormatting>
  <conditionalFormatting sqref="A2:F507">
    <cfRule type="expression" dxfId="24" priority="25">
      <formula>IF($G2="granny smith apple",TRUE,FALSE)</formula>
    </cfRule>
  </conditionalFormatting>
  <conditionalFormatting sqref="A2:F507">
    <cfRule type="expression" dxfId="25" priority="26">
      <formula>IF($G2="green",TRUE,FALSE)</formula>
    </cfRule>
  </conditionalFormatting>
  <conditionalFormatting sqref="A2:F507">
    <cfRule type="expression" dxfId="25" priority="27">
      <formula>IF($G2="green",TRUE,FALSE)</formula>
    </cfRule>
  </conditionalFormatting>
  <conditionalFormatting sqref="A2:F507">
    <cfRule type="expression" dxfId="26" priority="28">
      <formula>IF($G2="forest green",TRUE,FALSE)</formula>
    </cfRule>
  </conditionalFormatting>
  <conditionalFormatting sqref="A2:F507">
    <cfRule type="expression" dxfId="27" priority="29">
      <formula>IF($G2="asparagus",TRUE,FALSE)</formula>
    </cfRule>
  </conditionalFormatting>
  <conditionalFormatting sqref="A2:F507">
    <cfRule type="expression" dxfId="28" priority="30">
      <formula>IF($G2="olive green",TRUE,FALSE)</formula>
    </cfRule>
  </conditionalFormatting>
  <conditionalFormatting sqref="A2:F507">
    <cfRule type="expression" dxfId="29" priority="31">
      <formula>IF($G2="yellow green",TRUE,FALSE)</formula>
    </cfRule>
  </conditionalFormatting>
  <conditionalFormatting sqref="A2:F507">
    <cfRule type="expression" dxfId="30" priority="32">
      <formula>IF($G2="green yellow",TRUE,FALSE)</formula>
    </cfRule>
  </conditionalFormatting>
  <conditionalFormatting sqref="A2:F507">
    <cfRule type="expression" dxfId="31" priority="33">
      <formula>IF($G2="spring green",TRUE,FALSE)</formula>
    </cfRule>
  </conditionalFormatting>
  <conditionalFormatting sqref="A2:F507">
    <cfRule type="expression" dxfId="32" priority="34">
      <formula>IF($G2="gold",TRUE,FALSE)</formula>
    </cfRule>
  </conditionalFormatting>
  <conditionalFormatting sqref="A2:F507">
    <cfRule type="expression" dxfId="33" priority="35">
      <formula>IF($G2="yellow",TRUE,FALSE)</formula>
    </cfRule>
  </conditionalFormatting>
  <conditionalFormatting sqref="A2:F507">
    <cfRule type="expression" dxfId="34" priority="36">
      <formula>IF($G2="goldenrod",TRUE,FALSE)</formula>
    </cfRule>
  </conditionalFormatting>
  <conditionalFormatting sqref="A2:F507">
    <cfRule type="expression" dxfId="35" priority="37">
      <formula>IF($G2="dandelion",TRUE,FALSE)</formula>
    </cfRule>
  </conditionalFormatting>
  <conditionalFormatting sqref="A2:F507">
    <cfRule type="expression" dxfId="36" priority="38">
      <formula>IF($G2="burnt orange",TRUE,FALSE)</formula>
    </cfRule>
  </conditionalFormatting>
  <conditionalFormatting sqref="A2:F507">
    <cfRule type="expression" dxfId="37" priority="39">
      <formula>IF($G2="orange",TRUE,FALSE)</formula>
    </cfRule>
  </conditionalFormatting>
  <conditionalFormatting sqref="A2:F507">
    <cfRule type="expression" dxfId="38" priority="40">
      <formula>IF($G2="melon",TRUE,FALSE)</formula>
    </cfRule>
  </conditionalFormatting>
  <conditionalFormatting sqref="A2:F507">
    <cfRule type="expression" dxfId="39" priority="41">
      <formula>IF($G2="pink",TRUE,FALSE)</formula>
    </cfRule>
  </conditionalFormatting>
  <conditionalFormatting sqref="A2:F507">
    <cfRule type="expression" dxfId="40" priority="42">
      <formula>IF($G2="carnation pink",TRUE,FALSE)</formula>
    </cfRule>
  </conditionalFormatting>
  <conditionalFormatting sqref="A2:F507">
    <cfRule type="expression" dxfId="41" priority="43">
      <formula>IF($G2="mauvelous",TRUE,FALSE)</formula>
    </cfRule>
  </conditionalFormatting>
  <conditionalFormatting sqref="A2:F507">
    <cfRule type="expression" dxfId="42" priority="44">
      <formula>IF($G2="salmon",TRUE,FALSE)</formula>
    </cfRule>
  </conditionalFormatting>
  <conditionalFormatting sqref="A2:F507">
    <cfRule type="expression" dxfId="43" priority="45">
      <formula>IF($G2="tickle me pink",TRUE,FALSE)</formula>
    </cfRule>
  </conditionalFormatting>
  <conditionalFormatting sqref="A2:F507">
    <cfRule type="expression" dxfId="44" priority="46">
      <formula>IF($G2="magenta",TRUE,FALSE)</formula>
    </cfRule>
  </conditionalFormatting>
  <conditionalFormatting sqref="A2:F507">
    <cfRule type="expression" dxfId="45" priority="47">
      <formula>IF($G2="wild strawberry",TRUE,FALSE)</formula>
    </cfRule>
  </conditionalFormatting>
  <conditionalFormatting sqref="A2:F507">
    <cfRule type="expression" dxfId="46" priority="48">
      <formula>IF($G2="violet red",TRUE,FALSE)</formula>
    </cfRule>
  </conditionalFormatting>
  <conditionalFormatting sqref="A2:F507">
    <cfRule type="expression" dxfId="47" priority="49">
      <formula>IF($G2="red violet",TRUE,FALSE)</formula>
    </cfRule>
  </conditionalFormatting>
  <conditionalFormatting sqref="A2:F507">
    <cfRule type="expression" dxfId="48" priority="50">
      <formula>IF($G2="apricot",TRUE,FALSE)</formula>
    </cfRule>
  </conditionalFormatting>
  <conditionalFormatting sqref="A2:F507">
    <cfRule type="expression" dxfId="49" priority="51">
      <formula>IF($G2="peach",TRUE,FALSE)</formula>
    </cfRule>
  </conditionalFormatting>
  <conditionalFormatting sqref="A2:F507">
    <cfRule type="expression" dxfId="50" priority="52">
      <formula>IF($G2="macaroni and cheese",TRUE,FALSE)</formula>
    </cfRule>
  </conditionalFormatting>
  <conditionalFormatting sqref="A2:F507">
    <cfRule type="expression" dxfId="51" priority="53">
      <formula>IF($G2="tan",TRUE,FALSE)</formula>
    </cfRule>
  </conditionalFormatting>
  <conditionalFormatting sqref="A2:F507">
    <cfRule type="expression" dxfId="52" priority="54">
      <formula>IF($G2="burnt sienna",TRUE,FALSE)</formula>
    </cfRule>
  </conditionalFormatting>
  <conditionalFormatting sqref="A2:F507">
    <cfRule type="expression" dxfId="53" priority="55">
      <formula>IF($G2="bittersweet",TRUE,FALSE)</formula>
    </cfRule>
  </conditionalFormatting>
  <conditionalFormatting sqref="A2:F507">
    <cfRule type="expression" dxfId="54" priority="56">
      <formula>IF($G2="red orange",TRUE,FALSE)</formula>
    </cfRule>
  </conditionalFormatting>
  <conditionalFormatting sqref="A2:F507">
    <cfRule type="expression" dxfId="55" priority="57">
      <formula>IF($G2="scarlet",TRUE,FALSE)</formula>
    </cfRule>
  </conditionalFormatting>
  <conditionalFormatting sqref="A2:F507">
    <cfRule type="expression" dxfId="56" priority="58">
      <formula>IF($G2="red",TRUE,FALSE)</formula>
    </cfRule>
  </conditionalFormatting>
  <conditionalFormatting sqref="A2:F507">
    <cfRule type="expression" dxfId="57" priority="59">
      <formula>IF($G2="brick red",TRUE,FALSE)</formula>
    </cfRule>
  </conditionalFormatting>
  <conditionalFormatting sqref="A2:F507">
    <cfRule type="expression" dxfId="58" priority="60">
      <formula>IF($G2="mahogany",TRUE,FALSE)</formula>
    </cfRule>
  </conditionalFormatting>
  <conditionalFormatting sqref="A2:F507">
    <cfRule type="expression" dxfId="59" priority="61">
      <formula>IF($G2="chestnut",TRUE,FALSE)</formula>
    </cfRule>
  </conditionalFormatting>
  <conditionalFormatting sqref="A2:F507">
    <cfRule type="expression" dxfId="60" priority="62">
      <formula>IF($G2="tumbleweed",TRUE,FALSE)</formula>
    </cfRule>
  </conditionalFormatting>
  <conditionalFormatting sqref="A2:F507">
    <cfRule type="expression" dxfId="61" priority="63">
      <formula>IF($G2="raw sienna",TRUE,FALSE)</formula>
    </cfRule>
  </conditionalFormatting>
  <conditionalFormatting sqref="A2:F507">
    <cfRule type="expression" dxfId="62" priority="64">
      <formula>IF($G2="brown",TRUE,FALSE)</formula>
    </cfRule>
  </conditionalFormatting>
  <conditionalFormatting sqref="A2:F507">
    <cfRule type="expression" dxfId="63" priority="65">
      <formula>IF($G2="carrot",TRUE,FALSE)</formula>
    </cfRule>
  </conditionalFormatting>
  <conditionalFormatting sqref="A2:F507">
    <cfRule type="expression" dxfId="64" priority="66">
      <formula>IF($G2="peas",TRUE,FALSE)</formula>
    </cfRule>
  </conditionalFormatting>
  <conditionalFormatting sqref="A2:F507">
    <cfRule type="expression" dxfId="65" priority="67">
      <formula>IF($G2="championshiphorse",TRUE,FALSE)</formula>
    </cfRule>
  </conditionalFormatting>
  <conditionalFormatting sqref="A2:F507">
    <cfRule type="expression" dxfId="66" priority="68">
      <formula>IF($G2="eggs",TRUE,FALSE)</formula>
    </cfRule>
  </conditionalFormatting>
  <conditionalFormatting sqref="A2:F507">
    <cfRule type="expression" dxfId="67" priority="69">
      <formula>IF($G2="family",TRUE,FALSE)</formula>
    </cfRule>
  </conditionalFormatting>
  <conditionalFormatting sqref="A2:F507">
    <cfRule type="expression" dxfId="68" priority="70">
      <formula>IF($G2="field",TRUE,FALSE)</formula>
    </cfRule>
  </conditionalFormatting>
  <conditionalFormatting sqref="H2:J507 L2:L507">
    <cfRule type="expression" dxfId="69" priority="71">
      <formula>IF(AND($H2&lt;&gt;"",$I2&lt;&gt;"",$K2=FALSE),TRUE,FALSE)</formula>
    </cfRule>
  </conditionalFormatting>
  <conditionalFormatting sqref="H2:J507 L2:L507">
    <cfRule type="expression" dxfId="70" priority="72">
      <formula>IF(AND($H2&lt;&gt;"",$I2="",$K2=FALSE),TRUE,FALSE)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3" width="15.75"/>
    <col customWidth="1" min="4" max="4" width="18.88"/>
    <col customWidth="1" min="5" max="8" width="15.75"/>
  </cols>
  <sheetData>
    <row r="1" hidden="1">
      <c r="A1" s="3" t="s">
        <v>685</v>
      </c>
      <c r="B1" s="20" t="s">
        <v>686</v>
      </c>
      <c r="D1" s="21">
        <v>25.0</v>
      </c>
      <c r="F1" s="8"/>
      <c r="G1" s="8"/>
      <c r="H1" s="8"/>
    </row>
    <row r="2" hidden="1">
      <c r="A2" s="3" t="s">
        <v>685</v>
      </c>
      <c r="B2" s="20" t="s">
        <v>687</v>
      </c>
      <c r="D2" s="22" t="s">
        <v>688</v>
      </c>
      <c r="F2" s="8"/>
      <c r="G2" s="8"/>
      <c r="H2" s="8"/>
    </row>
    <row r="3" hidden="1">
      <c r="A3" s="3" t="s">
        <v>685</v>
      </c>
      <c r="B3" s="20" t="s">
        <v>689</v>
      </c>
      <c r="D3" s="22" t="s">
        <v>690</v>
      </c>
      <c r="F3" s="8"/>
      <c r="G3" s="8"/>
      <c r="H3" s="8"/>
    </row>
    <row r="4">
      <c r="A4" s="23" t="s">
        <v>691</v>
      </c>
    </row>
    <row r="6">
      <c r="A6" s="24" t="str">
        <f>HYPERLINK($D$2,"Coordination Chat")</f>
        <v>Coordination Chat</v>
      </c>
      <c r="B6" s="24" t="str">
        <f>HYPERLINK($D$3,"Map Link")</f>
        <v>Map Link</v>
      </c>
      <c r="C6" s="8"/>
      <c r="D6" s="25" t="s">
        <v>692</v>
      </c>
      <c r="E6" s="26">
        <f>SUM($E$8:$E1013)</f>
        <v>506</v>
      </c>
      <c r="F6" s="26">
        <f>SUM($F$8:$F1013)</f>
        <v>142</v>
      </c>
      <c r="G6" s="26">
        <f>SUM($G$8:$G1013)</f>
        <v>364</v>
      </c>
      <c r="H6" s="27">
        <f>IFERROR(F6/E6,"")</f>
        <v>0.2806324111</v>
      </c>
    </row>
    <row r="7">
      <c r="A7" s="3" t="s">
        <v>693</v>
      </c>
      <c r="D7" s="28" t="s">
        <v>694</v>
      </c>
      <c r="E7" s="29" t="s">
        <v>695</v>
      </c>
      <c r="F7" s="29" t="s">
        <v>12</v>
      </c>
      <c r="G7" s="29" t="s">
        <v>696</v>
      </c>
      <c r="H7" s="29" t="s">
        <v>697</v>
      </c>
    </row>
    <row r="8">
      <c r="D8" s="8" t="str">
        <f>IFERROR(__xludf.DUMMYFUNCTION("UNIQUE(Paw!$G2:G1013)"),"scarlet")</f>
        <v>scarlet</v>
      </c>
      <c r="E8" s="8">
        <f>IF($D8="","",COUNTIF(Paw!$G$2:$G1013, $D8))</f>
        <v>30</v>
      </c>
      <c r="F8" s="8">
        <f t="shared" ref="F8:F108" si="1">IF($D8="","",E8-G8)</f>
        <v>15</v>
      </c>
      <c r="G8" s="8">
        <f>IF($D8="","",COUNTIFS(Paw!$H$2:$H1013,"",Paw!$G$2:$G1013, $D8))</f>
        <v>15</v>
      </c>
      <c r="H8" s="30">
        <f t="shared" ref="H8:H108" si="2">IF($D8="","",F8/E8)</f>
        <v>0.5</v>
      </c>
    </row>
    <row r="9">
      <c r="D9" s="8" t="str">
        <f>IFERROR(__xludf.DUMMYFUNCTION("""COMPUTED_VALUE"""),"red orange")</f>
        <v>red orange</v>
      </c>
      <c r="E9" s="8">
        <f>IF($D9="","",COUNTIF(Paw!$G$2:$G1013, $D9))</f>
        <v>6</v>
      </c>
      <c r="F9" s="8">
        <f t="shared" si="1"/>
        <v>2</v>
      </c>
      <c r="G9" s="8">
        <f>IF($D9="","",COUNTIFS(Paw!$H$2:$H1013,"",Paw!$G$2:$G1013, $D9))</f>
        <v>4</v>
      </c>
      <c r="H9" s="30">
        <f t="shared" si="2"/>
        <v>0.3333333333</v>
      </c>
    </row>
    <row r="10">
      <c r="A10" s="3" t="s">
        <v>698</v>
      </c>
      <c r="D10" s="8" t="str">
        <f>IFERROR(__xludf.DUMMYFUNCTION("""COMPUTED_VALUE"""),"crossbow")</f>
        <v>crossbow</v>
      </c>
      <c r="E10" s="8">
        <f>IF($D10="","",COUNTIF(Paw!$G$2:$G1013, $D10))</f>
        <v>21</v>
      </c>
      <c r="F10" s="8">
        <f t="shared" si="1"/>
        <v>21</v>
      </c>
      <c r="G10" s="8">
        <f>IF($D10="","",COUNTIFS(Paw!$H$2:$H1013,"",Paw!$G$2:$G1013, $D10))</f>
        <v>0</v>
      </c>
      <c r="H10" s="30">
        <f t="shared" si="2"/>
        <v>1</v>
      </c>
    </row>
    <row r="11">
      <c r="D11" s="8" t="str">
        <f>IFERROR(__xludf.DUMMYFUNCTION("""COMPUTED_VALUE"""),"red")</f>
        <v>red</v>
      </c>
      <c r="E11" s="8">
        <f>IF($D11="","",COUNTIF(Paw!$G$2:$G1013, $D11))</f>
        <v>18</v>
      </c>
      <c r="F11" s="8">
        <f t="shared" si="1"/>
        <v>7</v>
      </c>
      <c r="G11" s="8">
        <f>IF($D11="","",COUNTIFS(Paw!$H$2:$H1013,"",Paw!$G$2:$G1013, $D11))</f>
        <v>11</v>
      </c>
      <c r="H11" s="30">
        <f t="shared" si="2"/>
        <v>0.3888888889</v>
      </c>
    </row>
    <row r="12">
      <c r="D12" s="8" t="str">
        <f>IFERROR(__xludf.DUMMYFUNCTION("""COMPUTED_VALUE"""),"bittersweet")</f>
        <v>bittersweet</v>
      </c>
      <c r="E12" s="8">
        <f>IF($D12="","",COUNTIF(Paw!$G$2:$G1013, $D12))</f>
        <v>2</v>
      </c>
      <c r="F12" s="8">
        <f t="shared" si="1"/>
        <v>2</v>
      </c>
      <c r="G12" s="8">
        <f>IF($D12="","",COUNTIFS(Paw!$H$2:$H1013,"",Paw!$G$2:$G1013, $D12))</f>
        <v>0</v>
      </c>
      <c r="H12" s="30">
        <f t="shared" si="2"/>
        <v>1</v>
      </c>
    </row>
    <row r="13">
      <c r="D13" s="8" t="str">
        <f>IFERROR(__xludf.DUMMYFUNCTION("""COMPUTED_VALUE"""),"citrine")</f>
        <v>citrine</v>
      </c>
      <c r="E13" s="8">
        <f>IF($D13="","",COUNTIF(Paw!$G$2:$G1013, $D13))</f>
        <v>54</v>
      </c>
      <c r="F13" s="8">
        <f t="shared" si="1"/>
        <v>9</v>
      </c>
      <c r="G13" s="8">
        <f>IF($D13="","",COUNTIFS(Paw!$H$2:$H1013,"",Paw!$G$2:$G1013, $D13))</f>
        <v>45</v>
      </c>
      <c r="H13" s="30">
        <f t="shared" si="2"/>
        <v>0.1666666667</v>
      </c>
    </row>
    <row r="14">
      <c r="D14" s="8" t="str">
        <f>IFERROR(__xludf.DUMMYFUNCTION("""COMPUTED_VALUE"""),"air mystery")</f>
        <v>air mystery</v>
      </c>
      <c r="E14" s="8">
        <f>IF($D14="","",COUNTIF(Paw!$G$2:$G1013, $D14))</f>
        <v>4</v>
      </c>
      <c r="F14" s="8">
        <f t="shared" si="1"/>
        <v>4</v>
      </c>
      <c r="G14" s="8">
        <f>IF($D14="","",COUNTIFS(Paw!$H$2:$H1013,"",Paw!$G$2:$G1013, $D14))</f>
        <v>0</v>
      </c>
      <c r="H14" s="30">
        <f t="shared" si="2"/>
        <v>1</v>
      </c>
    </row>
    <row r="15">
      <c r="D15" s="8" t="str">
        <f>IFERROR(__xludf.DUMMYFUNCTION("""COMPUTED_VALUE"""),"electric mystery")</f>
        <v>electric mystery</v>
      </c>
      <c r="E15" s="8">
        <f>IF($D15="","",COUNTIF(Paw!$G$2:$G1013, $D15))</f>
        <v>35</v>
      </c>
      <c r="F15" s="8">
        <f t="shared" si="1"/>
        <v>6</v>
      </c>
      <c r="G15" s="8">
        <f>IF($D15="","",COUNTIFS(Paw!$H$2:$H1013,"",Paw!$G$2:$G1013, $D15))</f>
        <v>29</v>
      </c>
      <c r="H15" s="30">
        <f t="shared" si="2"/>
        <v>0.1714285714</v>
      </c>
    </row>
    <row r="16">
      <c r="D16" s="8" t="str">
        <f>IFERROR(__xludf.DUMMYFUNCTION("""COMPUTED_VALUE"""),"burnt orange")</f>
        <v>burnt orange</v>
      </c>
      <c r="E16" s="8">
        <f>IF($D16="","",COUNTIF(Paw!$G$2:$G1013, $D16))</f>
        <v>7</v>
      </c>
      <c r="F16" s="8">
        <f t="shared" si="1"/>
        <v>3</v>
      </c>
      <c r="G16" s="8">
        <f>IF($D16="","",COUNTIFS(Paw!$H$2:$H1013,"",Paw!$G$2:$G1013, $D16))</f>
        <v>4</v>
      </c>
      <c r="H16" s="30">
        <f t="shared" si="2"/>
        <v>0.4285714286</v>
      </c>
    </row>
    <row r="17">
      <c r="D17" s="8" t="str">
        <f>IFERROR(__xludf.DUMMYFUNCTION("""COMPUTED_VALUE"""),"dandelion")</f>
        <v>dandelion</v>
      </c>
      <c r="E17" s="8">
        <f>IF($D17="","",COUNTIF(Paw!$G$2:$G1013, $D17))</f>
        <v>14</v>
      </c>
      <c r="F17" s="8">
        <f t="shared" si="1"/>
        <v>6</v>
      </c>
      <c r="G17" s="8">
        <f>IF($D17="","",COUNTIFS(Paw!$H$2:$H1013,"",Paw!$G$2:$G1013, $D17))</f>
        <v>8</v>
      </c>
      <c r="H17" s="30">
        <f t="shared" si="2"/>
        <v>0.4285714286</v>
      </c>
    </row>
    <row r="18">
      <c r="D18" s="8" t="str">
        <f>IFERROR(__xludf.DUMMYFUNCTION("""COMPUTED_VALUE"""),"orange")</f>
        <v>orange</v>
      </c>
      <c r="E18" s="8">
        <f>IF($D18="","",COUNTIF(Paw!$G$2:$G1013, $D18))</f>
        <v>4</v>
      </c>
      <c r="F18" s="8">
        <f t="shared" si="1"/>
        <v>2</v>
      </c>
      <c r="G18" s="8">
        <f>IF($D18="","",COUNTIFS(Paw!$H$2:$H1013,"",Paw!$G$2:$G1013, $D18))</f>
        <v>2</v>
      </c>
      <c r="H18" s="30">
        <f t="shared" si="2"/>
        <v>0.5</v>
      </c>
    </row>
    <row r="19">
      <c r="D19" s="8" t="str">
        <f>IFERROR(__xludf.DUMMYFUNCTION("""COMPUTED_VALUE"""),"spring green")</f>
        <v>spring green</v>
      </c>
      <c r="E19" s="8">
        <f>IF($D19="","",COUNTIF(Paw!$G$2:$G1013, $D19))</f>
        <v>3</v>
      </c>
      <c r="F19" s="8">
        <f t="shared" si="1"/>
        <v>2</v>
      </c>
      <c r="G19" s="8">
        <f>IF($D19="","",COUNTIFS(Paw!$H$2:$H1013,"",Paw!$G$2:$G1013, $D19))</f>
        <v>1</v>
      </c>
      <c r="H19" s="30">
        <f t="shared" si="2"/>
        <v>0.6666666667</v>
      </c>
    </row>
    <row r="20">
      <c r="D20" s="8" t="str">
        <f>IFERROR(__xludf.DUMMYFUNCTION("""COMPUTED_VALUE"""),"white")</f>
        <v>white</v>
      </c>
      <c r="E20" s="8">
        <f>IF($D20="","",COUNTIF(Paw!$G$2:$G1013, $D20))</f>
        <v>11</v>
      </c>
      <c r="F20" s="8">
        <f t="shared" si="1"/>
        <v>6</v>
      </c>
      <c r="G20" s="8">
        <f>IF($D20="","",COUNTIFS(Paw!$H$2:$H1013,"",Paw!$G$2:$G1013, $D20))</f>
        <v>5</v>
      </c>
      <c r="H20" s="30">
        <f t="shared" si="2"/>
        <v>0.5454545455</v>
      </c>
    </row>
    <row r="21">
      <c r="D21" s="8" t="str">
        <f>IFERROR(__xludf.DUMMYFUNCTION("""COMPUTED_VALUE"""),"yellow green")</f>
        <v>yellow green</v>
      </c>
      <c r="E21" s="8">
        <f>IF($D21="","",COUNTIF(Paw!$G$2:$G1013, $D21))</f>
        <v>4</v>
      </c>
      <c r="F21" s="8">
        <f t="shared" si="1"/>
        <v>1</v>
      </c>
      <c r="G21" s="8">
        <f>IF($D21="","",COUNTIFS(Paw!$H$2:$H1013,"",Paw!$G$2:$G1013, $D21))</f>
        <v>3</v>
      </c>
      <c r="H21" s="30">
        <f t="shared" si="2"/>
        <v>0.25</v>
      </c>
    </row>
    <row r="22">
      <c r="D22" s="8" t="str">
        <f>IFERROR(__xludf.DUMMYFUNCTION("""COMPUTED_VALUE"""),"asparagus")</f>
        <v>asparagus</v>
      </c>
      <c r="E22" s="8">
        <f>IF($D22="","",COUNTIF(Paw!$G$2:$G1013, $D22))</f>
        <v>2</v>
      </c>
      <c r="F22" s="8">
        <f t="shared" si="1"/>
        <v>1</v>
      </c>
      <c r="G22" s="8">
        <f>IF($D22="","",COUNTIFS(Paw!$H$2:$H1013,"",Paw!$G$2:$G1013, $D22))</f>
        <v>1</v>
      </c>
      <c r="H22" s="30">
        <f t="shared" si="2"/>
        <v>0.5</v>
      </c>
    </row>
    <row r="23">
      <c r="D23" s="8" t="str">
        <f>IFERROR(__xludf.DUMMYFUNCTION("""COMPUTED_VALUE"""),"green")</f>
        <v>green</v>
      </c>
      <c r="E23" s="8">
        <f>IF($D23="","",COUNTIF(Paw!$G$2:$G1013, $D23))</f>
        <v>46</v>
      </c>
      <c r="F23" s="8">
        <f t="shared" si="1"/>
        <v>8</v>
      </c>
      <c r="G23" s="8">
        <f>IF($D23="","",COUNTIFS(Paw!$H$2:$H1013,"",Paw!$G$2:$G1013, $D23))</f>
        <v>38</v>
      </c>
      <c r="H23" s="30">
        <f t="shared" si="2"/>
        <v>0.1739130435</v>
      </c>
    </row>
    <row r="24">
      <c r="D24" s="8" t="str">
        <f>IFERROR(__xludf.DUMMYFUNCTION("""COMPUTED_VALUE"""),"olive green")</f>
        <v>olive green</v>
      </c>
      <c r="E24" s="8">
        <f>IF($D24="","",COUNTIF(Paw!$G$2:$G1013, $D24))</f>
        <v>3</v>
      </c>
      <c r="F24" s="8">
        <f t="shared" si="1"/>
        <v>1</v>
      </c>
      <c r="G24" s="8">
        <f>IF($D24="","",COUNTIFS(Paw!$H$2:$H1013,"",Paw!$G$2:$G1013, $D24))</f>
        <v>2</v>
      </c>
      <c r="H24" s="30">
        <f t="shared" si="2"/>
        <v>0.3333333333</v>
      </c>
    </row>
    <row r="25">
      <c r="D25" s="8" t="str">
        <f>IFERROR(__xludf.DUMMYFUNCTION("""COMPUTED_VALUE"""),"sapphire")</f>
        <v>sapphire</v>
      </c>
      <c r="E25" s="8">
        <f>IF($D25="","",COUNTIF(Paw!$G$2:$G1013, $D25))</f>
        <v>52</v>
      </c>
      <c r="F25" s="8">
        <f t="shared" si="1"/>
        <v>23</v>
      </c>
      <c r="G25" s="8">
        <f>IF($D25="","",COUNTIFS(Paw!$H$2:$H1013,"",Paw!$G$2:$G1013, $D25))</f>
        <v>29</v>
      </c>
      <c r="H25" s="30">
        <f t="shared" si="2"/>
        <v>0.4423076923</v>
      </c>
    </row>
    <row r="26">
      <c r="D26" s="8" t="str">
        <f>IFERROR(__xludf.DUMMYFUNCTION("""COMPUTED_VALUE"""),"catapult")</f>
        <v>catapult</v>
      </c>
      <c r="E26" s="8">
        <f>IF($D26="","",COUNTIF(Paw!$G$2:$G1013, $D26))</f>
        <v>8</v>
      </c>
      <c r="F26" s="8">
        <f t="shared" si="1"/>
        <v>8</v>
      </c>
      <c r="G26" s="8">
        <f>IF($D26="","",COUNTIFS(Paw!$H$2:$H1013,"",Paw!$G$2:$G1013, $D26))</f>
        <v>0</v>
      </c>
      <c r="H26" s="30">
        <f t="shared" si="2"/>
        <v>1</v>
      </c>
    </row>
    <row r="27">
      <c r="A27" s="31"/>
      <c r="B27" s="31"/>
      <c r="C27" s="31"/>
      <c r="D27" s="8" t="str">
        <f>IFERROR(__xludf.DUMMYFUNCTION("""COMPUTED_VALUE"""),"robin egg blue")</f>
        <v>robin egg blue</v>
      </c>
      <c r="E27" s="8">
        <f>IF($D27="","",COUNTIF(Paw!$G$2:$G1013, $D27))</f>
        <v>25</v>
      </c>
      <c r="F27" s="8">
        <f t="shared" si="1"/>
        <v>1</v>
      </c>
      <c r="G27" s="8">
        <f>IF($D27="","",COUNTIFS(Paw!$H$2:$H1013,"",Paw!$G$2:$G1013, $D27))</f>
        <v>24</v>
      </c>
      <c r="H27" s="30">
        <f t="shared" si="2"/>
        <v>0.04</v>
      </c>
    </row>
    <row r="28">
      <c r="A28" s="32" t="str">
        <f>IFERROR(__xludf.DUMMYFUNCTION("(""Top ""&amp;IF(COUNTUNIQUE(Paw!$H$2:$H1013)=1,"" Placer:"",IF(COUNTUNIQUE(Paw!$H$2:$H1013)&lt;$D$1,"""",$D$1&amp;"" of "")&amp;COUNTUNIQUE(Paw!$H$2:$H1013)&amp;"" Placers:""))"),"Top 25 of 88 Placers:")</f>
        <v>Top 25 of 88 Placers:</v>
      </c>
      <c r="B28" s="31"/>
      <c r="C28" s="33"/>
      <c r="D28" s="8" t="str">
        <f>IFERROR(__xludf.DUMMYFUNCTION("""COMPUTED_VALUE"""),"amethyst")</f>
        <v>amethyst</v>
      </c>
      <c r="E28" s="8">
        <f>IF($D28="","",COUNTIF(Paw!$G$2:$G1013, $D28))</f>
        <v>26</v>
      </c>
      <c r="F28" s="8">
        <f t="shared" si="1"/>
        <v>1</v>
      </c>
      <c r="G28" s="8">
        <f>IF($D28="","",COUNTIFS(Paw!$H$2:$H1013,"",Paw!$G$2:$G1013, $D28))</f>
        <v>25</v>
      </c>
      <c r="H28" s="30">
        <f t="shared" si="2"/>
        <v>0.03846153846</v>
      </c>
    </row>
    <row r="29">
      <c r="A29" s="34" t="str">
        <f>IFERROR(__xludf.DUMMYFUNCTION("QUERY(Paw!$H$2:$I1013, ""select H, count(H), count(I) where H != '' group by H order by count(I) desc, count(H) desc, H limit ""&amp;$D$1&amp;"" label H 'Username', count(H) 'Promised', count(I) 'Placed'"", 0)"),"Username")</f>
        <v>Username</v>
      </c>
      <c r="B29" s="35" t="str">
        <f>IFERROR(__xludf.DUMMYFUNCTION("""COMPUTED_VALUE"""),"Promised")</f>
        <v>Promised</v>
      </c>
      <c r="C29" s="36" t="str">
        <f>IFERROR(__xludf.DUMMYFUNCTION("""COMPUTED_VALUE"""),"Placed")</f>
        <v>Placed</v>
      </c>
      <c r="D29" s="8" t="str">
        <f>IFERROR(__xludf.DUMMYFUNCTION("""COMPUTED_VALUE"""),"granny smith apple")</f>
        <v>granny smith apple</v>
      </c>
      <c r="E29" s="8">
        <f>IF($D29="","",COUNTIF(Paw!$G$2:$G1013, $D29))</f>
        <v>1</v>
      </c>
      <c r="F29" s="8">
        <f t="shared" si="1"/>
        <v>0</v>
      </c>
      <c r="G29" s="8">
        <f>IF($D29="","",COUNTIFS(Paw!$H$2:$H1013,"",Paw!$G$2:$G1013, $D29))</f>
        <v>1</v>
      </c>
      <c r="H29" s="30">
        <f t="shared" si="2"/>
        <v>0</v>
      </c>
    </row>
    <row r="30">
      <c r="A30" s="37" t="str">
        <f>IFERROR(__xludf.DUMMYFUNCTION("""COMPUTED_VALUE"""),"Bisquick2")</f>
        <v>Bisquick2</v>
      </c>
      <c r="B30" s="38">
        <f>IFERROR(__xludf.DUMMYFUNCTION("""COMPUTED_VALUE"""),6.0)</f>
        <v>6</v>
      </c>
      <c r="C30" s="39">
        <f>IFERROR(__xludf.DUMMYFUNCTION("""COMPUTED_VALUE"""),6.0)</f>
        <v>6</v>
      </c>
      <c r="D30" s="8" t="str">
        <f>IFERROR(__xludf.DUMMYFUNCTION("""COMPUTED_VALUE"""),"onyx")</f>
        <v>onyx</v>
      </c>
      <c r="E30" s="8">
        <f>IF($D30="","",COUNTIF(Paw!$G$2:$G1013, $D30))</f>
        <v>19</v>
      </c>
      <c r="F30" s="8">
        <f t="shared" si="1"/>
        <v>1</v>
      </c>
      <c r="G30" s="8">
        <f>IF($D30="","",COUNTIFS(Paw!$H$2:$H1013,"",Paw!$G$2:$G1013, $D30))</f>
        <v>18</v>
      </c>
      <c r="H30" s="30">
        <f t="shared" si="2"/>
        <v>0.05263157895</v>
      </c>
    </row>
    <row r="31">
      <c r="A31" s="40" t="str">
        <f>IFERROR(__xludf.DUMMYFUNCTION("""COMPUTED_VALUE"""),"pippy44 ")</f>
        <v>pippy44 </v>
      </c>
      <c r="B31" s="41">
        <f>IFERROR(__xludf.DUMMYFUNCTION("""COMPUTED_VALUE"""),6.0)</f>
        <v>6</v>
      </c>
      <c r="C31" s="42">
        <f>IFERROR(__xludf.DUMMYFUNCTION("""COMPUTED_VALUE"""),5.0)</f>
        <v>5</v>
      </c>
      <c r="D31" s="8" t="str">
        <f>IFERROR(__xludf.DUMMYFUNCTION("""COMPUTED_VALUE"""),"turquoise blue")</f>
        <v>turquoise blue</v>
      </c>
      <c r="E31" s="8">
        <f>IF($D31="","",COUNTIF(Paw!$G$2:$G1013, $D31))</f>
        <v>3</v>
      </c>
      <c r="F31" s="8">
        <f t="shared" si="1"/>
        <v>0</v>
      </c>
      <c r="G31" s="8">
        <f>IF($D31="","",COUNTIFS(Paw!$H$2:$H1013,"",Paw!$G$2:$G1013, $D31))</f>
        <v>3</v>
      </c>
      <c r="H31" s="30">
        <f t="shared" si="2"/>
        <v>0</v>
      </c>
    </row>
    <row r="32">
      <c r="A32" s="43" t="str">
        <f>IFERROR(__xludf.DUMMYFUNCTION("""COMPUTED_VALUE"""),"cpmunz")</f>
        <v>cpmunz</v>
      </c>
      <c r="B32" s="44">
        <f>IFERROR(__xludf.DUMMYFUNCTION("""COMPUTED_VALUE"""),5.0)</f>
        <v>5</v>
      </c>
      <c r="C32" s="45">
        <f>IFERROR(__xludf.DUMMYFUNCTION("""COMPUTED_VALUE"""),5.0)</f>
        <v>5</v>
      </c>
      <c r="D32" s="8" t="str">
        <f>IFERROR(__xludf.DUMMYFUNCTION("""COMPUTED_VALUE"""),"surprise")</f>
        <v>surprise</v>
      </c>
      <c r="E32" s="8">
        <f>IF($D32="","",COUNTIF(Paw!$G$2:$G1013, $D32))</f>
        <v>54</v>
      </c>
      <c r="F32" s="8">
        <f t="shared" si="1"/>
        <v>8</v>
      </c>
      <c r="G32" s="8">
        <f>IF($D32="","",COUNTIFS(Paw!$H$2:$H1013,"",Paw!$G$2:$G1013, $D32))</f>
        <v>46</v>
      </c>
      <c r="H32" s="30">
        <f t="shared" si="2"/>
        <v>0.1481481481</v>
      </c>
    </row>
    <row r="33">
      <c r="A33" s="46" t="str">
        <f>IFERROR(__xludf.DUMMYFUNCTION("""COMPUTED_VALUE"""),"kellyat9")</f>
        <v>kellyat9</v>
      </c>
      <c r="B33" s="47">
        <f>IFERROR(__xludf.DUMMYFUNCTION("""COMPUTED_VALUE"""),5.0)</f>
        <v>5</v>
      </c>
      <c r="C33" s="48">
        <f>IFERROR(__xludf.DUMMYFUNCTION("""COMPUTED_VALUE"""),5.0)</f>
        <v>5</v>
      </c>
      <c r="D33" s="8" t="str">
        <f>IFERROR(__xludf.DUMMYFUNCTION("""COMPUTED_VALUE"""),"blue violet")</f>
        <v>blue violet</v>
      </c>
      <c r="E33" s="8">
        <f>IF($D33="","",COUNTIF(Paw!$G$2:$G1013, $D33))</f>
        <v>4</v>
      </c>
      <c r="F33" s="8">
        <f t="shared" si="1"/>
        <v>0</v>
      </c>
      <c r="G33" s="8">
        <f>IF($D33="","",COUNTIFS(Paw!$H$2:$H1013,"",Paw!$G$2:$G1013, $D33))</f>
        <v>4</v>
      </c>
      <c r="H33" s="30">
        <f t="shared" si="2"/>
        <v>0</v>
      </c>
    </row>
    <row r="34">
      <c r="A34" s="49" t="str">
        <f>IFERROR(__xludf.DUMMYFUNCTION("""COMPUTED_VALUE"""),"MaryJaneKitty")</f>
        <v>MaryJaneKitty</v>
      </c>
      <c r="B34" s="50">
        <f>IFERROR(__xludf.DUMMYFUNCTION("""COMPUTED_VALUE"""),5.0)</f>
        <v>5</v>
      </c>
      <c r="C34" s="51">
        <f>IFERROR(__xludf.DUMMYFUNCTION("""COMPUTED_VALUE"""),5.0)</f>
        <v>5</v>
      </c>
      <c r="D34" s="8" t="str">
        <f>IFERROR(__xludf.DUMMYFUNCTION("""COMPUTED_VALUE"""),"black")</f>
        <v>black</v>
      </c>
      <c r="E34" s="8">
        <f>IF($D34="","",COUNTIF(Paw!$G$2:$G1013, $D34))</f>
        <v>23</v>
      </c>
      <c r="F34" s="8">
        <f t="shared" si="1"/>
        <v>1</v>
      </c>
      <c r="G34" s="8">
        <f>IF($D34="","",COUNTIFS(Paw!$H$2:$H1013,"",Paw!$G$2:$G1013, $D34))</f>
        <v>22</v>
      </c>
      <c r="H34" s="30">
        <f t="shared" si="2"/>
        <v>0.04347826087</v>
      </c>
    </row>
    <row r="35">
      <c r="A35" s="52" t="str">
        <f>IFERROR(__xludf.DUMMYFUNCTION("""COMPUTED_VALUE"""),"Miaiow")</f>
        <v>Miaiow</v>
      </c>
      <c r="B35" s="53">
        <f>IFERROR(__xludf.DUMMYFUNCTION("""COMPUTED_VALUE"""),5.0)</f>
        <v>5</v>
      </c>
      <c r="C35" s="54">
        <f>IFERROR(__xludf.DUMMYFUNCTION("""COMPUTED_VALUE"""),5.0)</f>
        <v>5</v>
      </c>
      <c r="D35" s="8" t="str">
        <f>IFERROR(__xludf.DUMMYFUNCTION("""COMPUTED_VALUE"""),"forest green")</f>
        <v>forest green</v>
      </c>
      <c r="E35" s="8">
        <f>IF($D35="","",COUNTIF(Paw!$G$2:$G1013, $D35))</f>
        <v>2</v>
      </c>
      <c r="F35" s="8">
        <f t="shared" si="1"/>
        <v>0</v>
      </c>
      <c r="G35" s="8">
        <f>IF($D35="","",COUNTIFS(Paw!$H$2:$H1013,"",Paw!$G$2:$G1013, $D35))</f>
        <v>2</v>
      </c>
      <c r="H35" s="30">
        <f t="shared" si="2"/>
        <v>0</v>
      </c>
    </row>
    <row r="36">
      <c r="A36" s="52" t="str">
        <f>IFERROR(__xludf.DUMMYFUNCTION("""COMPUTED_VALUE"""),"louisehen")</f>
        <v>louisehen</v>
      </c>
      <c r="B36" s="53">
        <f>IFERROR(__xludf.DUMMYFUNCTION("""COMPUTED_VALUE"""),4.0)</f>
        <v>4</v>
      </c>
      <c r="C36" s="54">
        <f>IFERROR(__xludf.DUMMYFUNCTION("""COMPUTED_VALUE"""),4.0)</f>
        <v>4</v>
      </c>
      <c r="D36" s="8" t="str">
        <f>IFERROR(__xludf.DUMMYFUNCTION("""COMPUTED_VALUE"""),"blue")</f>
        <v>blue</v>
      </c>
      <c r="E36" s="8">
        <f>IF($D36="","",COUNTIF(Paw!$G$2:$G1013, $D36))</f>
        <v>9</v>
      </c>
      <c r="F36" s="8">
        <f t="shared" si="1"/>
        <v>0</v>
      </c>
      <c r="G36" s="8">
        <f>IF($D36="","",COUNTIFS(Paw!$H$2:$H1013,"",Paw!$G$2:$G1013, $D36))</f>
        <v>9</v>
      </c>
      <c r="H36" s="30">
        <f t="shared" si="2"/>
        <v>0</v>
      </c>
    </row>
    <row r="37">
      <c r="A37" s="52" t="str">
        <f>IFERROR(__xludf.DUMMYFUNCTION("""COMPUTED_VALUE"""),"miaiow")</f>
        <v>miaiow</v>
      </c>
      <c r="B37" s="53">
        <f>IFERROR(__xludf.DUMMYFUNCTION("""COMPUTED_VALUE"""),4.0)</f>
        <v>4</v>
      </c>
      <c r="C37" s="54">
        <f>IFERROR(__xludf.DUMMYFUNCTION("""COMPUTED_VALUE"""),4.0)</f>
        <v>4</v>
      </c>
      <c r="D37" s="8" t="str">
        <f>IFERROR(__xludf.DUMMYFUNCTION("""COMPUTED_VALUE"""),"plum")</f>
        <v>plum</v>
      </c>
      <c r="E37" s="8">
        <f>IF($D37="","",COUNTIF(Paw!$G$2:$G1013, $D37))</f>
        <v>3</v>
      </c>
      <c r="F37" s="8">
        <f t="shared" si="1"/>
        <v>0</v>
      </c>
      <c r="G37" s="8">
        <f>IF($D37="","",COUNTIFS(Paw!$H$2:$H1013,"",Paw!$G$2:$G1013, $D37))</f>
        <v>3</v>
      </c>
      <c r="H37" s="30">
        <f t="shared" si="2"/>
        <v>0</v>
      </c>
    </row>
    <row r="38">
      <c r="A38" s="52" t="str">
        <f>IFERROR(__xludf.DUMMYFUNCTION("""COMPUTED_VALUE"""),"olliekins")</f>
        <v>olliekins</v>
      </c>
      <c r="B38" s="53">
        <f>IFERROR(__xludf.DUMMYFUNCTION("""COMPUTED_VALUE"""),4.0)</f>
        <v>4</v>
      </c>
      <c r="C38" s="54">
        <f>IFERROR(__xludf.DUMMYFUNCTION("""COMPUTED_VALUE"""),4.0)</f>
        <v>4</v>
      </c>
      <c r="D38" s="8" t="str">
        <f>IFERROR(__xludf.DUMMYFUNCTION("""COMPUTED_VALUE"""),"indigo")</f>
        <v>indigo</v>
      </c>
      <c r="E38" s="8">
        <f>IF($D38="","",COUNTIF(Paw!$G$2:$G1013, $D38))</f>
        <v>5</v>
      </c>
      <c r="F38" s="8">
        <f t="shared" si="1"/>
        <v>0</v>
      </c>
      <c r="G38" s="8">
        <f>IF($D38="","",COUNTIFS(Paw!$H$2:$H1013,"",Paw!$G$2:$G1013, $D38))</f>
        <v>5</v>
      </c>
      <c r="H38" s="30">
        <f t="shared" si="2"/>
        <v>0</v>
      </c>
    </row>
    <row r="39">
      <c r="A39" s="43" t="str">
        <f>IFERROR(__xludf.DUMMYFUNCTION("""COMPUTED_VALUE"""),"rgforsythe")</f>
        <v>rgforsythe</v>
      </c>
      <c r="B39" s="44">
        <f>IFERROR(__xludf.DUMMYFUNCTION("""COMPUTED_VALUE"""),4.0)</f>
        <v>4</v>
      </c>
      <c r="C39" s="45">
        <f>IFERROR(__xludf.DUMMYFUNCTION("""COMPUTED_VALUE"""),4.0)</f>
        <v>4</v>
      </c>
      <c r="D39" s="8" t="str">
        <f>IFERROR(__xludf.DUMMYFUNCTION("""COMPUTED_VALUE"""),"blue green")</f>
        <v>blue green</v>
      </c>
      <c r="E39" s="8">
        <f>IF($D39="","",COUNTIF(Paw!$G$2:$G1013, $D39))</f>
        <v>3</v>
      </c>
      <c r="F39" s="8">
        <f t="shared" si="1"/>
        <v>0</v>
      </c>
      <c r="G39" s="8">
        <f>IF($D39="","",COUNTIFS(Paw!$H$2:$H1013,"",Paw!$G$2:$G1013, $D39))</f>
        <v>3</v>
      </c>
      <c r="H39" s="30">
        <f t="shared" si="2"/>
        <v>0</v>
      </c>
    </row>
    <row r="40">
      <c r="A40" s="52" t="str">
        <f>IFERROR(__xludf.DUMMYFUNCTION("""COMPUTED_VALUE"""),"vadotech")</f>
        <v>vadotech</v>
      </c>
      <c r="B40" s="53">
        <f>IFERROR(__xludf.DUMMYFUNCTION("""COMPUTED_VALUE"""),4.0)</f>
        <v>4</v>
      </c>
      <c r="C40" s="54">
        <f>IFERROR(__xludf.DUMMYFUNCTION("""COMPUTED_VALUE"""),4.0)</f>
        <v>4</v>
      </c>
      <c r="D40" s="8" t="str">
        <f>IFERROR(__xludf.DUMMYFUNCTION("""COMPUTED_VALUE"""),"cerulean")</f>
        <v>cerulean</v>
      </c>
      <c r="E40" s="8">
        <f>IF($D40="","",COUNTIF(Paw!$G$2:$G1013, $D40))</f>
        <v>2</v>
      </c>
      <c r="F40" s="8">
        <f t="shared" si="1"/>
        <v>0</v>
      </c>
      <c r="G40" s="8">
        <f>IF($D40="","",COUNTIFS(Paw!$H$2:$H1013,"",Paw!$G$2:$G1013, $D40))</f>
        <v>2</v>
      </c>
      <c r="H40" s="30">
        <f t="shared" si="2"/>
        <v>0</v>
      </c>
    </row>
    <row r="41">
      <c r="A41" s="52" t="str">
        <f>IFERROR(__xludf.DUMMYFUNCTION("""COMPUTED_VALUE"""),"MsGiggler")</f>
        <v>MsGiggler</v>
      </c>
      <c r="B41" s="53">
        <f>IFERROR(__xludf.DUMMYFUNCTION("""COMPUTED_VALUE"""),3.0)</f>
        <v>3</v>
      </c>
      <c r="C41" s="54">
        <f>IFERROR(__xludf.DUMMYFUNCTION("""COMPUTED_VALUE"""),3.0)</f>
        <v>3</v>
      </c>
      <c r="D41" s="8" t="str">
        <f>IFERROR(__xludf.DUMMYFUNCTION("""COMPUTED_VALUE"""),"timberwolf")</f>
        <v>timberwolf</v>
      </c>
      <c r="E41" s="8">
        <f>IF($D41="","",COUNTIF(Paw!$G$2:$G1013, $D41))</f>
        <v>1</v>
      </c>
      <c r="F41" s="8">
        <f t="shared" si="1"/>
        <v>1</v>
      </c>
      <c r="G41" s="8">
        <f>IF($D41="","",COUNTIFS(Paw!$H$2:$H1013,"",Paw!$G$2:$G1013, $D41))</f>
        <v>0</v>
      </c>
      <c r="H41" s="30">
        <f t="shared" si="2"/>
        <v>1</v>
      </c>
    </row>
    <row r="42">
      <c r="A42" s="52" t="str">
        <f>IFERROR(__xludf.DUMMYFUNCTION("""COMPUTED_VALUE"""),"Sportytaxi ")</f>
        <v>Sportytaxi </v>
      </c>
      <c r="B42" s="53">
        <f>IFERROR(__xludf.DUMMYFUNCTION("""COMPUTED_VALUE"""),3.0)</f>
        <v>3</v>
      </c>
      <c r="C42" s="54">
        <f>IFERROR(__xludf.DUMMYFUNCTION("""COMPUTED_VALUE"""),3.0)</f>
        <v>3</v>
      </c>
      <c r="D42" s="8" t="str">
        <f>IFERROR(__xludf.DUMMYFUNCTION("""COMPUTED_VALUE"""),"pacific blue")</f>
        <v>pacific blue</v>
      </c>
      <c r="E42" s="8">
        <f>IF($D42="","",COUNTIF(Paw!$G$2:$G1013, $D42))</f>
        <v>1</v>
      </c>
      <c r="F42" s="8">
        <f t="shared" si="1"/>
        <v>1</v>
      </c>
      <c r="G42" s="8">
        <f>IF($D42="","",COUNTIFS(Paw!$H$2:$H1013,"",Paw!$G$2:$G1013, $D42))</f>
        <v>0</v>
      </c>
      <c r="H42" s="30">
        <f t="shared" si="2"/>
        <v>1</v>
      </c>
    </row>
    <row r="43">
      <c r="A43" s="52" t="str">
        <f>IFERROR(__xludf.DUMMYFUNCTION("""COMPUTED_VALUE"""),"walktohere")</f>
        <v>walktohere</v>
      </c>
      <c r="B43" s="53">
        <f>IFERROR(__xludf.DUMMYFUNCTION("""COMPUTED_VALUE"""),3.0)</f>
        <v>3</v>
      </c>
      <c r="C43" s="54">
        <f>IFERROR(__xludf.DUMMYFUNCTION("""COMPUTED_VALUE"""),3.0)</f>
        <v>3</v>
      </c>
      <c r="D43" s="8" t="str">
        <f>IFERROR(__xludf.DUMMYFUNCTION("""COMPUTED_VALUE"""),"POI")</f>
        <v>POI</v>
      </c>
      <c r="E43" s="8">
        <f>IF($D43="","",COUNTIF(Paw!$G$2:$G1013, $D43))</f>
        <v>1</v>
      </c>
      <c r="F43" s="8">
        <f t="shared" si="1"/>
        <v>1</v>
      </c>
      <c r="G43" s="8">
        <f>IF($D43="","",COUNTIFS(Paw!$H$2:$H1013,"",Paw!$G$2:$G1013, $D43))</f>
        <v>0</v>
      </c>
      <c r="H43" s="30">
        <f t="shared" si="2"/>
        <v>1</v>
      </c>
    </row>
    <row r="44">
      <c r="A44" s="43" t="str">
        <f>IFERROR(__xludf.DUMMYFUNCTION("""COMPUTED_VALUE"""),"123xilef")</f>
        <v>123xilef</v>
      </c>
      <c r="B44" s="44">
        <f>IFERROR(__xludf.DUMMYFUNCTION("""COMPUTED_VALUE"""),2.0)</f>
        <v>2</v>
      </c>
      <c r="C44" s="45">
        <f>IFERROR(__xludf.DUMMYFUNCTION("""COMPUTED_VALUE"""),2.0)</f>
        <v>2</v>
      </c>
      <c r="D44" s="8"/>
      <c r="E44" s="8" t="str">
        <f>IF($D44="","",COUNTIF(Paw!$G$2:$G1013, $D44))</f>
        <v/>
      </c>
      <c r="F44" s="8" t="str">
        <f t="shared" si="1"/>
        <v/>
      </c>
      <c r="G44" s="8" t="str">
        <f>IF($D44="","",COUNTIFS(Paw!$H$2:$H1013,"",Paw!$G$2:$G1013, $D44))</f>
        <v/>
      </c>
      <c r="H44" s="30" t="str">
        <f t="shared" si="2"/>
        <v/>
      </c>
    </row>
    <row r="45">
      <c r="A45" s="52" t="str">
        <f>IFERROR(__xludf.DUMMYFUNCTION("""COMPUTED_VALUE"""),"georeyna")</f>
        <v>georeyna</v>
      </c>
      <c r="B45" s="53">
        <f>IFERROR(__xludf.DUMMYFUNCTION("""COMPUTED_VALUE"""),2.0)</f>
        <v>2</v>
      </c>
      <c r="C45" s="54">
        <f>IFERROR(__xludf.DUMMYFUNCTION("""COMPUTED_VALUE"""),2.0)</f>
        <v>2</v>
      </c>
      <c r="D45" s="8"/>
      <c r="E45" s="8" t="str">
        <f>IF($D45="","",COUNTIF(Paw!$G$2:$G1013, $D45))</f>
        <v/>
      </c>
      <c r="F45" s="8" t="str">
        <f t="shared" si="1"/>
        <v/>
      </c>
      <c r="G45" s="8" t="str">
        <f>IF($D45="","",COUNTIFS(Paw!$H$2:$H1013,"",Paw!$G$2:$G1013, $D45))</f>
        <v/>
      </c>
      <c r="H45" s="30" t="str">
        <f t="shared" si="2"/>
        <v/>
      </c>
    </row>
    <row r="46">
      <c r="A46" s="52" t="str">
        <f>IFERROR(__xludf.DUMMYFUNCTION("""COMPUTED_VALUE"""),"IggiePiggie")</f>
        <v>IggiePiggie</v>
      </c>
      <c r="B46" s="53">
        <f>IFERROR(__xludf.DUMMYFUNCTION("""COMPUTED_VALUE"""),2.0)</f>
        <v>2</v>
      </c>
      <c r="C46" s="54">
        <f>IFERROR(__xludf.DUMMYFUNCTION("""COMPUTED_VALUE"""),2.0)</f>
        <v>2</v>
      </c>
      <c r="D46" s="8"/>
      <c r="E46" s="8" t="str">
        <f>IF($D46="","",COUNTIF(Paw!$G$2:$G1013, $D46))</f>
        <v/>
      </c>
      <c r="F46" s="8" t="str">
        <f t="shared" si="1"/>
        <v/>
      </c>
      <c r="G46" s="8" t="str">
        <f>IF($D46="","",COUNTIFS(Paw!$H$2:$H1013,"",Paw!$G$2:$G1013, $D46))</f>
        <v/>
      </c>
      <c r="H46" s="30" t="str">
        <f t="shared" si="2"/>
        <v/>
      </c>
    </row>
    <row r="47">
      <c r="A47" s="52" t="str">
        <f>IFERROR(__xludf.DUMMYFUNCTION("""COMPUTED_VALUE"""),"JemmaJ1983")</f>
        <v>JemmaJ1983</v>
      </c>
      <c r="B47" s="53">
        <f>IFERROR(__xludf.DUMMYFUNCTION("""COMPUTED_VALUE"""),2.0)</f>
        <v>2</v>
      </c>
      <c r="C47" s="54">
        <f>IFERROR(__xludf.DUMMYFUNCTION("""COMPUTED_VALUE"""),2.0)</f>
        <v>2</v>
      </c>
      <c r="D47" s="8"/>
      <c r="E47" s="8" t="str">
        <f>IF($D47="","",COUNTIF(Paw!$G$2:$G1013, $D47))</f>
        <v/>
      </c>
      <c r="F47" s="8" t="str">
        <f t="shared" si="1"/>
        <v/>
      </c>
      <c r="G47" s="8" t="str">
        <f>IF($D47="","",COUNTIFS(Paw!$H$2:$H1013,"",Paw!$G$2:$G1013, $D47))</f>
        <v/>
      </c>
      <c r="H47" s="30" t="str">
        <f t="shared" si="2"/>
        <v/>
      </c>
    </row>
    <row r="48">
      <c r="A48" s="43" t="str">
        <f>IFERROR(__xludf.DUMMYFUNCTION("""COMPUTED_VALUE"""),"NikitaStolk")</f>
        <v>NikitaStolk</v>
      </c>
      <c r="B48" s="44">
        <f>IFERROR(__xludf.DUMMYFUNCTION("""COMPUTED_VALUE"""),2.0)</f>
        <v>2</v>
      </c>
      <c r="C48" s="45">
        <f>IFERROR(__xludf.DUMMYFUNCTION("""COMPUTED_VALUE"""),2.0)</f>
        <v>2</v>
      </c>
      <c r="D48" s="8"/>
      <c r="E48" s="8" t="str">
        <f>IF($D48="","",COUNTIF(Paw!$G$2:$G1013, $D48))</f>
        <v/>
      </c>
      <c r="F48" s="8" t="str">
        <f t="shared" si="1"/>
        <v/>
      </c>
      <c r="G48" s="8" t="str">
        <f>IF($D48="","",COUNTIFS(Paw!$H$2:$H1013,"",Paw!$G$2:$G1013, $D48))</f>
        <v/>
      </c>
      <c r="H48" s="30" t="str">
        <f t="shared" si="2"/>
        <v/>
      </c>
    </row>
    <row r="49">
      <c r="A49" s="52" t="str">
        <f>IFERROR(__xludf.DUMMYFUNCTION("""COMPUTED_VALUE"""),"Taxi343")</f>
        <v>Taxi343</v>
      </c>
      <c r="B49" s="53">
        <f>IFERROR(__xludf.DUMMYFUNCTION("""COMPUTED_VALUE"""),2.0)</f>
        <v>2</v>
      </c>
      <c r="C49" s="54">
        <f>IFERROR(__xludf.DUMMYFUNCTION("""COMPUTED_VALUE"""),2.0)</f>
        <v>2</v>
      </c>
      <c r="D49" s="8"/>
      <c r="E49" s="8" t="str">
        <f>IF($D49="","",COUNTIF(Paw!$G$2:$G1013, $D49))</f>
        <v/>
      </c>
      <c r="F49" s="8" t="str">
        <f t="shared" si="1"/>
        <v/>
      </c>
      <c r="G49" s="8" t="str">
        <f>IF($D49="","",COUNTIFS(Paw!$H$2:$H1013,"",Paw!$G$2:$G1013, $D49))</f>
        <v/>
      </c>
      <c r="H49" s="30" t="str">
        <f t="shared" si="2"/>
        <v/>
      </c>
    </row>
    <row r="50">
      <c r="A50" s="52" t="str">
        <f>IFERROR(__xludf.DUMMYFUNCTION("""COMPUTED_VALUE"""),"technical13")</f>
        <v>technical13</v>
      </c>
      <c r="B50" s="53">
        <f>IFERROR(__xludf.DUMMYFUNCTION("""COMPUTED_VALUE"""),2.0)</f>
        <v>2</v>
      </c>
      <c r="C50" s="54">
        <f>IFERROR(__xludf.DUMMYFUNCTION("""COMPUTED_VALUE"""),2.0)</f>
        <v>2</v>
      </c>
      <c r="D50" s="8"/>
      <c r="E50" s="8" t="str">
        <f>IF($D50="","",COUNTIF(Paw!$G$2:$G1013, $D50))</f>
        <v/>
      </c>
      <c r="F50" s="8" t="str">
        <f t="shared" si="1"/>
        <v/>
      </c>
      <c r="G50" s="8" t="str">
        <f>IF($D50="","",COUNTIFS(Paw!$H$2:$H1013,"",Paw!$G$2:$G1013, $D50))</f>
        <v/>
      </c>
      <c r="H50" s="30" t="str">
        <f t="shared" si="2"/>
        <v/>
      </c>
    </row>
    <row r="51">
      <c r="A51" s="52" t="str">
        <f>IFERROR(__xludf.DUMMYFUNCTION("""COMPUTED_VALUE"""),"5Star")</f>
        <v>5Star</v>
      </c>
      <c r="B51" s="53">
        <f>IFERROR(__xludf.DUMMYFUNCTION("""COMPUTED_VALUE"""),1.0)</f>
        <v>1</v>
      </c>
      <c r="C51" s="54">
        <f>IFERROR(__xludf.DUMMYFUNCTION("""COMPUTED_VALUE"""),1.0)</f>
        <v>1</v>
      </c>
      <c r="D51" s="8"/>
      <c r="E51" s="8" t="str">
        <f>IF($D51="","",COUNTIF(Paw!$G$2:$G1013, $D51))</f>
        <v/>
      </c>
      <c r="F51" s="8" t="str">
        <f t="shared" si="1"/>
        <v/>
      </c>
      <c r="G51" s="8" t="str">
        <f>IF($D51="","",COUNTIFS(Paw!$H$2:$H1013,"",Paw!$G$2:$G1013, $D51))</f>
        <v/>
      </c>
      <c r="H51" s="30" t="str">
        <f t="shared" si="2"/>
        <v/>
      </c>
    </row>
    <row r="52">
      <c r="A52" s="52" t="str">
        <f>IFERROR(__xludf.DUMMYFUNCTION("""COMPUTED_VALUE"""),"90mile")</f>
        <v>90mile</v>
      </c>
      <c r="B52" s="53">
        <f>IFERROR(__xludf.DUMMYFUNCTION("""COMPUTED_VALUE"""),1.0)</f>
        <v>1</v>
      </c>
      <c r="C52" s="54">
        <f>IFERROR(__xludf.DUMMYFUNCTION("""COMPUTED_VALUE"""),1.0)</f>
        <v>1</v>
      </c>
      <c r="D52" s="8"/>
      <c r="E52" s="8" t="str">
        <f>IF($D52="","",COUNTIF(Paw!$G$2:$G1013, $D52))</f>
        <v/>
      </c>
      <c r="F52" s="8" t="str">
        <f t="shared" si="1"/>
        <v/>
      </c>
      <c r="G52" s="8" t="str">
        <f>IF($D52="","",COUNTIFS(Paw!$H$2:$H1013,"",Paw!$G$2:$G1013, $D52))</f>
        <v/>
      </c>
      <c r="H52" s="30" t="str">
        <f t="shared" si="2"/>
        <v/>
      </c>
    </row>
    <row r="53">
      <c r="A53" s="43" t="str">
        <f>IFERROR(__xludf.DUMMYFUNCTION("""COMPUTED_VALUE"""),"Alzarius")</f>
        <v>Alzarius</v>
      </c>
      <c r="B53" s="44">
        <f>IFERROR(__xludf.DUMMYFUNCTION("""COMPUTED_VALUE"""),1.0)</f>
        <v>1</v>
      </c>
      <c r="C53" s="45">
        <f>IFERROR(__xludf.DUMMYFUNCTION("""COMPUTED_VALUE"""),1.0)</f>
        <v>1</v>
      </c>
      <c r="D53" s="8"/>
      <c r="E53" s="8" t="str">
        <f>IF($D53="","",COUNTIF(Paw!$G$2:$G1013, $D53))</f>
        <v/>
      </c>
      <c r="F53" s="8" t="str">
        <f t="shared" si="1"/>
        <v/>
      </c>
      <c r="G53" s="8" t="str">
        <f>IF($D53="","",COUNTIFS(Paw!$H$2:$H1013,"",Paw!$G$2:$G1013, $D53))</f>
        <v/>
      </c>
      <c r="H53" s="30" t="str">
        <f t="shared" si="2"/>
        <v/>
      </c>
    </row>
    <row r="54">
      <c r="A54" s="52" t="str">
        <f>IFERROR(__xludf.DUMMYFUNCTION("""COMPUTED_VALUE"""),"Anetzet")</f>
        <v>Anetzet</v>
      </c>
      <c r="B54" s="53">
        <f>IFERROR(__xludf.DUMMYFUNCTION("""COMPUTED_VALUE"""),1.0)</f>
        <v>1</v>
      </c>
      <c r="C54" s="54">
        <f>IFERROR(__xludf.DUMMYFUNCTION("""COMPUTED_VALUE"""),1.0)</f>
        <v>1</v>
      </c>
      <c r="D54" s="8"/>
      <c r="E54" s="8" t="str">
        <f>IF($D54="","",COUNTIF(Paw!$G$2:$G1013, $D54))</f>
        <v/>
      </c>
      <c r="F54" s="8" t="str">
        <f t="shared" si="1"/>
        <v/>
      </c>
      <c r="G54" s="8" t="str">
        <f>IF($D54="","",COUNTIFS(Paw!$H$2:$H1013,"",Paw!$G$2:$G1013, $D54))</f>
        <v/>
      </c>
      <c r="H54" s="30" t="str">
        <f t="shared" si="2"/>
        <v/>
      </c>
    </row>
    <row r="55">
      <c r="A55" s="52"/>
      <c r="B55" s="53"/>
      <c r="C55" s="54"/>
      <c r="D55" s="8"/>
      <c r="E55" s="8" t="str">
        <f>IF($D55="","",COUNTIF(Paw!$G$2:$G1013, $D55))</f>
        <v/>
      </c>
      <c r="F55" s="8" t="str">
        <f t="shared" si="1"/>
        <v/>
      </c>
      <c r="G55" s="8" t="str">
        <f>IF($D55="","",COUNTIFS(Paw!$H$2:$H1013,"",Paw!$G$2:$G1013, $D55))</f>
        <v/>
      </c>
      <c r="H55" s="30" t="str">
        <f t="shared" si="2"/>
        <v/>
      </c>
    </row>
    <row r="56">
      <c r="A56" s="52"/>
      <c r="B56" s="53"/>
      <c r="C56" s="54"/>
      <c r="D56" s="8"/>
      <c r="E56" s="8" t="str">
        <f>IF($D56="","",COUNTIF(Paw!$G$2:$G1013, $D56))</f>
        <v/>
      </c>
      <c r="F56" s="8" t="str">
        <f t="shared" si="1"/>
        <v/>
      </c>
      <c r="G56" s="8" t="str">
        <f>IF($D56="","",COUNTIFS(Paw!$H$2:$H1013,"",Paw!$G$2:$G1013, $D56))</f>
        <v/>
      </c>
      <c r="H56" s="30" t="str">
        <f t="shared" si="2"/>
        <v/>
      </c>
    </row>
    <row r="57">
      <c r="A57" s="52"/>
      <c r="B57" s="53"/>
      <c r="C57" s="54"/>
      <c r="D57" s="8"/>
      <c r="E57" s="8" t="str">
        <f>IF($D57="","",COUNTIF(Paw!$G$2:$G1013, $D57))</f>
        <v/>
      </c>
      <c r="F57" s="8" t="str">
        <f t="shared" si="1"/>
        <v/>
      </c>
      <c r="G57" s="8" t="str">
        <f>IF($D57="","",COUNTIFS(Paw!$H$2:$H1013,"",Paw!$G$2:$G1013, $D57))</f>
        <v/>
      </c>
      <c r="H57" s="30" t="str">
        <f t="shared" si="2"/>
        <v/>
      </c>
    </row>
    <row r="58">
      <c r="A58" s="43"/>
      <c r="B58" s="44"/>
      <c r="C58" s="45"/>
      <c r="D58" s="8"/>
      <c r="E58" s="8" t="str">
        <f>IF($D58="","",COUNTIF(Paw!$G$2:$G1013, $D58))</f>
        <v/>
      </c>
      <c r="F58" s="8" t="str">
        <f t="shared" si="1"/>
        <v/>
      </c>
      <c r="G58" s="8" t="str">
        <f>IF($D58="","",COUNTIFS(Paw!$H$2:$H1013,"",Paw!$G$2:$G1013, $D58))</f>
        <v/>
      </c>
      <c r="H58" s="30" t="str">
        <f t="shared" si="2"/>
        <v/>
      </c>
    </row>
    <row r="59">
      <c r="A59" s="52"/>
      <c r="B59" s="53"/>
      <c r="C59" s="54"/>
      <c r="D59" s="8"/>
      <c r="E59" s="8" t="str">
        <f>IF($D59="","",COUNTIF(Paw!$G$2:$G1013, $D59))</f>
        <v/>
      </c>
      <c r="F59" s="8" t="str">
        <f t="shared" si="1"/>
        <v/>
      </c>
      <c r="G59" s="8" t="str">
        <f>IF($D59="","",COUNTIFS(Paw!$H$2:$H1013,"",Paw!$G$2:$G1013, $D59))</f>
        <v/>
      </c>
      <c r="H59" s="30" t="str">
        <f t="shared" si="2"/>
        <v/>
      </c>
    </row>
    <row r="60">
      <c r="A60" s="52"/>
      <c r="B60" s="53"/>
      <c r="C60" s="54"/>
      <c r="D60" s="8"/>
      <c r="E60" s="8" t="str">
        <f>IF($D60="","",COUNTIF(Paw!$G$2:$G1013, $D60))</f>
        <v/>
      </c>
      <c r="F60" s="8" t="str">
        <f t="shared" si="1"/>
        <v/>
      </c>
      <c r="G60" s="8" t="str">
        <f>IF($D60="","",COUNTIFS(Paw!$H$2:$H1013,"",Paw!$G$2:$G1013, $D60))</f>
        <v/>
      </c>
      <c r="H60" s="30" t="str">
        <f t="shared" si="2"/>
        <v/>
      </c>
    </row>
    <row r="61">
      <c r="A61" s="52"/>
      <c r="B61" s="53"/>
      <c r="C61" s="54"/>
      <c r="D61" s="8"/>
      <c r="E61" s="8" t="str">
        <f>IF($D61="","",COUNTIF(Paw!$G$2:$G1013, $D61))</f>
        <v/>
      </c>
      <c r="F61" s="8" t="str">
        <f t="shared" si="1"/>
        <v/>
      </c>
      <c r="G61" s="8" t="str">
        <f>IF($D61="","",COUNTIFS(Paw!$H$2:$H1013,"",Paw!$G$2:$G1013, $D61))</f>
        <v/>
      </c>
      <c r="H61" s="30" t="str">
        <f t="shared" si="2"/>
        <v/>
      </c>
    </row>
    <row r="62">
      <c r="A62" s="52"/>
      <c r="B62" s="53"/>
      <c r="C62" s="54"/>
      <c r="D62" s="8"/>
      <c r="E62" s="8" t="str">
        <f>IF($D62="","",COUNTIF(Paw!$G$2:$G1013, $D62))</f>
        <v/>
      </c>
      <c r="F62" s="8" t="str">
        <f t="shared" si="1"/>
        <v/>
      </c>
      <c r="G62" s="8" t="str">
        <f>IF($D62="","",COUNTIFS(Paw!$H$2:$H1013,"",Paw!$G$2:$G1013, $D62))</f>
        <v/>
      </c>
      <c r="H62" s="30" t="str">
        <f t="shared" si="2"/>
        <v/>
      </c>
    </row>
    <row r="63">
      <c r="A63" s="43"/>
      <c r="B63" s="44"/>
      <c r="C63" s="45"/>
      <c r="D63" s="8"/>
      <c r="E63" s="8" t="str">
        <f>IF($D63="","",COUNTIF(Paw!$G$2:$G1013, $D63))</f>
        <v/>
      </c>
      <c r="F63" s="8" t="str">
        <f t="shared" si="1"/>
        <v/>
      </c>
      <c r="G63" s="8" t="str">
        <f>IF($D63="","",COUNTIFS(Paw!$H$2:$H1013,"",Paw!$G$2:$G1013, $D63))</f>
        <v/>
      </c>
      <c r="H63" s="30" t="str">
        <f t="shared" si="2"/>
        <v/>
      </c>
    </row>
    <row r="64">
      <c r="A64" s="52"/>
      <c r="B64" s="53"/>
      <c r="C64" s="54"/>
      <c r="D64" s="8"/>
      <c r="E64" s="8" t="str">
        <f>IF($D64="","",COUNTIF(Paw!$G$2:$G1013, $D64))</f>
        <v/>
      </c>
      <c r="F64" s="8" t="str">
        <f t="shared" si="1"/>
        <v/>
      </c>
      <c r="G64" s="8" t="str">
        <f>IF($D64="","",COUNTIFS(Paw!$H$2:$H1013,"",Paw!$G$2:$G1013, $D64))</f>
        <v/>
      </c>
      <c r="H64" s="30" t="str">
        <f t="shared" si="2"/>
        <v/>
      </c>
    </row>
    <row r="65">
      <c r="A65" s="52"/>
      <c r="B65" s="53"/>
      <c r="C65" s="54"/>
      <c r="D65" s="8"/>
      <c r="E65" s="8" t="str">
        <f>IF($D65="","",COUNTIF(Paw!$G$2:$G1013, $D65))</f>
        <v/>
      </c>
      <c r="F65" s="8" t="str">
        <f t="shared" si="1"/>
        <v/>
      </c>
      <c r="G65" s="8" t="str">
        <f>IF($D65="","",COUNTIFS(Paw!$H$2:$H1013,"",Paw!$G$2:$G1013, $D65))</f>
        <v/>
      </c>
      <c r="H65" s="30" t="str">
        <f t="shared" si="2"/>
        <v/>
      </c>
    </row>
    <row r="66">
      <c r="A66" s="52"/>
      <c r="B66" s="53"/>
      <c r="C66" s="54"/>
      <c r="D66" s="8"/>
      <c r="E66" s="8" t="str">
        <f>IF($D66="","",COUNTIF(Paw!$G$2:$G1013, $D66))</f>
        <v/>
      </c>
      <c r="F66" s="8" t="str">
        <f t="shared" si="1"/>
        <v/>
      </c>
      <c r="G66" s="8" t="str">
        <f>IF($D66="","",COUNTIFS(Paw!$H$2:$H1013,"",Paw!$G$2:$G1013, $D66))</f>
        <v/>
      </c>
      <c r="H66" s="30" t="str">
        <f t="shared" si="2"/>
        <v/>
      </c>
    </row>
    <row r="67">
      <c r="A67" s="52"/>
      <c r="B67" s="53"/>
      <c r="C67" s="54"/>
      <c r="D67" s="8"/>
      <c r="E67" s="8" t="str">
        <f>IF($D67="","",COUNTIF(Paw!$G$2:$G1013, $D67))</f>
        <v/>
      </c>
      <c r="F67" s="8" t="str">
        <f t="shared" si="1"/>
        <v/>
      </c>
      <c r="G67" s="8" t="str">
        <f>IF($D67="","",COUNTIFS(Paw!$H$2:$H1013,"",Paw!$G$2:$G1013, $D67))</f>
        <v/>
      </c>
      <c r="H67" s="30" t="str">
        <f t="shared" si="2"/>
        <v/>
      </c>
    </row>
    <row r="68">
      <c r="A68" s="43"/>
      <c r="B68" s="44"/>
      <c r="C68" s="45"/>
      <c r="D68" s="8"/>
      <c r="E68" s="8" t="str">
        <f>IF($D68="","",COUNTIF(Paw!$G$2:$G1013, $D68))</f>
        <v/>
      </c>
      <c r="F68" s="8" t="str">
        <f t="shared" si="1"/>
        <v/>
      </c>
      <c r="G68" s="8" t="str">
        <f>IF($D68="","",COUNTIFS(Paw!$H$2:$H1013,"",Paw!$G$2:$G1013, $D68))</f>
        <v/>
      </c>
      <c r="H68" s="30" t="str">
        <f t="shared" si="2"/>
        <v/>
      </c>
    </row>
    <row r="69">
      <c r="A69" s="52"/>
      <c r="B69" s="53"/>
      <c r="C69" s="54"/>
      <c r="D69" s="8"/>
      <c r="E69" s="8" t="str">
        <f>IF($D69="","",COUNTIF(Paw!$G$2:$G1013, $D69))</f>
        <v/>
      </c>
      <c r="F69" s="8" t="str">
        <f t="shared" si="1"/>
        <v/>
      </c>
      <c r="G69" s="8" t="str">
        <f>IF($D69="","",COUNTIFS(Paw!$H$2:$H1013,"",Paw!$G$2:$G1013, $D69))</f>
        <v/>
      </c>
      <c r="H69" s="30" t="str">
        <f t="shared" si="2"/>
        <v/>
      </c>
    </row>
    <row r="70">
      <c r="A70" s="52"/>
      <c r="B70" s="53"/>
      <c r="C70" s="54"/>
      <c r="D70" s="8"/>
      <c r="E70" s="8" t="str">
        <f>IF($D70="","",COUNTIF(Paw!$G$2:$G1013, $D70))</f>
        <v/>
      </c>
      <c r="F70" s="8" t="str">
        <f t="shared" si="1"/>
        <v/>
      </c>
      <c r="G70" s="8" t="str">
        <f>IF($D70="","",COUNTIFS(Paw!$H$2:$H1013,"",Paw!$G$2:$G1013, $D70))</f>
        <v/>
      </c>
      <c r="H70" s="30" t="str">
        <f t="shared" si="2"/>
        <v/>
      </c>
    </row>
    <row r="71">
      <c r="A71" s="52"/>
      <c r="B71" s="53"/>
      <c r="C71" s="54"/>
      <c r="D71" s="8"/>
      <c r="E71" s="8" t="str">
        <f>IF($D71="","",COUNTIF(Paw!$G$2:$G1013, $D71))</f>
        <v/>
      </c>
      <c r="F71" s="8" t="str">
        <f t="shared" si="1"/>
        <v/>
      </c>
      <c r="G71" s="8" t="str">
        <f>IF($D71="","",COUNTIFS(Paw!$H$2:$H1013,"",Paw!$G$2:$G1013, $D71))</f>
        <v/>
      </c>
      <c r="H71" s="30" t="str">
        <f t="shared" si="2"/>
        <v/>
      </c>
    </row>
    <row r="72">
      <c r="A72" s="52"/>
      <c r="B72" s="53"/>
      <c r="C72" s="54"/>
      <c r="D72" s="8"/>
      <c r="E72" s="8" t="str">
        <f>IF($D72="","",COUNTIF(Paw!$G$2:$G1013, $D72))</f>
        <v/>
      </c>
      <c r="F72" s="8" t="str">
        <f t="shared" si="1"/>
        <v/>
      </c>
      <c r="G72" s="8" t="str">
        <f>IF($D72="","",COUNTIFS(Paw!$H$2:$H1013,"",Paw!$G$2:$G1013, $D72))</f>
        <v/>
      </c>
      <c r="H72" s="30" t="str">
        <f t="shared" si="2"/>
        <v/>
      </c>
    </row>
    <row r="73">
      <c r="A73" s="43"/>
      <c r="B73" s="44"/>
      <c r="C73" s="45"/>
      <c r="D73" s="8"/>
      <c r="E73" s="8" t="str">
        <f>IF($D73="","",COUNTIF(Paw!$G$2:$G1013, $D73))</f>
        <v/>
      </c>
      <c r="F73" s="8" t="str">
        <f t="shared" si="1"/>
        <v/>
      </c>
      <c r="G73" s="8" t="str">
        <f>IF($D73="","",COUNTIFS(Paw!$H$2:$H1013,"",Paw!$G$2:$G1013, $D73))</f>
        <v/>
      </c>
      <c r="H73" s="30" t="str">
        <f t="shared" si="2"/>
        <v/>
      </c>
    </row>
    <row r="74">
      <c r="A74" s="52"/>
      <c r="B74" s="53"/>
      <c r="C74" s="54"/>
      <c r="D74" s="8"/>
      <c r="E74" s="8" t="str">
        <f>IF($D74="","",COUNTIF(Paw!$G$2:$G1013, $D74))</f>
        <v/>
      </c>
      <c r="F74" s="8" t="str">
        <f t="shared" si="1"/>
        <v/>
      </c>
      <c r="G74" s="8" t="str">
        <f>IF($D74="","",COUNTIFS(Paw!$H$2:$H1013,"",Paw!$G$2:$G1013, $D74))</f>
        <v/>
      </c>
      <c r="H74" s="30" t="str">
        <f t="shared" si="2"/>
        <v/>
      </c>
    </row>
    <row r="75">
      <c r="A75" s="52"/>
      <c r="B75" s="53"/>
      <c r="C75" s="54"/>
      <c r="D75" s="8"/>
      <c r="E75" s="8" t="str">
        <f>IF($D75="","",COUNTIF(Paw!$G$2:$G1013, $D75))</f>
        <v/>
      </c>
      <c r="F75" s="8" t="str">
        <f t="shared" si="1"/>
        <v/>
      </c>
      <c r="G75" s="8" t="str">
        <f>IF($D75="","",COUNTIFS(Paw!$H$2:$H1013,"",Paw!$G$2:$G1013, $D75))</f>
        <v/>
      </c>
      <c r="H75" s="30" t="str">
        <f t="shared" si="2"/>
        <v/>
      </c>
    </row>
    <row r="76">
      <c r="A76" s="52"/>
      <c r="B76" s="53"/>
      <c r="C76" s="54"/>
      <c r="D76" s="8"/>
      <c r="E76" s="8" t="str">
        <f>IF($D76="","",COUNTIF(Paw!$G$2:$G1013, $D76))</f>
        <v/>
      </c>
      <c r="F76" s="8" t="str">
        <f t="shared" si="1"/>
        <v/>
      </c>
      <c r="G76" s="8" t="str">
        <f>IF($D76="","",COUNTIFS(Paw!$H$2:$H1013,"",Paw!$G$2:$G1013, $D76))</f>
        <v/>
      </c>
      <c r="H76" s="30" t="str">
        <f t="shared" si="2"/>
        <v/>
      </c>
    </row>
    <row r="77">
      <c r="A77" s="52"/>
      <c r="B77" s="53"/>
      <c r="C77" s="54"/>
      <c r="D77" s="8"/>
      <c r="E77" s="8" t="str">
        <f>IF($D77="","",COUNTIF(Paw!$G$2:$G1013, $D77))</f>
        <v/>
      </c>
      <c r="F77" s="8" t="str">
        <f t="shared" si="1"/>
        <v/>
      </c>
      <c r="G77" s="8" t="str">
        <f>IF($D77="","",COUNTIFS(Paw!$H$2:$H1013,"",Paw!$G$2:$G1013, $D77))</f>
        <v/>
      </c>
      <c r="H77" s="30" t="str">
        <f t="shared" si="2"/>
        <v/>
      </c>
    </row>
    <row r="78">
      <c r="A78" s="43"/>
      <c r="B78" s="44"/>
      <c r="C78" s="45"/>
      <c r="D78" s="8"/>
      <c r="E78" s="8" t="str">
        <f>IF($D78="","",COUNTIF(Paw!$G$2:$G1013, $D78))</f>
        <v/>
      </c>
      <c r="F78" s="8" t="str">
        <f t="shared" si="1"/>
        <v/>
      </c>
      <c r="G78" s="8" t="str">
        <f>IF($D78="","",COUNTIFS(Paw!$H$2:$H1013,"",Paw!$G$2:$G1013, $D78))</f>
        <v/>
      </c>
      <c r="H78" s="30" t="str">
        <f t="shared" si="2"/>
        <v/>
      </c>
    </row>
    <row r="79">
      <c r="A79" s="52"/>
      <c r="B79" s="53"/>
      <c r="C79" s="54"/>
      <c r="D79" s="8"/>
      <c r="E79" s="8" t="str">
        <f>IF($D79="","",COUNTIF(Paw!$G$2:$G1013, $D79))</f>
        <v/>
      </c>
      <c r="F79" s="8" t="str">
        <f t="shared" si="1"/>
        <v/>
      </c>
      <c r="G79" s="8" t="str">
        <f>IF($D79="","",COUNTIFS(Paw!$H$2:$H1013,"",Paw!$G$2:$G1013, $D79))</f>
        <v/>
      </c>
      <c r="H79" s="30" t="str">
        <f t="shared" si="2"/>
        <v/>
      </c>
    </row>
    <row r="80">
      <c r="A80" s="52"/>
      <c r="B80" s="53"/>
      <c r="C80" s="54"/>
      <c r="D80" s="8"/>
      <c r="E80" s="8" t="str">
        <f>IF($D80="","",COUNTIF(Paw!$G$2:$G1013, $D80))</f>
        <v/>
      </c>
      <c r="F80" s="8" t="str">
        <f t="shared" si="1"/>
        <v/>
      </c>
      <c r="G80" s="8" t="str">
        <f>IF($D80="","",COUNTIFS(Paw!$H$2:$H1013,"",Paw!$G$2:$G1013, $D80))</f>
        <v/>
      </c>
      <c r="H80" s="30" t="str">
        <f t="shared" si="2"/>
        <v/>
      </c>
    </row>
    <row r="81">
      <c r="A81" s="52"/>
      <c r="B81" s="53"/>
      <c r="C81" s="54"/>
      <c r="D81" s="8"/>
      <c r="E81" s="8" t="str">
        <f>IF($D81="","",COUNTIF(Paw!$G$2:$G1013, $D81))</f>
        <v/>
      </c>
      <c r="F81" s="8" t="str">
        <f t="shared" si="1"/>
        <v/>
      </c>
      <c r="G81" s="8" t="str">
        <f>IF($D81="","",COUNTIFS(Paw!$H$2:$H1013,"",Paw!$G$2:$G1013, $D81))</f>
        <v/>
      </c>
      <c r="H81" s="30" t="str">
        <f t="shared" si="2"/>
        <v/>
      </c>
    </row>
    <row r="82">
      <c r="A82" s="52"/>
      <c r="B82" s="53"/>
      <c r="C82" s="54"/>
      <c r="D82" s="8"/>
      <c r="E82" s="8" t="str">
        <f>IF($D82="","",COUNTIF(Paw!$G$2:$G1013, $D82))</f>
        <v/>
      </c>
      <c r="F82" s="8" t="str">
        <f t="shared" si="1"/>
        <v/>
      </c>
      <c r="G82" s="8" t="str">
        <f>IF($D82="","",COUNTIFS(Paw!$H$2:$H1013,"",Paw!$G$2:$G1013, $D82))</f>
        <v/>
      </c>
      <c r="H82" s="30" t="str">
        <f t="shared" si="2"/>
        <v/>
      </c>
    </row>
    <row r="83">
      <c r="A83" s="43"/>
      <c r="B83" s="44"/>
      <c r="C83" s="45"/>
      <c r="D83" s="8"/>
      <c r="E83" s="8" t="str">
        <f>IF($D83="","",COUNTIF(Paw!$G$2:$G1013, $D83))</f>
        <v/>
      </c>
      <c r="F83" s="8" t="str">
        <f t="shared" si="1"/>
        <v/>
      </c>
      <c r="G83" s="8" t="str">
        <f>IF($D83="","",COUNTIFS(Paw!$H$2:$H1013,"",Paw!$G$2:$G1013, $D83))</f>
        <v/>
      </c>
      <c r="H83" s="30" t="str">
        <f t="shared" si="2"/>
        <v/>
      </c>
    </row>
    <row r="84">
      <c r="A84" s="52"/>
      <c r="B84" s="53"/>
      <c r="C84" s="54"/>
      <c r="D84" s="8"/>
      <c r="E84" s="8" t="str">
        <f>IF($D84="","",COUNTIF(Paw!$G$2:$G1013, $D84))</f>
        <v/>
      </c>
      <c r="F84" s="8" t="str">
        <f t="shared" si="1"/>
        <v/>
      </c>
      <c r="G84" s="8" t="str">
        <f>IF($D84="","",COUNTIFS(Paw!$H$2:$H1013,"",Paw!$G$2:$G1013, $D84))</f>
        <v/>
      </c>
      <c r="H84" s="30" t="str">
        <f t="shared" si="2"/>
        <v/>
      </c>
    </row>
    <row r="85">
      <c r="A85" s="52"/>
      <c r="B85" s="53"/>
      <c r="C85" s="54"/>
      <c r="D85" s="8"/>
      <c r="E85" s="8" t="str">
        <f>IF($D85="","",COUNTIF(Paw!$G$2:$G1013, $D85))</f>
        <v/>
      </c>
      <c r="F85" s="8" t="str">
        <f t="shared" si="1"/>
        <v/>
      </c>
      <c r="G85" s="8" t="str">
        <f>IF($D85="","",COUNTIFS(Paw!$H$2:$H1013,"",Paw!$G$2:$G1013, $D85))</f>
        <v/>
      </c>
      <c r="H85" s="30" t="str">
        <f t="shared" si="2"/>
        <v/>
      </c>
    </row>
    <row r="86">
      <c r="A86" s="52"/>
      <c r="B86" s="53"/>
      <c r="C86" s="54"/>
      <c r="D86" s="8"/>
      <c r="E86" s="8" t="str">
        <f>IF($D86="","",COUNTIF(Paw!$G$2:$G1013, $D86))</f>
        <v/>
      </c>
      <c r="F86" s="8" t="str">
        <f t="shared" si="1"/>
        <v/>
      </c>
      <c r="G86" s="8" t="str">
        <f>IF($D86="","",COUNTIFS(Paw!$H$2:$H1013,"",Paw!$G$2:$G1013, $D86))</f>
        <v/>
      </c>
      <c r="H86" s="30" t="str">
        <f t="shared" si="2"/>
        <v/>
      </c>
    </row>
    <row r="87">
      <c r="A87" s="52"/>
      <c r="B87" s="53"/>
      <c r="C87" s="54"/>
      <c r="D87" s="8"/>
      <c r="E87" s="8" t="str">
        <f>IF($D87="","",COUNTIF(Paw!$G$2:$G1013, $D87))</f>
        <v/>
      </c>
      <c r="F87" s="8" t="str">
        <f t="shared" si="1"/>
        <v/>
      </c>
      <c r="G87" s="8" t="str">
        <f>IF($D87="","",COUNTIFS(Paw!$H$2:$H1013,"",Paw!$G$2:$G1013, $D87))</f>
        <v/>
      </c>
      <c r="H87" s="30" t="str">
        <f t="shared" si="2"/>
        <v/>
      </c>
    </row>
    <row r="88">
      <c r="A88" s="43"/>
      <c r="B88" s="44"/>
      <c r="C88" s="45"/>
      <c r="D88" s="8"/>
      <c r="E88" s="8" t="str">
        <f>IF($D88="","",COUNTIF(Paw!$G$2:$G1013, $D88))</f>
        <v/>
      </c>
      <c r="F88" s="8" t="str">
        <f t="shared" si="1"/>
        <v/>
      </c>
      <c r="G88" s="8" t="str">
        <f>IF($D88="","",COUNTIFS(Paw!$H$2:$H1013,"",Paw!$G$2:$G1013, $D88))</f>
        <v/>
      </c>
      <c r="H88" s="30" t="str">
        <f t="shared" si="2"/>
        <v/>
      </c>
    </row>
    <row r="89">
      <c r="A89" s="52"/>
      <c r="B89" s="53"/>
      <c r="C89" s="54"/>
      <c r="D89" s="8"/>
      <c r="E89" s="8" t="str">
        <f>IF($D89="","",COUNTIF(Paw!$G$2:$G1013, $D89))</f>
        <v/>
      </c>
      <c r="F89" s="8" t="str">
        <f t="shared" si="1"/>
        <v/>
      </c>
      <c r="G89" s="8" t="str">
        <f>IF($D89="","",COUNTIFS(Paw!$H$2:$H1013,"",Paw!$G$2:$G1013, $D89))</f>
        <v/>
      </c>
      <c r="H89" s="30" t="str">
        <f t="shared" si="2"/>
        <v/>
      </c>
    </row>
    <row r="90">
      <c r="A90" s="52"/>
      <c r="B90" s="53"/>
      <c r="C90" s="54"/>
      <c r="D90" s="8"/>
      <c r="E90" s="8" t="str">
        <f>IF($D90="","",COUNTIF(Paw!$G$2:$G1013, $D90))</f>
        <v/>
      </c>
      <c r="F90" s="8" t="str">
        <f t="shared" si="1"/>
        <v/>
      </c>
      <c r="G90" s="8" t="str">
        <f>IF($D90="","",COUNTIFS(Paw!$H$2:$H1013,"",Paw!$G$2:$G1013, $D90))</f>
        <v/>
      </c>
      <c r="H90" s="30" t="str">
        <f t="shared" si="2"/>
        <v/>
      </c>
    </row>
    <row r="91">
      <c r="A91" s="52"/>
      <c r="B91" s="53"/>
      <c r="C91" s="54"/>
      <c r="D91" s="8"/>
      <c r="E91" s="8" t="str">
        <f>IF($D91="","",COUNTIF(Paw!$G$2:$G1013, $D91))</f>
        <v/>
      </c>
      <c r="F91" s="8" t="str">
        <f t="shared" si="1"/>
        <v/>
      </c>
      <c r="G91" s="8" t="str">
        <f>IF($D91="","",COUNTIFS(Paw!$H$2:$H1013,"",Paw!$G$2:$G1013, $D91))</f>
        <v/>
      </c>
      <c r="H91" s="30" t="str">
        <f t="shared" si="2"/>
        <v/>
      </c>
    </row>
    <row r="92">
      <c r="A92" s="52"/>
      <c r="B92" s="53"/>
      <c r="C92" s="54"/>
      <c r="D92" s="8"/>
      <c r="E92" s="8" t="str">
        <f>IF($D92="","",COUNTIF(Paw!$G$2:$G1013, $D92))</f>
        <v/>
      </c>
      <c r="F92" s="8" t="str">
        <f t="shared" si="1"/>
        <v/>
      </c>
      <c r="G92" s="8" t="str">
        <f>IF($D92="","",COUNTIFS(Paw!$H$2:$H1013,"",Paw!$G$2:$G1013, $D92))</f>
        <v/>
      </c>
      <c r="H92" s="30" t="str">
        <f t="shared" si="2"/>
        <v/>
      </c>
    </row>
    <row r="93">
      <c r="A93" s="43"/>
      <c r="B93" s="44"/>
      <c r="C93" s="45"/>
      <c r="D93" s="8"/>
      <c r="E93" s="8" t="str">
        <f>IF($D93="","",COUNTIF(Paw!$G$2:$G1013, $D93))</f>
        <v/>
      </c>
      <c r="F93" s="8" t="str">
        <f t="shared" si="1"/>
        <v/>
      </c>
      <c r="G93" s="8" t="str">
        <f>IF($D93="","",COUNTIFS(Paw!$H$2:$H1013,"",Paw!$G$2:$G1013, $D93))</f>
        <v/>
      </c>
      <c r="H93" s="30" t="str">
        <f t="shared" si="2"/>
        <v/>
      </c>
    </row>
    <row r="94">
      <c r="A94" s="52"/>
      <c r="B94" s="53"/>
      <c r="C94" s="54"/>
      <c r="D94" s="8"/>
      <c r="E94" s="8" t="str">
        <f>IF($D94="","",COUNTIF(Paw!$G$2:$G1013, $D94))</f>
        <v/>
      </c>
      <c r="F94" s="8" t="str">
        <f t="shared" si="1"/>
        <v/>
      </c>
      <c r="G94" s="8" t="str">
        <f>IF($D94="","",COUNTIFS(Paw!$H$2:$H1013,"",Paw!$G$2:$G1013, $D94))</f>
        <v/>
      </c>
      <c r="H94" s="30" t="str">
        <f t="shared" si="2"/>
        <v/>
      </c>
    </row>
    <row r="95">
      <c r="A95" s="52"/>
      <c r="B95" s="53"/>
      <c r="C95" s="54"/>
      <c r="D95" s="8"/>
      <c r="E95" s="8" t="str">
        <f>IF($D95="","",COUNTIF(Paw!$G$2:$G1013, $D95))</f>
        <v/>
      </c>
      <c r="F95" s="8" t="str">
        <f t="shared" si="1"/>
        <v/>
      </c>
      <c r="G95" s="8" t="str">
        <f>IF($D95="","",COUNTIFS(Paw!$H$2:$H1013,"",Paw!$G$2:$G1013, $D95))</f>
        <v/>
      </c>
      <c r="H95" s="30" t="str">
        <f t="shared" si="2"/>
        <v/>
      </c>
    </row>
    <row r="96">
      <c r="A96" s="52"/>
      <c r="B96" s="53"/>
      <c r="C96" s="54"/>
      <c r="D96" s="8"/>
      <c r="E96" s="8" t="str">
        <f>IF($D96="","",COUNTIF(Paw!$G$2:$G1013, $D96))</f>
        <v/>
      </c>
      <c r="F96" s="8" t="str">
        <f t="shared" si="1"/>
        <v/>
      </c>
      <c r="G96" s="8" t="str">
        <f>IF($D96="","",COUNTIFS(Paw!$H$2:$H1013,"",Paw!$G$2:$G1013, $D96))</f>
        <v/>
      </c>
      <c r="H96" s="30" t="str">
        <f t="shared" si="2"/>
        <v/>
      </c>
    </row>
    <row r="97">
      <c r="A97" s="52"/>
      <c r="B97" s="53"/>
      <c r="C97" s="54"/>
      <c r="D97" s="8"/>
      <c r="E97" s="8" t="str">
        <f>IF($D97="","",COUNTIF(Paw!$G$2:$G1013, $D97))</f>
        <v/>
      </c>
      <c r="F97" s="8" t="str">
        <f t="shared" si="1"/>
        <v/>
      </c>
      <c r="G97" s="8" t="str">
        <f>IF($D97="","",COUNTIFS(Paw!$H$2:$H1013,"",Paw!$G$2:$G1013, $D97))</f>
        <v/>
      </c>
      <c r="H97" s="30" t="str">
        <f t="shared" si="2"/>
        <v/>
      </c>
    </row>
    <row r="98">
      <c r="A98" s="43"/>
      <c r="B98" s="44"/>
      <c r="C98" s="45"/>
      <c r="D98" s="8"/>
      <c r="E98" s="8" t="str">
        <f>IF($D98="","",COUNTIF(Paw!$G$2:$G1013, $D98))</f>
        <v/>
      </c>
      <c r="F98" s="8" t="str">
        <f t="shared" si="1"/>
        <v/>
      </c>
      <c r="G98" s="8" t="str">
        <f>IF($D98="","",COUNTIFS(Paw!$H$2:$H1013,"",Paw!$G$2:$G1013, $D98))</f>
        <v/>
      </c>
      <c r="H98" s="30" t="str">
        <f t="shared" si="2"/>
        <v/>
      </c>
    </row>
    <row r="99">
      <c r="A99" s="52"/>
      <c r="B99" s="53"/>
      <c r="C99" s="54"/>
      <c r="D99" s="8"/>
      <c r="E99" s="8" t="str">
        <f>IF($D99="","",COUNTIF(Paw!$G$2:$G1013, $D99))</f>
        <v/>
      </c>
      <c r="F99" s="8" t="str">
        <f t="shared" si="1"/>
        <v/>
      </c>
      <c r="G99" s="8" t="str">
        <f>IF($D99="","",COUNTIFS(Paw!$H$2:$H1013,"",Paw!$G$2:$G1013, $D99))</f>
        <v/>
      </c>
      <c r="H99" s="30" t="str">
        <f t="shared" si="2"/>
        <v/>
      </c>
    </row>
    <row r="100">
      <c r="A100" s="52"/>
      <c r="B100" s="53"/>
      <c r="C100" s="54"/>
      <c r="D100" s="8"/>
      <c r="E100" s="8" t="str">
        <f>IF($D100="","",COUNTIF(Paw!$G$2:$G1013, $D100))</f>
        <v/>
      </c>
      <c r="F100" s="8" t="str">
        <f t="shared" si="1"/>
        <v/>
      </c>
      <c r="G100" s="8" t="str">
        <f>IF($D100="","",COUNTIFS(Paw!$H$2:$H1013,"",Paw!$G$2:$G1013, $D100))</f>
        <v/>
      </c>
      <c r="H100" s="30" t="str">
        <f t="shared" si="2"/>
        <v/>
      </c>
    </row>
    <row r="101">
      <c r="A101" s="52"/>
      <c r="B101" s="53"/>
      <c r="C101" s="54"/>
      <c r="D101" s="8"/>
      <c r="E101" s="8" t="str">
        <f>IF($D101="","",COUNTIF(Paw!$G$2:$G1013, $D101))</f>
        <v/>
      </c>
      <c r="F101" s="8" t="str">
        <f t="shared" si="1"/>
        <v/>
      </c>
      <c r="G101" s="8" t="str">
        <f>IF($D101="","",COUNTIFS(Paw!$H$2:$H1013,"",Paw!$G$2:$G1013, $D101))</f>
        <v/>
      </c>
      <c r="H101" s="30" t="str">
        <f t="shared" si="2"/>
        <v/>
      </c>
    </row>
    <row r="102">
      <c r="A102" s="52"/>
      <c r="B102" s="53"/>
      <c r="C102" s="54"/>
      <c r="D102" s="8"/>
      <c r="E102" s="8" t="str">
        <f>IF($D102="","",COUNTIF(Paw!$G$2:$G1013, $D102))</f>
        <v/>
      </c>
      <c r="F102" s="8" t="str">
        <f t="shared" si="1"/>
        <v/>
      </c>
      <c r="G102" s="8" t="str">
        <f>IF($D102="","",COUNTIFS(Paw!$H$2:$H1013,"",Paw!$G$2:$G1013, $D102))</f>
        <v/>
      </c>
      <c r="H102" s="30" t="str">
        <f t="shared" si="2"/>
        <v/>
      </c>
    </row>
    <row r="103">
      <c r="A103" s="43"/>
      <c r="B103" s="44"/>
      <c r="C103" s="45"/>
      <c r="D103" s="8"/>
      <c r="E103" s="8" t="str">
        <f>IF($D103="","",COUNTIF(Paw!$G$2:$G1013, $D103))</f>
        <v/>
      </c>
      <c r="F103" s="8" t="str">
        <f t="shared" si="1"/>
        <v/>
      </c>
      <c r="G103" s="8" t="str">
        <f>IF($D103="","",COUNTIFS(Paw!$H$2:$H1013,"",Paw!$G$2:$G1013, $D103))</f>
        <v/>
      </c>
      <c r="H103" s="30" t="str">
        <f t="shared" si="2"/>
        <v/>
      </c>
    </row>
    <row r="104">
      <c r="A104" s="52"/>
      <c r="B104" s="53"/>
      <c r="C104" s="54"/>
      <c r="D104" s="8"/>
      <c r="E104" s="8" t="str">
        <f>IF($D104="","",COUNTIF(Paw!$G$2:$G1013, $D104))</f>
        <v/>
      </c>
      <c r="F104" s="8" t="str">
        <f t="shared" si="1"/>
        <v/>
      </c>
      <c r="G104" s="8" t="str">
        <f>IF($D104="","",COUNTIFS(Paw!$H$2:$H1013,"",Paw!$G$2:$G1013, $D104))</f>
        <v/>
      </c>
      <c r="H104" s="30" t="str">
        <f t="shared" si="2"/>
        <v/>
      </c>
    </row>
    <row r="105">
      <c r="A105" s="52"/>
      <c r="B105" s="53"/>
      <c r="C105" s="54"/>
      <c r="D105" s="8"/>
      <c r="E105" s="8" t="str">
        <f>IF($D105="","",COUNTIF(Paw!$G$2:$G1013, $D105))</f>
        <v/>
      </c>
      <c r="F105" s="8" t="str">
        <f t="shared" si="1"/>
        <v/>
      </c>
      <c r="G105" s="8" t="str">
        <f>IF($D105="","",COUNTIFS(Paw!$H$2:$H1013,"",Paw!$G$2:$G1013, $D105))</f>
        <v/>
      </c>
      <c r="H105" s="30" t="str">
        <f t="shared" si="2"/>
        <v/>
      </c>
    </row>
    <row r="106">
      <c r="A106" s="52"/>
      <c r="B106" s="53"/>
      <c r="C106" s="54"/>
      <c r="D106" s="8"/>
      <c r="E106" s="8" t="str">
        <f>IF($D106="","",COUNTIF(Paw!$G$2:$G1013, $D106))</f>
        <v/>
      </c>
      <c r="F106" s="8" t="str">
        <f t="shared" si="1"/>
        <v/>
      </c>
      <c r="G106" s="8" t="str">
        <f>IF($D106="","",COUNTIFS(Paw!$H$2:$H1013,"",Paw!$G$2:$G1013, $D106))</f>
        <v/>
      </c>
      <c r="H106" s="30" t="str">
        <f t="shared" si="2"/>
        <v/>
      </c>
    </row>
    <row r="107">
      <c r="A107" s="52"/>
      <c r="B107" s="53"/>
      <c r="C107" s="54"/>
      <c r="D107" s="8"/>
      <c r="E107" s="8" t="str">
        <f>IF($D107="","",COUNTIF(Paw!$G$2:$G1013, $D107))</f>
        <v/>
      </c>
      <c r="F107" s="8" t="str">
        <f t="shared" si="1"/>
        <v/>
      </c>
      <c r="G107" s="8" t="str">
        <f>IF($D107="","",COUNTIFS(Paw!$H$2:$H1013,"",Paw!$G$2:$G1013, $D107))</f>
        <v/>
      </c>
      <c r="H107" s="30" t="str">
        <f t="shared" si="2"/>
        <v/>
      </c>
    </row>
    <row r="108">
      <c r="A108" s="43"/>
      <c r="B108" s="44"/>
      <c r="C108" s="45"/>
      <c r="D108" s="8"/>
      <c r="E108" s="8" t="str">
        <f>IF($D108="","",COUNTIF(Paw!$G$2:$G1013, $D108))</f>
        <v/>
      </c>
      <c r="F108" s="8" t="str">
        <f t="shared" si="1"/>
        <v/>
      </c>
      <c r="G108" s="8" t="str">
        <f>IF($D108="","",COUNTIFS(Paw!$H$2:$H1013,"",Paw!$G$2:$G1013, $D108))</f>
        <v/>
      </c>
      <c r="H108" s="30" t="str">
        <f t="shared" si="2"/>
        <v/>
      </c>
    </row>
    <row r="109">
      <c r="A109" s="44"/>
      <c r="B109" s="44"/>
      <c r="C109" s="44"/>
      <c r="D109" s="8"/>
      <c r="E109" s="8"/>
      <c r="F109" s="8"/>
      <c r="G109" s="8"/>
      <c r="H109" s="30"/>
    </row>
    <row r="110">
      <c r="A110" s="44"/>
      <c r="B110" s="44"/>
      <c r="C110" s="44"/>
      <c r="D110" s="8"/>
      <c r="E110" s="8"/>
      <c r="F110" s="8"/>
      <c r="G110" s="8"/>
      <c r="H110" s="30"/>
    </row>
    <row r="111">
      <c r="A111" s="44"/>
      <c r="B111" s="44"/>
      <c r="C111" s="44"/>
      <c r="D111" s="8"/>
      <c r="E111" s="8"/>
      <c r="F111" s="8"/>
      <c r="G111" s="8"/>
      <c r="H111" s="30"/>
    </row>
    <row r="112">
      <c r="A112" s="44"/>
      <c r="B112" s="44"/>
      <c r="C112" s="44"/>
      <c r="D112" s="8"/>
      <c r="E112" s="8"/>
      <c r="F112" s="8"/>
      <c r="G112" s="8"/>
      <c r="H112" s="30"/>
    </row>
    <row r="113">
      <c r="A113" s="44"/>
      <c r="B113" s="44"/>
      <c r="C113" s="44"/>
      <c r="D113" s="8"/>
      <c r="E113" s="8"/>
      <c r="F113" s="8"/>
      <c r="G113" s="8"/>
      <c r="H113" s="30"/>
    </row>
    <row r="114">
      <c r="A114" s="44"/>
      <c r="B114" s="44"/>
      <c r="C114" s="44"/>
      <c r="D114" s="8"/>
      <c r="E114" s="8"/>
      <c r="F114" s="8"/>
      <c r="G114" s="8"/>
      <c r="H114" s="30"/>
    </row>
    <row r="115">
      <c r="A115" s="44"/>
      <c r="B115" s="44"/>
      <c r="C115" s="44"/>
      <c r="D115" s="8"/>
      <c r="E115" s="8"/>
      <c r="F115" s="8"/>
      <c r="G115" s="8"/>
      <c r="H115" s="30"/>
    </row>
    <row r="116">
      <c r="A116" s="44"/>
      <c r="B116" s="44"/>
      <c r="C116" s="44"/>
      <c r="D116" s="8"/>
      <c r="E116" s="8"/>
      <c r="F116" s="8"/>
      <c r="G116" s="8"/>
      <c r="H116" s="30"/>
    </row>
    <row r="117">
      <c r="A117" s="44"/>
      <c r="B117" s="44"/>
      <c r="C117" s="44"/>
      <c r="D117" s="8"/>
      <c r="E117" s="8"/>
      <c r="F117" s="8"/>
      <c r="G117" s="8"/>
      <c r="H117" s="30"/>
    </row>
    <row r="118">
      <c r="A118" s="44"/>
      <c r="B118" s="44"/>
      <c r="C118" s="44"/>
      <c r="D118" s="8"/>
      <c r="E118" s="8"/>
      <c r="F118" s="8"/>
      <c r="G118" s="8"/>
      <c r="H118" s="30"/>
    </row>
    <row r="119">
      <c r="A119" s="44"/>
      <c r="B119" s="44"/>
      <c r="C119" s="44"/>
      <c r="D119" s="8"/>
      <c r="E119" s="8"/>
      <c r="F119" s="8"/>
      <c r="G119" s="8"/>
      <c r="H119" s="30"/>
    </row>
    <row r="120">
      <c r="A120" s="44"/>
      <c r="B120" s="44"/>
      <c r="C120" s="44"/>
      <c r="D120" s="8"/>
      <c r="E120" s="8"/>
      <c r="F120" s="8"/>
      <c r="G120" s="8"/>
      <c r="H120" s="30"/>
    </row>
    <row r="121">
      <c r="A121" s="44"/>
      <c r="B121" s="44"/>
      <c r="C121" s="44"/>
      <c r="D121" s="8"/>
      <c r="E121" s="8"/>
      <c r="F121" s="8"/>
      <c r="G121" s="8"/>
      <c r="H121" s="30"/>
    </row>
    <row r="122">
      <c r="A122" s="44"/>
      <c r="B122" s="44"/>
      <c r="C122" s="44"/>
      <c r="D122" s="8"/>
      <c r="E122" s="8"/>
      <c r="F122" s="8"/>
      <c r="G122" s="8"/>
      <c r="H122" s="30"/>
    </row>
    <row r="123">
      <c r="A123" s="44"/>
      <c r="B123" s="44"/>
      <c r="C123" s="44"/>
      <c r="D123" s="8"/>
      <c r="E123" s="8"/>
      <c r="F123" s="8"/>
      <c r="G123" s="8"/>
      <c r="H123" s="30"/>
    </row>
    <row r="124">
      <c r="A124" s="44"/>
      <c r="B124" s="44"/>
      <c r="C124" s="44"/>
      <c r="D124" s="8"/>
      <c r="E124" s="8"/>
      <c r="F124" s="8"/>
      <c r="G124" s="8"/>
      <c r="H124" s="30"/>
    </row>
    <row r="125">
      <c r="A125" s="44"/>
      <c r="B125" s="44"/>
      <c r="C125" s="44"/>
      <c r="D125" s="8"/>
      <c r="E125" s="8"/>
      <c r="F125" s="8"/>
      <c r="G125" s="8"/>
      <c r="H125" s="30"/>
    </row>
    <row r="126">
      <c r="A126" s="44"/>
      <c r="B126" s="44"/>
      <c r="C126" s="44"/>
      <c r="D126" s="8"/>
      <c r="E126" s="8"/>
      <c r="F126" s="8"/>
      <c r="G126" s="8"/>
      <c r="H126" s="30"/>
    </row>
    <row r="127">
      <c r="A127" s="44"/>
      <c r="B127" s="44"/>
      <c r="C127" s="44"/>
      <c r="D127" s="8"/>
      <c r="E127" s="8"/>
      <c r="F127" s="8"/>
      <c r="G127" s="8"/>
      <c r="H127" s="30"/>
    </row>
    <row r="128">
      <c r="A128" s="44"/>
      <c r="B128" s="44"/>
      <c r="C128" s="44"/>
      <c r="D128" s="8"/>
      <c r="E128" s="8"/>
      <c r="F128" s="8"/>
      <c r="G128" s="8"/>
      <c r="H128" s="30"/>
    </row>
    <row r="129">
      <c r="A129" s="44"/>
      <c r="B129" s="44"/>
      <c r="C129" s="44"/>
      <c r="D129" s="8"/>
      <c r="E129" s="8"/>
      <c r="F129" s="8"/>
      <c r="G129" s="8"/>
      <c r="H129" s="30"/>
    </row>
    <row r="130">
      <c r="A130" s="44"/>
      <c r="B130" s="44"/>
      <c r="C130" s="44"/>
      <c r="D130" s="8"/>
      <c r="E130" s="8"/>
      <c r="F130" s="8"/>
      <c r="G130" s="8"/>
      <c r="H130" s="30"/>
    </row>
    <row r="131">
      <c r="A131" s="44"/>
      <c r="B131" s="44"/>
      <c r="C131" s="44"/>
      <c r="D131" s="8"/>
      <c r="E131" s="8"/>
      <c r="F131" s="8"/>
      <c r="G131" s="8"/>
      <c r="H131" s="30"/>
    </row>
    <row r="132">
      <c r="A132" s="44"/>
      <c r="B132" s="44"/>
      <c r="C132" s="44"/>
      <c r="D132" s="8"/>
      <c r="E132" s="8"/>
      <c r="F132" s="8"/>
      <c r="G132" s="8"/>
      <c r="H132" s="30"/>
    </row>
    <row r="133">
      <c r="A133" s="44"/>
      <c r="B133" s="44"/>
      <c r="C133" s="44"/>
      <c r="D133" s="8"/>
      <c r="E133" s="8"/>
      <c r="F133" s="8"/>
      <c r="G133" s="8"/>
      <c r="H133" s="30"/>
    </row>
    <row r="134">
      <c r="A134" s="44"/>
      <c r="B134" s="44"/>
      <c r="C134" s="44"/>
      <c r="D134" s="8"/>
      <c r="E134" s="8"/>
      <c r="F134" s="8"/>
      <c r="G134" s="8"/>
      <c r="H134" s="30"/>
    </row>
    <row r="135">
      <c r="A135" s="44"/>
      <c r="B135" s="44"/>
      <c r="C135" s="44"/>
      <c r="D135" s="8"/>
      <c r="E135" s="8"/>
      <c r="F135" s="8"/>
      <c r="G135" s="8"/>
      <c r="H135" s="30"/>
    </row>
    <row r="136">
      <c r="A136" s="44"/>
      <c r="B136" s="44"/>
      <c r="C136" s="44"/>
      <c r="D136" s="8"/>
      <c r="E136" s="8"/>
      <c r="F136" s="8"/>
      <c r="G136" s="8"/>
      <c r="H136" s="30"/>
    </row>
    <row r="137">
      <c r="A137" s="44"/>
      <c r="B137" s="44"/>
      <c r="C137" s="44"/>
      <c r="D137" s="8"/>
      <c r="E137" s="8"/>
      <c r="F137" s="8"/>
      <c r="G137" s="8"/>
      <c r="H137" s="30"/>
    </row>
    <row r="138">
      <c r="A138" s="44"/>
      <c r="B138" s="44"/>
      <c r="C138" s="44"/>
      <c r="D138" s="8"/>
      <c r="E138" s="8"/>
      <c r="F138" s="8"/>
      <c r="G138" s="8"/>
      <c r="H138" s="30"/>
    </row>
    <row r="139">
      <c r="A139" s="44"/>
      <c r="B139" s="44"/>
      <c r="C139" s="44"/>
      <c r="D139" s="8"/>
      <c r="E139" s="8"/>
      <c r="F139" s="8"/>
      <c r="G139" s="8"/>
      <c r="H139" s="30"/>
    </row>
    <row r="140">
      <c r="A140" s="44"/>
      <c r="B140" s="44"/>
      <c r="C140" s="44"/>
      <c r="D140" s="8"/>
      <c r="E140" s="8"/>
      <c r="F140" s="8"/>
      <c r="G140" s="8"/>
      <c r="H140" s="30"/>
    </row>
    <row r="141">
      <c r="A141" s="44"/>
      <c r="B141" s="44"/>
      <c r="C141" s="44"/>
      <c r="D141" s="8"/>
      <c r="E141" s="8"/>
      <c r="F141" s="8"/>
      <c r="G141" s="8"/>
      <c r="H141" s="30"/>
    </row>
    <row r="142">
      <c r="A142" s="44"/>
      <c r="B142" s="44"/>
      <c r="C142" s="44"/>
      <c r="D142" s="8"/>
      <c r="E142" s="8"/>
      <c r="F142" s="8"/>
      <c r="G142" s="8"/>
      <c r="H142" s="30"/>
    </row>
    <row r="143">
      <c r="A143" s="44"/>
      <c r="B143" s="44"/>
      <c r="C143" s="44"/>
      <c r="D143" s="8"/>
      <c r="E143" s="8"/>
      <c r="F143" s="8"/>
      <c r="G143" s="8"/>
      <c r="H143" s="30"/>
    </row>
    <row r="144">
      <c r="A144" s="44"/>
      <c r="B144" s="44"/>
      <c r="C144" s="44"/>
      <c r="D144" s="8"/>
      <c r="E144" s="8"/>
      <c r="F144" s="8"/>
      <c r="G144" s="8"/>
      <c r="H144" s="30"/>
    </row>
    <row r="145">
      <c r="A145" s="44"/>
      <c r="B145" s="44"/>
      <c r="C145" s="44"/>
      <c r="D145" s="8"/>
      <c r="E145" s="8"/>
      <c r="F145" s="8"/>
      <c r="G145" s="8"/>
      <c r="H145" s="30"/>
    </row>
    <row r="146">
      <c r="A146" s="44"/>
      <c r="B146" s="44"/>
      <c r="C146" s="44"/>
      <c r="D146" s="8"/>
      <c r="E146" s="8"/>
      <c r="F146" s="8"/>
      <c r="G146" s="8"/>
      <c r="H146" s="30"/>
    </row>
    <row r="147">
      <c r="A147" s="44"/>
      <c r="B147" s="44"/>
      <c r="C147" s="44"/>
      <c r="D147" s="8"/>
      <c r="E147" s="8"/>
      <c r="F147" s="8"/>
      <c r="G147" s="8"/>
      <c r="H147" s="30"/>
    </row>
    <row r="148">
      <c r="A148" s="44"/>
      <c r="B148" s="44"/>
      <c r="C148" s="44"/>
      <c r="D148" s="8"/>
      <c r="E148" s="8"/>
      <c r="F148" s="8"/>
      <c r="G148" s="8"/>
      <c r="H148" s="30"/>
    </row>
    <row r="149">
      <c r="A149" s="44"/>
      <c r="B149" s="44"/>
      <c r="C149" s="44"/>
      <c r="D149" s="8"/>
      <c r="E149" s="8"/>
      <c r="F149" s="8"/>
      <c r="G149" s="8"/>
      <c r="H149" s="30"/>
    </row>
    <row r="150">
      <c r="A150" s="44"/>
      <c r="B150" s="44"/>
      <c r="C150" s="44"/>
      <c r="D150" s="8"/>
      <c r="E150" s="8"/>
      <c r="F150" s="8"/>
      <c r="G150" s="8"/>
      <c r="H150" s="30"/>
    </row>
    <row r="151">
      <c r="A151" s="44"/>
      <c r="B151" s="44"/>
      <c r="C151" s="44"/>
      <c r="D151" s="8"/>
      <c r="E151" s="8"/>
      <c r="F151" s="8"/>
      <c r="G151" s="8"/>
      <c r="H151" s="30"/>
    </row>
    <row r="152">
      <c r="A152" s="44"/>
      <c r="B152" s="44"/>
      <c r="C152" s="44"/>
      <c r="D152" s="8"/>
      <c r="E152" s="8"/>
      <c r="F152" s="8"/>
      <c r="G152" s="8"/>
      <c r="H152" s="30"/>
    </row>
    <row r="153">
      <c r="A153" s="44"/>
      <c r="B153" s="44"/>
      <c r="C153" s="44"/>
      <c r="D153" s="8"/>
      <c r="E153" s="8"/>
      <c r="F153" s="8"/>
      <c r="G153" s="8"/>
      <c r="H153" s="30"/>
    </row>
    <row r="154">
      <c r="A154" s="44"/>
      <c r="B154" s="44"/>
      <c r="C154" s="44"/>
      <c r="D154" s="8"/>
      <c r="E154" s="8"/>
      <c r="F154" s="8"/>
      <c r="G154" s="8"/>
      <c r="H154" s="30"/>
    </row>
    <row r="155">
      <c r="A155" s="44"/>
      <c r="B155" s="44"/>
      <c r="C155" s="44"/>
      <c r="D155" s="8"/>
      <c r="E155" s="8"/>
      <c r="F155" s="8"/>
      <c r="G155" s="8"/>
      <c r="H155" s="30"/>
    </row>
    <row r="156">
      <c r="A156" s="44"/>
      <c r="B156" s="44"/>
      <c r="C156" s="44"/>
      <c r="D156" s="8"/>
      <c r="E156" s="8"/>
      <c r="F156" s="8"/>
      <c r="G156" s="8"/>
      <c r="H156" s="30"/>
    </row>
    <row r="157">
      <c r="A157" s="44"/>
      <c r="B157" s="44"/>
      <c r="C157" s="44"/>
      <c r="D157" s="8"/>
      <c r="E157" s="8"/>
      <c r="F157" s="8"/>
      <c r="G157" s="8"/>
      <c r="H157" s="30"/>
    </row>
    <row r="158">
      <c r="A158" s="44"/>
      <c r="B158" s="44"/>
      <c r="C158" s="44"/>
      <c r="D158" s="8"/>
      <c r="E158" s="8"/>
      <c r="F158" s="8"/>
      <c r="G158" s="8"/>
      <c r="H158" s="30"/>
    </row>
    <row r="159">
      <c r="A159" s="44"/>
      <c r="B159" s="44"/>
      <c r="C159" s="44"/>
      <c r="D159" s="8"/>
      <c r="E159" s="8"/>
      <c r="F159" s="8"/>
      <c r="G159" s="8"/>
      <c r="H159" s="30"/>
    </row>
    <row r="160">
      <c r="A160" s="44"/>
      <c r="B160" s="44"/>
      <c r="C160" s="44"/>
      <c r="D160" s="8"/>
      <c r="E160" s="8"/>
      <c r="F160" s="8"/>
      <c r="G160" s="8"/>
      <c r="H160" s="30"/>
    </row>
    <row r="161">
      <c r="A161" s="44"/>
      <c r="B161" s="44"/>
      <c r="C161" s="44"/>
      <c r="D161" s="8"/>
      <c r="E161" s="8"/>
      <c r="F161" s="8"/>
      <c r="G161" s="8"/>
      <c r="H161" s="30"/>
    </row>
    <row r="162">
      <c r="A162" s="44"/>
      <c r="B162" s="44"/>
      <c r="C162" s="44"/>
      <c r="D162" s="8"/>
      <c r="E162" s="8"/>
      <c r="F162" s="8"/>
      <c r="G162" s="8"/>
      <c r="H162" s="30"/>
    </row>
    <row r="163">
      <c r="A163" s="44"/>
      <c r="B163" s="44"/>
      <c r="C163" s="44"/>
      <c r="D163" s="8"/>
      <c r="E163" s="8"/>
      <c r="F163" s="8"/>
      <c r="G163" s="8"/>
      <c r="H163" s="30"/>
    </row>
    <row r="164">
      <c r="A164" s="44"/>
      <c r="B164" s="44"/>
      <c r="C164" s="44"/>
      <c r="D164" s="8"/>
      <c r="E164" s="8"/>
      <c r="F164" s="8"/>
      <c r="G164" s="8"/>
      <c r="H164" s="30"/>
    </row>
    <row r="165">
      <c r="A165" s="44"/>
      <c r="B165" s="44"/>
      <c r="C165" s="44"/>
      <c r="D165" s="8"/>
      <c r="E165" s="8"/>
      <c r="F165" s="8"/>
      <c r="G165" s="8"/>
      <c r="H165" s="30"/>
    </row>
    <row r="166">
      <c r="A166" s="44"/>
      <c r="B166" s="44"/>
      <c r="C166" s="44"/>
      <c r="D166" s="8"/>
      <c r="E166" s="8"/>
      <c r="F166" s="8"/>
      <c r="G166" s="8"/>
      <c r="H166" s="30"/>
    </row>
    <row r="167">
      <c r="A167" s="44"/>
      <c r="B167" s="44"/>
      <c r="C167" s="44"/>
      <c r="D167" s="8"/>
      <c r="E167" s="8"/>
      <c r="F167" s="8"/>
      <c r="G167" s="8"/>
      <c r="H167" s="30"/>
    </row>
    <row r="168">
      <c r="A168" s="44"/>
      <c r="B168" s="44"/>
      <c r="C168" s="44"/>
      <c r="D168" s="8"/>
      <c r="E168" s="8"/>
      <c r="F168" s="8"/>
      <c r="G168" s="8"/>
      <c r="H168" s="30"/>
    </row>
    <row r="169">
      <c r="A169" s="44"/>
      <c r="B169" s="44"/>
      <c r="C169" s="44"/>
      <c r="D169" s="8"/>
      <c r="E169" s="8"/>
      <c r="F169" s="8"/>
      <c r="G169" s="8"/>
      <c r="H169" s="30"/>
    </row>
    <row r="170">
      <c r="A170" s="44"/>
      <c r="B170" s="44"/>
      <c r="C170" s="44"/>
      <c r="D170" s="8"/>
      <c r="E170" s="8"/>
      <c r="F170" s="8"/>
      <c r="G170" s="8"/>
      <c r="H170" s="30"/>
    </row>
    <row r="171">
      <c r="A171" s="44"/>
      <c r="B171" s="44"/>
      <c r="C171" s="44"/>
      <c r="D171" s="8"/>
      <c r="E171" s="8"/>
      <c r="F171" s="8"/>
      <c r="G171" s="8"/>
      <c r="H171" s="30"/>
    </row>
    <row r="172">
      <c r="A172" s="44"/>
      <c r="B172" s="44"/>
      <c r="C172" s="44"/>
      <c r="D172" s="8"/>
      <c r="E172" s="8"/>
      <c r="F172" s="8"/>
      <c r="G172" s="8"/>
      <c r="H172" s="30"/>
    </row>
    <row r="173">
      <c r="A173" s="44"/>
      <c r="B173" s="44"/>
      <c r="C173" s="44"/>
      <c r="D173" s="8"/>
      <c r="E173" s="8"/>
      <c r="F173" s="8"/>
      <c r="G173" s="8"/>
      <c r="H173" s="30"/>
    </row>
    <row r="174">
      <c r="A174" s="44"/>
      <c r="B174" s="44"/>
      <c r="C174" s="44"/>
      <c r="D174" s="8"/>
      <c r="E174" s="8"/>
      <c r="F174" s="8"/>
      <c r="G174" s="8"/>
      <c r="H174" s="30"/>
    </row>
    <row r="175">
      <c r="A175" s="44"/>
      <c r="B175" s="44"/>
      <c r="C175" s="44"/>
      <c r="D175" s="8"/>
      <c r="E175" s="8"/>
      <c r="F175" s="8"/>
      <c r="G175" s="8"/>
      <c r="H175" s="30"/>
    </row>
    <row r="176">
      <c r="A176" s="44"/>
      <c r="B176" s="44"/>
      <c r="C176" s="44"/>
      <c r="D176" s="8"/>
      <c r="E176" s="8"/>
      <c r="F176" s="8"/>
      <c r="G176" s="8"/>
      <c r="H176" s="30"/>
    </row>
    <row r="177">
      <c r="A177" s="44"/>
      <c r="B177" s="44"/>
      <c r="C177" s="44"/>
      <c r="D177" s="8"/>
      <c r="E177" s="8"/>
      <c r="F177" s="8"/>
      <c r="G177" s="8"/>
      <c r="H177" s="30"/>
    </row>
    <row r="178">
      <c r="A178" s="44"/>
      <c r="B178" s="44"/>
      <c r="C178" s="44"/>
      <c r="D178" s="8"/>
      <c r="E178" s="8"/>
      <c r="F178" s="8"/>
      <c r="G178" s="8"/>
      <c r="H178" s="30"/>
    </row>
    <row r="179">
      <c r="A179" s="44"/>
      <c r="B179" s="44"/>
      <c r="C179" s="44"/>
      <c r="D179" s="8"/>
      <c r="E179" s="8"/>
      <c r="F179" s="8"/>
      <c r="G179" s="8"/>
      <c r="H179" s="30"/>
    </row>
    <row r="180">
      <c r="A180" s="44"/>
      <c r="B180" s="44"/>
      <c r="C180" s="44"/>
      <c r="D180" s="8"/>
      <c r="E180" s="8"/>
      <c r="F180" s="8"/>
      <c r="G180" s="8"/>
      <c r="H180" s="30"/>
    </row>
    <row r="181">
      <c r="A181" s="44"/>
      <c r="B181" s="44"/>
      <c r="C181" s="44"/>
      <c r="D181" s="8"/>
      <c r="E181" s="8"/>
      <c r="F181" s="8"/>
      <c r="G181" s="8"/>
      <c r="H181" s="30"/>
    </row>
    <row r="182">
      <c r="A182" s="44"/>
      <c r="B182" s="44"/>
      <c r="C182" s="44"/>
      <c r="D182" s="8"/>
      <c r="E182" s="8"/>
      <c r="F182" s="8"/>
      <c r="G182" s="8"/>
      <c r="H182" s="30"/>
    </row>
    <row r="183">
      <c r="A183" s="44"/>
      <c r="B183" s="44"/>
      <c r="C183" s="44"/>
      <c r="D183" s="8"/>
      <c r="E183" s="8"/>
      <c r="F183" s="8"/>
      <c r="G183" s="8"/>
      <c r="H183" s="30"/>
    </row>
    <row r="184">
      <c r="A184" s="44"/>
      <c r="B184" s="44"/>
      <c r="C184" s="44"/>
      <c r="D184" s="8"/>
      <c r="E184" s="8"/>
      <c r="F184" s="8"/>
      <c r="G184" s="8"/>
      <c r="H184" s="30"/>
    </row>
    <row r="185">
      <c r="A185" s="44"/>
      <c r="B185" s="44"/>
      <c r="C185" s="44"/>
      <c r="D185" s="8"/>
      <c r="E185" s="8"/>
      <c r="F185" s="8"/>
      <c r="G185" s="8"/>
      <c r="H185" s="30"/>
    </row>
    <row r="186">
      <c r="A186" s="44"/>
      <c r="B186" s="44"/>
      <c r="C186" s="44"/>
      <c r="D186" s="8"/>
      <c r="E186" s="8"/>
      <c r="F186" s="8"/>
      <c r="G186" s="8"/>
      <c r="H186" s="30"/>
    </row>
    <row r="187">
      <c r="A187" s="44"/>
      <c r="B187" s="44"/>
      <c r="C187" s="44"/>
      <c r="D187" s="8"/>
      <c r="E187" s="8"/>
      <c r="F187" s="8"/>
      <c r="G187" s="8"/>
      <c r="H187" s="30"/>
    </row>
    <row r="188">
      <c r="A188" s="44"/>
      <c r="B188" s="44"/>
      <c r="C188" s="44"/>
      <c r="D188" s="8"/>
      <c r="E188" s="8"/>
      <c r="F188" s="8"/>
      <c r="G188" s="8"/>
      <c r="H188" s="30"/>
    </row>
    <row r="189">
      <c r="A189" s="44"/>
      <c r="B189" s="44"/>
      <c r="C189" s="44"/>
      <c r="D189" s="8"/>
      <c r="E189" s="8"/>
      <c r="F189" s="8"/>
      <c r="G189" s="8"/>
      <c r="H189" s="30"/>
    </row>
    <row r="190">
      <c r="A190" s="44"/>
      <c r="B190" s="44"/>
      <c r="C190" s="44"/>
      <c r="D190" s="8"/>
      <c r="E190" s="8"/>
      <c r="F190" s="8"/>
      <c r="G190" s="8"/>
      <c r="H190" s="30"/>
    </row>
    <row r="191">
      <c r="A191" s="44"/>
      <c r="B191" s="44"/>
      <c r="C191" s="44"/>
      <c r="D191" s="8"/>
      <c r="E191" s="8"/>
      <c r="F191" s="8"/>
      <c r="G191" s="8"/>
      <c r="H191" s="30"/>
    </row>
    <row r="192">
      <c r="A192" s="44"/>
      <c r="B192" s="44"/>
      <c r="C192" s="44"/>
      <c r="D192" s="8"/>
      <c r="E192" s="8"/>
      <c r="F192" s="8"/>
      <c r="G192" s="8"/>
      <c r="H192" s="30"/>
    </row>
    <row r="193">
      <c r="A193" s="44"/>
      <c r="B193" s="44"/>
      <c r="C193" s="44"/>
      <c r="D193" s="8"/>
      <c r="E193" s="8"/>
      <c r="F193" s="8"/>
      <c r="G193" s="8"/>
      <c r="H193" s="30"/>
    </row>
    <row r="194">
      <c r="A194" s="44"/>
      <c r="B194" s="44"/>
      <c r="C194" s="44"/>
      <c r="D194" s="8"/>
      <c r="E194" s="8"/>
      <c r="F194" s="8"/>
      <c r="G194" s="8"/>
      <c r="H194" s="30"/>
    </row>
    <row r="195">
      <c r="A195" s="44"/>
      <c r="B195" s="44"/>
      <c r="C195" s="44"/>
      <c r="D195" s="8"/>
      <c r="E195" s="8"/>
      <c r="F195" s="8"/>
      <c r="G195" s="8"/>
      <c r="H195" s="30"/>
    </row>
    <row r="196">
      <c r="A196" s="44"/>
      <c r="B196" s="44"/>
      <c r="C196" s="44"/>
      <c r="D196" s="8"/>
      <c r="E196" s="8"/>
      <c r="F196" s="8"/>
      <c r="G196" s="8"/>
      <c r="H196" s="30"/>
    </row>
    <row r="197">
      <c r="A197" s="44"/>
      <c r="B197" s="44"/>
      <c r="C197" s="44"/>
      <c r="D197" s="8"/>
      <c r="E197" s="8"/>
      <c r="F197" s="8"/>
      <c r="G197" s="8"/>
      <c r="H197" s="30"/>
    </row>
    <row r="198">
      <c r="A198" s="44"/>
      <c r="B198" s="44"/>
      <c r="C198" s="44"/>
      <c r="D198" s="8"/>
      <c r="E198" s="8"/>
      <c r="F198" s="8"/>
      <c r="G198" s="8"/>
      <c r="H198" s="30"/>
    </row>
    <row r="199">
      <c r="A199" s="44"/>
      <c r="B199" s="44"/>
      <c r="C199" s="44"/>
      <c r="D199" s="8"/>
      <c r="E199" s="8"/>
      <c r="F199" s="8"/>
      <c r="G199" s="8"/>
      <c r="H199" s="30"/>
    </row>
    <row r="200">
      <c r="A200" s="44"/>
      <c r="B200" s="44"/>
      <c r="C200" s="44"/>
      <c r="D200" s="8"/>
      <c r="E200" s="8"/>
      <c r="F200" s="8"/>
      <c r="G200" s="8"/>
      <c r="H200" s="30"/>
    </row>
    <row r="201">
      <c r="A201" s="44"/>
      <c r="B201" s="44"/>
      <c r="C201" s="44"/>
      <c r="D201" s="8"/>
      <c r="E201" s="8"/>
      <c r="F201" s="8"/>
      <c r="G201" s="8"/>
      <c r="H201" s="30"/>
    </row>
    <row r="202">
      <c r="A202" s="44"/>
      <c r="B202" s="44"/>
      <c r="C202" s="44"/>
      <c r="D202" s="8"/>
      <c r="E202" s="8"/>
      <c r="F202" s="8"/>
      <c r="G202" s="8"/>
      <c r="H202" s="30"/>
    </row>
    <row r="203">
      <c r="A203" s="44"/>
      <c r="B203" s="44"/>
      <c r="C203" s="44"/>
      <c r="D203" s="8"/>
      <c r="E203" s="8"/>
      <c r="F203" s="8"/>
      <c r="G203" s="8"/>
      <c r="H203" s="30"/>
    </row>
    <row r="204">
      <c r="A204" s="44"/>
      <c r="B204" s="44"/>
      <c r="C204" s="44"/>
      <c r="D204" s="8"/>
      <c r="E204" s="8"/>
      <c r="F204" s="8"/>
      <c r="G204" s="8"/>
      <c r="H204" s="30"/>
    </row>
    <row r="205">
      <c r="A205" s="44"/>
      <c r="B205" s="44"/>
      <c r="C205" s="44"/>
      <c r="D205" s="8"/>
      <c r="E205" s="8"/>
      <c r="F205" s="8"/>
      <c r="G205" s="8"/>
      <c r="H205" s="30"/>
    </row>
    <row r="206">
      <c r="A206" s="44"/>
      <c r="B206" s="44"/>
      <c r="C206" s="44"/>
      <c r="D206" s="8"/>
      <c r="E206" s="8"/>
      <c r="F206" s="8"/>
      <c r="G206" s="8"/>
      <c r="H206" s="30"/>
    </row>
    <row r="207">
      <c r="A207" s="44"/>
      <c r="B207" s="44"/>
      <c r="C207" s="44"/>
      <c r="D207" s="8"/>
      <c r="E207" s="8"/>
      <c r="F207" s="8"/>
      <c r="G207" s="8"/>
      <c r="H207" s="30"/>
    </row>
    <row r="208">
      <c r="A208" s="44"/>
      <c r="B208" s="44"/>
      <c r="C208" s="44"/>
      <c r="D208" s="8"/>
      <c r="E208" s="8"/>
      <c r="F208" s="8"/>
      <c r="G208" s="8"/>
      <c r="H208" s="30"/>
    </row>
    <row r="209">
      <c r="A209" s="44"/>
      <c r="B209" s="44"/>
      <c r="C209" s="44"/>
      <c r="D209" s="8"/>
      <c r="E209" s="8"/>
      <c r="F209" s="8"/>
      <c r="G209" s="8"/>
      <c r="H209" s="30"/>
    </row>
    <row r="210">
      <c r="A210" s="44"/>
      <c r="B210" s="44"/>
      <c r="C210" s="44"/>
      <c r="D210" s="8"/>
      <c r="E210" s="8"/>
      <c r="F210" s="8"/>
      <c r="G210" s="8"/>
      <c r="H210" s="30"/>
    </row>
    <row r="211">
      <c r="A211" s="44"/>
      <c r="B211" s="44"/>
      <c r="C211" s="44"/>
      <c r="D211" s="8"/>
      <c r="E211" s="8"/>
      <c r="F211" s="8"/>
      <c r="G211" s="8"/>
      <c r="H211" s="30"/>
    </row>
    <row r="212">
      <c r="A212" s="44"/>
      <c r="B212" s="44"/>
      <c r="C212" s="44"/>
      <c r="D212" s="8"/>
      <c r="E212" s="8"/>
      <c r="F212" s="8"/>
      <c r="G212" s="8"/>
      <c r="H212" s="30"/>
    </row>
    <row r="213">
      <c r="A213" s="44"/>
      <c r="B213" s="44"/>
      <c r="C213" s="44"/>
      <c r="D213" s="8"/>
      <c r="E213" s="8"/>
      <c r="F213" s="8"/>
      <c r="G213" s="8"/>
      <c r="H213" s="30"/>
    </row>
    <row r="214">
      <c r="A214" s="44"/>
      <c r="B214" s="44"/>
      <c r="C214" s="44"/>
      <c r="D214" s="8"/>
      <c r="E214" s="8"/>
      <c r="F214" s="8"/>
      <c r="G214" s="8"/>
      <c r="H214" s="30"/>
    </row>
    <row r="215">
      <c r="A215" s="44"/>
      <c r="B215" s="44"/>
      <c r="C215" s="44"/>
      <c r="D215" s="8"/>
      <c r="E215" s="8"/>
      <c r="F215" s="8"/>
      <c r="G215" s="8"/>
      <c r="H215" s="30"/>
    </row>
    <row r="216">
      <c r="A216" s="44"/>
      <c r="B216" s="44"/>
      <c r="C216" s="44"/>
      <c r="D216" s="8"/>
      <c r="E216" s="8"/>
      <c r="F216" s="8"/>
      <c r="G216" s="8"/>
      <c r="H216" s="30"/>
    </row>
    <row r="217">
      <c r="A217" s="44"/>
      <c r="B217" s="44"/>
      <c r="C217" s="44"/>
      <c r="D217" s="8"/>
      <c r="E217" s="8"/>
      <c r="F217" s="8"/>
      <c r="G217" s="8"/>
      <c r="H217" s="30"/>
    </row>
    <row r="218">
      <c r="A218" s="44"/>
      <c r="B218" s="44"/>
      <c r="C218" s="44"/>
      <c r="D218" s="8"/>
      <c r="E218" s="8"/>
      <c r="F218" s="8"/>
      <c r="G218" s="8"/>
      <c r="H218" s="30"/>
    </row>
    <row r="219">
      <c r="A219" s="44"/>
      <c r="B219" s="44"/>
      <c r="C219" s="44"/>
      <c r="D219" s="8"/>
      <c r="E219" s="8"/>
      <c r="F219" s="8"/>
      <c r="G219" s="8"/>
      <c r="H219" s="30"/>
    </row>
    <row r="220">
      <c r="A220" s="44"/>
      <c r="B220" s="44"/>
      <c r="C220" s="44"/>
      <c r="D220" s="8"/>
      <c r="E220" s="8"/>
      <c r="F220" s="8"/>
      <c r="G220" s="8"/>
      <c r="H220" s="30"/>
    </row>
    <row r="221">
      <c r="A221" s="44"/>
      <c r="B221" s="44"/>
      <c r="C221" s="44"/>
      <c r="D221" s="8"/>
      <c r="E221" s="8"/>
      <c r="F221" s="8"/>
      <c r="G221" s="8"/>
      <c r="H221" s="30"/>
    </row>
    <row r="222">
      <c r="A222" s="44"/>
      <c r="B222" s="44"/>
      <c r="C222" s="44"/>
      <c r="D222" s="8"/>
      <c r="E222" s="8"/>
      <c r="F222" s="8"/>
      <c r="G222" s="8"/>
      <c r="H222" s="30"/>
    </row>
    <row r="223">
      <c r="A223" s="44"/>
      <c r="B223" s="44"/>
      <c r="C223" s="44"/>
      <c r="D223" s="8"/>
      <c r="E223" s="8"/>
      <c r="F223" s="8"/>
      <c r="G223" s="8"/>
      <c r="H223" s="30"/>
    </row>
    <row r="224">
      <c r="A224" s="44"/>
      <c r="B224" s="44"/>
      <c r="C224" s="44"/>
      <c r="D224" s="8"/>
      <c r="E224" s="8"/>
      <c r="F224" s="8"/>
      <c r="G224" s="8"/>
      <c r="H224" s="30"/>
    </row>
    <row r="225">
      <c r="A225" s="44"/>
      <c r="B225" s="44"/>
      <c r="C225" s="44"/>
      <c r="D225" s="8"/>
      <c r="E225" s="8"/>
      <c r="F225" s="8"/>
      <c r="G225" s="8"/>
      <c r="H225" s="30"/>
    </row>
    <row r="226">
      <c r="A226" s="44"/>
      <c r="B226" s="44"/>
      <c r="C226" s="44"/>
      <c r="D226" s="8"/>
      <c r="E226" s="8"/>
      <c r="F226" s="8"/>
      <c r="G226" s="8"/>
      <c r="H226" s="30"/>
    </row>
    <row r="227">
      <c r="A227" s="44"/>
      <c r="B227" s="44"/>
      <c r="C227" s="44"/>
      <c r="D227" s="8"/>
      <c r="E227" s="8"/>
      <c r="F227" s="8"/>
      <c r="G227" s="8"/>
      <c r="H227" s="30"/>
    </row>
    <row r="228">
      <c r="A228" s="44"/>
      <c r="B228" s="44"/>
      <c r="C228" s="44"/>
      <c r="D228" s="8"/>
      <c r="E228" s="8"/>
      <c r="F228" s="8"/>
      <c r="G228" s="8"/>
      <c r="H228" s="30"/>
    </row>
    <row r="229">
      <c r="A229" s="44"/>
      <c r="B229" s="44"/>
      <c r="C229" s="44"/>
      <c r="D229" s="8"/>
      <c r="E229" s="8"/>
      <c r="F229" s="8"/>
      <c r="G229" s="8"/>
      <c r="H229" s="30"/>
    </row>
    <row r="230">
      <c r="A230" s="44"/>
      <c r="B230" s="44"/>
      <c r="C230" s="44"/>
      <c r="D230" s="8"/>
      <c r="E230" s="8"/>
      <c r="F230" s="8"/>
      <c r="G230" s="8"/>
      <c r="H230" s="30"/>
    </row>
    <row r="231">
      <c r="A231" s="44"/>
      <c r="B231" s="44"/>
      <c r="C231" s="44"/>
      <c r="D231" s="8"/>
      <c r="E231" s="8"/>
      <c r="F231" s="8"/>
      <c r="G231" s="8"/>
      <c r="H231" s="30"/>
    </row>
    <row r="232">
      <c r="A232" s="44"/>
      <c r="B232" s="44"/>
      <c r="C232" s="44"/>
      <c r="D232" s="8"/>
      <c r="E232" s="8"/>
      <c r="F232" s="8"/>
      <c r="G232" s="8"/>
      <c r="H232" s="30"/>
    </row>
    <row r="233">
      <c r="A233" s="44"/>
      <c r="B233" s="44"/>
      <c r="C233" s="44"/>
      <c r="D233" s="8"/>
      <c r="E233" s="8"/>
      <c r="F233" s="8"/>
      <c r="G233" s="8"/>
      <c r="H233" s="30"/>
    </row>
    <row r="234">
      <c r="A234" s="44"/>
      <c r="B234" s="44"/>
      <c r="C234" s="44"/>
      <c r="D234" s="8"/>
      <c r="E234" s="8"/>
      <c r="F234" s="8"/>
      <c r="G234" s="8"/>
      <c r="H234" s="30"/>
    </row>
    <row r="235">
      <c r="A235" s="44"/>
      <c r="B235" s="44"/>
      <c r="C235" s="44"/>
      <c r="D235" s="8"/>
      <c r="E235" s="8"/>
      <c r="F235" s="8"/>
      <c r="G235" s="8"/>
      <c r="H235" s="30"/>
    </row>
    <row r="236">
      <c r="A236" s="44"/>
      <c r="B236" s="44"/>
      <c r="C236" s="44"/>
      <c r="D236" s="8"/>
      <c r="E236" s="8"/>
      <c r="F236" s="8"/>
      <c r="G236" s="8"/>
      <c r="H236" s="30"/>
    </row>
    <row r="237">
      <c r="A237" s="44"/>
      <c r="B237" s="44"/>
      <c r="C237" s="44"/>
      <c r="D237" s="8"/>
      <c r="E237" s="8"/>
      <c r="F237" s="8"/>
      <c r="G237" s="8"/>
      <c r="H237" s="30"/>
    </row>
    <row r="238">
      <c r="A238" s="44"/>
      <c r="B238" s="44"/>
      <c r="C238" s="44"/>
      <c r="D238" s="8"/>
      <c r="E238" s="8"/>
      <c r="F238" s="8"/>
      <c r="G238" s="8"/>
      <c r="H238" s="30"/>
    </row>
    <row r="239">
      <c r="A239" s="44"/>
      <c r="B239" s="44"/>
      <c r="C239" s="44"/>
      <c r="D239" s="8"/>
      <c r="E239" s="8"/>
      <c r="F239" s="8"/>
      <c r="G239" s="8"/>
      <c r="H239" s="30"/>
    </row>
    <row r="240">
      <c r="A240" s="44"/>
      <c r="B240" s="44"/>
      <c r="C240" s="44"/>
      <c r="D240" s="8"/>
      <c r="E240" s="8"/>
      <c r="F240" s="8"/>
      <c r="G240" s="8"/>
      <c r="H240" s="30"/>
    </row>
    <row r="241">
      <c r="A241" s="44"/>
      <c r="B241" s="44"/>
      <c r="C241" s="44"/>
      <c r="D241" s="8"/>
      <c r="E241" s="8"/>
      <c r="F241" s="8"/>
      <c r="G241" s="8"/>
      <c r="H241" s="30"/>
    </row>
    <row r="242">
      <c r="A242" s="44"/>
      <c r="B242" s="44"/>
      <c r="C242" s="44"/>
      <c r="D242" s="8"/>
      <c r="E242" s="8"/>
      <c r="F242" s="8"/>
      <c r="G242" s="8"/>
      <c r="H242" s="30"/>
    </row>
    <row r="243">
      <c r="A243" s="44"/>
      <c r="B243" s="44"/>
      <c r="C243" s="44"/>
      <c r="D243" s="8"/>
      <c r="E243" s="8"/>
      <c r="F243" s="8"/>
      <c r="G243" s="8"/>
      <c r="H243" s="30"/>
    </row>
    <row r="244">
      <c r="A244" s="44"/>
      <c r="B244" s="44"/>
      <c r="C244" s="44"/>
      <c r="D244" s="8"/>
      <c r="E244" s="8"/>
      <c r="F244" s="8"/>
      <c r="G244" s="8"/>
      <c r="H244" s="30"/>
    </row>
    <row r="245">
      <c r="A245" s="44"/>
      <c r="B245" s="44"/>
      <c r="C245" s="44"/>
      <c r="D245" s="8"/>
      <c r="E245" s="8"/>
      <c r="F245" s="8"/>
      <c r="G245" s="8"/>
      <c r="H245" s="30"/>
    </row>
    <row r="246">
      <c r="A246" s="44"/>
      <c r="B246" s="44"/>
      <c r="C246" s="44"/>
      <c r="D246" s="8"/>
      <c r="E246" s="8"/>
      <c r="F246" s="8"/>
      <c r="G246" s="8"/>
      <c r="H246" s="30"/>
    </row>
    <row r="247">
      <c r="A247" s="44"/>
      <c r="B247" s="44"/>
      <c r="C247" s="44"/>
      <c r="D247" s="8"/>
      <c r="E247" s="8"/>
      <c r="F247" s="8"/>
      <c r="G247" s="8"/>
      <c r="H247" s="30"/>
    </row>
    <row r="248">
      <c r="A248" s="44"/>
      <c r="B248" s="44"/>
      <c r="C248" s="44"/>
      <c r="D248" s="8"/>
      <c r="E248" s="8"/>
      <c r="F248" s="8"/>
      <c r="G248" s="8"/>
      <c r="H248" s="30"/>
    </row>
    <row r="249">
      <c r="A249" s="44"/>
      <c r="B249" s="44"/>
      <c r="C249" s="44"/>
      <c r="D249" s="8"/>
      <c r="E249" s="8"/>
      <c r="F249" s="8"/>
      <c r="G249" s="8"/>
      <c r="H249" s="30"/>
    </row>
    <row r="250">
      <c r="A250" s="44"/>
      <c r="B250" s="44"/>
      <c r="C250" s="44"/>
      <c r="D250" s="8"/>
      <c r="E250" s="8"/>
      <c r="F250" s="8"/>
      <c r="G250" s="8"/>
      <c r="H250" s="30"/>
    </row>
    <row r="251">
      <c r="A251" s="44"/>
      <c r="B251" s="44"/>
      <c r="C251" s="44"/>
      <c r="D251" s="8"/>
      <c r="E251" s="8"/>
      <c r="F251" s="8"/>
      <c r="G251" s="8"/>
      <c r="H251" s="30"/>
    </row>
    <row r="252">
      <c r="A252" s="44"/>
      <c r="B252" s="44"/>
      <c r="C252" s="44"/>
      <c r="D252" s="8"/>
      <c r="E252" s="8"/>
      <c r="F252" s="8"/>
      <c r="G252" s="8"/>
      <c r="H252" s="30"/>
    </row>
    <row r="253">
      <c r="A253" s="44"/>
      <c r="B253" s="44"/>
      <c r="C253" s="44"/>
      <c r="D253" s="8"/>
      <c r="E253" s="8"/>
      <c r="F253" s="8"/>
      <c r="G253" s="8"/>
      <c r="H253" s="30"/>
    </row>
    <row r="254">
      <c r="A254" s="44"/>
      <c r="B254" s="44"/>
      <c r="C254" s="44"/>
      <c r="D254" s="8"/>
      <c r="E254" s="8"/>
      <c r="F254" s="8"/>
      <c r="G254" s="8"/>
      <c r="H254" s="30"/>
    </row>
    <row r="255">
      <c r="A255" s="44"/>
      <c r="B255" s="44"/>
      <c r="C255" s="44"/>
      <c r="D255" s="8"/>
      <c r="E255" s="8"/>
      <c r="F255" s="8"/>
      <c r="G255" s="8"/>
      <c r="H255" s="30"/>
    </row>
    <row r="256">
      <c r="A256" s="44"/>
      <c r="B256" s="44"/>
      <c r="C256" s="44"/>
      <c r="D256" s="8"/>
      <c r="E256" s="8"/>
      <c r="F256" s="8"/>
      <c r="G256" s="8"/>
      <c r="H256" s="30"/>
    </row>
    <row r="257">
      <c r="A257" s="44"/>
      <c r="B257" s="44"/>
      <c r="C257" s="44"/>
      <c r="D257" s="8"/>
      <c r="E257" s="8"/>
      <c r="F257" s="8"/>
      <c r="G257" s="8"/>
      <c r="H257" s="30"/>
    </row>
    <row r="258">
      <c r="A258" s="44"/>
      <c r="B258" s="44"/>
      <c r="C258" s="44"/>
      <c r="D258" s="8"/>
      <c r="E258" s="8"/>
      <c r="F258" s="8"/>
      <c r="G258" s="8"/>
      <c r="H258" s="30"/>
    </row>
    <row r="259">
      <c r="A259" s="44"/>
      <c r="B259" s="44"/>
      <c r="C259" s="44"/>
      <c r="D259" s="8"/>
      <c r="E259" s="8"/>
      <c r="F259" s="8"/>
      <c r="G259" s="8"/>
      <c r="H259" s="30"/>
    </row>
    <row r="260">
      <c r="A260" s="44"/>
      <c r="B260" s="44"/>
      <c r="C260" s="44"/>
      <c r="D260" s="8"/>
      <c r="E260" s="8"/>
      <c r="F260" s="8"/>
      <c r="G260" s="8"/>
      <c r="H260" s="30"/>
    </row>
    <row r="261">
      <c r="A261" s="44"/>
      <c r="B261" s="44"/>
      <c r="C261" s="44"/>
      <c r="D261" s="8"/>
      <c r="E261" s="8"/>
      <c r="F261" s="8"/>
      <c r="G261" s="8"/>
      <c r="H261" s="30"/>
    </row>
    <row r="262">
      <c r="A262" s="44"/>
      <c r="B262" s="44"/>
      <c r="C262" s="44"/>
      <c r="D262" s="8"/>
      <c r="E262" s="8"/>
      <c r="F262" s="8"/>
      <c r="G262" s="8"/>
      <c r="H262" s="30"/>
    </row>
    <row r="263">
      <c r="A263" s="44"/>
      <c r="B263" s="44"/>
      <c r="C263" s="44"/>
      <c r="D263" s="8"/>
      <c r="E263" s="8"/>
      <c r="F263" s="8"/>
      <c r="G263" s="8"/>
      <c r="H263" s="30"/>
    </row>
    <row r="264">
      <c r="A264" s="44"/>
      <c r="B264" s="44"/>
      <c r="C264" s="44"/>
      <c r="D264" s="8"/>
      <c r="E264" s="8"/>
      <c r="F264" s="8"/>
      <c r="G264" s="8"/>
      <c r="H264" s="30"/>
    </row>
    <row r="265">
      <c r="A265" s="44"/>
      <c r="B265" s="44"/>
      <c r="C265" s="44"/>
      <c r="D265" s="8"/>
      <c r="E265" s="8"/>
      <c r="F265" s="8"/>
      <c r="G265" s="8"/>
      <c r="H265" s="30"/>
    </row>
    <row r="266">
      <c r="A266" s="44"/>
      <c r="B266" s="44"/>
      <c r="C266" s="44"/>
      <c r="D266" s="8"/>
      <c r="E266" s="8"/>
      <c r="F266" s="8"/>
      <c r="G266" s="8"/>
      <c r="H266" s="30"/>
    </row>
    <row r="267">
      <c r="A267" s="44"/>
      <c r="B267" s="44"/>
      <c r="C267" s="44"/>
      <c r="D267" s="8"/>
      <c r="E267" s="8"/>
      <c r="F267" s="8"/>
      <c r="G267" s="8"/>
      <c r="H267" s="30"/>
    </row>
    <row r="268">
      <c r="A268" s="44"/>
      <c r="B268" s="44"/>
      <c r="C268" s="44"/>
      <c r="D268" s="8"/>
      <c r="E268" s="8"/>
      <c r="F268" s="8"/>
      <c r="G268" s="8"/>
      <c r="H268" s="30"/>
    </row>
    <row r="269">
      <c r="A269" s="44"/>
      <c r="B269" s="44"/>
      <c r="C269" s="44"/>
      <c r="D269" s="8"/>
      <c r="E269" s="8"/>
      <c r="F269" s="8"/>
      <c r="G269" s="8"/>
      <c r="H269" s="30"/>
    </row>
    <row r="270">
      <c r="A270" s="44"/>
      <c r="B270" s="44"/>
      <c r="C270" s="44"/>
      <c r="D270" s="8"/>
      <c r="E270" s="8"/>
      <c r="F270" s="8"/>
      <c r="G270" s="8"/>
      <c r="H270" s="30"/>
    </row>
    <row r="271">
      <c r="A271" s="44"/>
      <c r="B271" s="44"/>
      <c r="C271" s="44"/>
      <c r="D271" s="8"/>
      <c r="E271" s="8"/>
      <c r="F271" s="8"/>
      <c r="G271" s="8"/>
      <c r="H271" s="30"/>
    </row>
    <row r="272">
      <c r="A272" s="44"/>
      <c r="B272" s="44"/>
      <c r="C272" s="44"/>
      <c r="D272" s="8"/>
      <c r="E272" s="8"/>
      <c r="F272" s="8"/>
      <c r="G272" s="8"/>
      <c r="H272" s="30"/>
    </row>
    <row r="273">
      <c r="A273" s="44"/>
      <c r="B273" s="44"/>
      <c r="C273" s="44"/>
      <c r="D273" s="8"/>
      <c r="E273" s="8"/>
      <c r="F273" s="8"/>
      <c r="G273" s="8"/>
      <c r="H273" s="30"/>
    </row>
    <row r="274">
      <c r="A274" s="44"/>
      <c r="B274" s="44"/>
      <c r="C274" s="44"/>
      <c r="D274" s="8"/>
      <c r="E274" s="8"/>
      <c r="F274" s="8"/>
      <c r="G274" s="8"/>
      <c r="H274" s="30"/>
    </row>
    <row r="275">
      <c r="A275" s="44"/>
      <c r="B275" s="44"/>
      <c r="C275" s="44"/>
      <c r="D275" s="8"/>
      <c r="E275" s="8"/>
      <c r="F275" s="8"/>
      <c r="G275" s="8"/>
      <c r="H275" s="30"/>
    </row>
    <row r="276">
      <c r="A276" s="44"/>
      <c r="B276" s="44"/>
      <c r="C276" s="44"/>
      <c r="D276" s="8"/>
      <c r="E276" s="8"/>
      <c r="F276" s="8"/>
      <c r="G276" s="8"/>
      <c r="H276" s="30"/>
    </row>
    <row r="277">
      <c r="A277" s="44"/>
      <c r="B277" s="44"/>
      <c r="C277" s="44"/>
      <c r="D277" s="8"/>
      <c r="E277" s="8"/>
      <c r="F277" s="8"/>
      <c r="G277" s="8"/>
      <c r="H277" s="30"/>
    </row>
    <row r="278">
      <c r="A278" s="44"/>
      <c r="B278" s="44"/>
      <c r="C278" s="44"/>
      <c r="D278" s="8"/>
      <c r="E278" s="8"/>
      <c r="F278" s="8"/>
      <c r="G278" s="8"/>
      <c r="H278" s="30"/>
    </row>
    <row r="279">
      <c r="A279" s="44"/>
      <c r="B279" s="44"/>
      <c r="C279" s="44"/>
      <c r="D279" s="8"/>
      <c r="E279" s="8"/>
      <c r="F279" s="8"/>
      <c r="G279" s="8"/>
      <c r="H279" s="30"/>
    </row>
    <row r="280">
      <c r="A280" s="44"/>
      <c r="B280" s="44"/>
      <c r="C280" s="44"/>
      <c r="D280" s="8"/>
      <c r="E280" s="8"/>
      <c r="F280" s="8"/>
      <c r="G280" s="8"/>
      <c r="H280" s="30"/>
    </row>
    <row r="281">
      <c r="A281" s="44"/>
      <c r="B281" s="44"/>
      <c r="C281" s="44"/>
      <c r="D281" s="8"/>
      <c r="E281" s="8"/>
      <c r="F281" s="8"/>
      <c r="G281" s="8"/>
      <c r="H281" s="30"/>
    </row>
    <row r="282">
      <c r="A282" s="44"/>
      <c r="B282" s="44"/>
      <c r="C282" s="44"/>
      <c r="D282" s="8"/>
      <c r="E282" s="8"/>
      <c r="F282" s="8"/>
      <c r="G282" s="8"/>
      <c r="H282" s="30"/>
    </row>
    <row r="283">
      <c r="A283" s="44"/>
      <c r="B283" s="44"/>
      <c r="C283" s="44"/>
      <c r="D283" s="8"/>
      <c r="E283" s="8"/>
      <c r="F283" s="8"/>
      <c r="G283" s="8"/>
      <c r="H283" s="30"/>
    </row>
    <row r="284">
      <c r="A284" s="44"/>
      <c r="B284" s="44"/>
      <c r="C284" s="44"/>
      <c r="D284" s="8"/>
      <c r="E284" s="8"/>
      <c r="F284" s="8"/>
      <c r="G284" s="8"/>
      <c r="H284" s="30"/>
    </row>
    <row r="285">
      <c r="A285" s="44"/>
      <c r="B285" s="44"/>
      <c r="C285" s="44"/>
      <c r="D285" s="8"/>
      <c r="E285" s="8"/>
      <c r="F285" s="8"/>
      <c r="G285" s="8"/>
      <c r="H285" s="30"/>
    </row>
    <row r="286">
      <c r="A286" s="44"/>
      <c r="B286" s="44"/>
      <c r="C286" s="44"/>
      <c r="D286" s="8"/>
      <c r="E286" s="8"/>
      <c r="F286" s="8"/>
      <c r="G286" s="8"/>
      <c r="H286" s="30"/>
    </row>
    <row r="287">
      <c r="A287" s="44"/>
      <c r="B287" s="44"/>
      <c r="C287" s="44"/>
      <c r="D287" s="8"/>
      <c r="E287" s="8"/>
      <c r="F287" s="8"/>
      <c r="G287" s="8"/>
      <c r="H287" s="30"/>
    </row>
    <row r="288">
      <c r="A288" s="44"/>
      <c r="B288" s="44"/>
      <c r="C288" s="44"/>
      <c r="D288" s="8"/>
      <c r="E288" s="8"/>
      <c r="F288" s="8"/>
      <c r="G288" s="8"/>
      <c r="H288" s="30"/>
    </row>
    <row r="289">
      <c r="A289" s="44"/>
      <c r="B289" s="44"/>
      <c r="C289" s="44"/>
      <c r="D289" s="8"/>
      <c r="E289" s="8"/>
      <c r="F289" s="8"/>
      <c r="G289" s="8"/>
      <c r="H289" s="30"/>
    </row>
    <row r="290">
      <c r="A290" s="44"/>
      <c r="B290" s="44"/>
      <c r="C290" s="44"/>
      <c r="D290" s="8"/>
      <c r="E290" s="8"/>
      <c r="F290" s="8"/>
      <c r="G290" s="8"/>
      <c r="H290" s="30"/>
    </row>
    <row r="291">
      <c r="A291" s="44"/>
      <c r="B291" s="44"/>
      <c r="C291" s="44"/>
      <c r="D291" s="8"/>
      <c r="E291" s="8"/>
      <c r="F291" s="8"/>
      <c r="G291" s="8"/>
      <c r="H291" s="30"/>
    </row>
    <row r="292">
      <c r="A292" s="44"/>
      <c r="B292" s="44"/>
      <c r="C292" s="44"/>
      <c r="D292" s="8"/>
      <c r="E292" s="8"/>
      <c r="F292" s="8"/>
      <c r="G292" s="8"/>
      <c r="H292" s="30"/>
    </row>
    <row r="293">
      <c r="A293" s="44"/>
      <c r="B293" s="44"/>
      <c r="C293" s="44"/>
      <c r="D293" s="8"/>
      <c r="E293" s="8"/>
      <c r="F293" s="8"/>
      <c r="G293" s="8"/>
      <c r="H293" s="30"/>
    </row>
    <row r="294">
      <c r="A294" s="44"/>
      <c r="B294" s="44"/>
      <c r="C294" s="44"/>
      <c r="D294" s="8"/>
      <c r="E294" s="8"/>
      <c r="F294" s="8"/>
      <c r="G294" s="8"/>
      <c r="H294" s="30"/>
    </row>
    <row r="295">
      <c r="A295" s="44"/>
      <c r="B295" s="44"/>
      <c r="C295" s="44"/>
      <c r="D295" s="8"/>
      <c r="E295" s="8"/>
      <c r="F295" s="8"/>
      <c r="G295" s="8"/>
      <c r="H295" s="30"/>
    </row>
    <row r="296">
      <c r="A296" s="44"/>
      <c r="B296" s="44"/>
      <c r="C296" s="44"/>
      <c r="D296" s="8"/>
      <c r="E296" s="8"/>
      <c r="F296" s="8"/>
      <c r="G296" s="8"/>
      <c r="H296" s="30"/>
    </row>
    <row r="297">
      <c r="A297" s="44"/>
      <c r="B297" s="44"/>
      <c r="C297" s="44"/>
      <c r="D297" s="8"/>
      <c r="E297" s="8"/>
      <c r="F297" s="8"/>
      <c r="G297" s="8"/>
      <c r="H297" s="30"/>
    </row>
    <row r="298">
      <c r="A298" s="44"/>
      <c r="B298" s="44"/>
      <c r="C298" s="44"/>
      <c r="D298" s="8"/>
      <c r="E298" s="8"/>
      <c r="F298" s="8"/>
      <c r="G298" s="8"/>
      <c r="H298" s="30"/>
    </row>
    <row r="299">
      <c r="A299" s="44"/>
      <c r="B299" s="44"/>
      <c r="C299" s="44"/>
      <c r="D299" s="8"/>
      <c r="E299" s="8"/>
      <c r="F299" s="8"/>
      <c r="G299" s="8"/>
      <c r="H299" s="30"/>
    </row>
    <row r="300">
      <c r="A300" s="44"/>
      <c r="B300" s="44"/>
      <c r="C300" s="44"/>
      <c r="D300" s="8"/>
      <c r="E300" s="8"/>
      <c r="F300" s="8"/>
      <c r="G300" s="8"/>
      <c r="H300" s="30"/>
    </row>
    <row r="301">
      <c r="A301" s="44"/>
      <c r="B301" s="44"/>
      <c r="C301" s="44"/>
      <c r="D301" s="8"/>
      <c r="E301" s="8"/>
      <c r="F301" s="8"/>
      <c r="G301" s="8"/>
      <c r="H301" s="30"/>
    </row>
    <row r="302">
      <c r="A302" s="44"/>
      <c r="B302" s="44"/>
      <c r="C302" s="44"/>
      <c r="D302" s="8"/>
      <c r="E302" s="8"/>
      <c r="F302" s="8"/>
      <c r="G302" s="8"/>
      <c r="H302" s="30"/>
    </row>
    <row r="303">
      <c r="A303" s="44"/>
      <c r="B303" s="44"/>
      <c r="C303" s="44"/>
      <c r="D303" s="8"/>
      <c r="E303" s="8"/>
      <c r="F303" s="8"/>
      <c r="G303" s="8"/>
      <c r="H303" s="30"/>
    </row>
    <row r="304">
      <c r="A304" s="44"/>
      <c r="B304" s="44"/>
      <c r="C304" s="44"/>
      <c r="D304" s="8"/>
      <c r="E304" s="8"/>
      <c r="F304" s="8"/>
      <c r="G304" s="8"/>
      <c r="H304" s="30"/>
    </row>
    <row r="305">
      <c r="A305" s="44"/>
      <c r="B305" s="44"/>
      <c r="C305" s="44"/>
      <c r="D305" s="8"/>
      <c r="E305" s="8"/>
      <c r="F305" s="8"/>
      <c r="G305" s="8"/>
      <c r="H305" s="30"/>
    </row>
    <row r="306">
      <c r="A306" s="44"/>
      <c r="B306" s="44"/>
      <c r="C306" s="44"/>
      <c r="D306" s="8"/>
      <c r="E306" s="8"/>
      <c r="F306" s="8"/>
      <c r="G306" s="8"/>
      <c r="H306" s="30"/>
    </row>
    <row r="307">
      <c r="A307" s="44"/>
      <c r="B307" s="44"/>
      <c r="C307" s="44"/>
      <c r="D307" s="8"/>
      <c r="E307" s="8"/>
      <c r="F307" s="8"/>
      <c r="G307" s="8"/>
      <c r="H307" s="30"/>
    </row>
    <row r="308">
      <c r="A308" s="44"/>
      <c r="B308" s="44"/>
      <c r="C308" s="44"/>
      <c r="D308" s="8"/>
      <c r="E308" s="8"/>
      <c r="F308" s="8"/>
      <c r="G308" s="8"/>
      <c r="H308" s="30"/>
    </row>
    <row r="309">
      <c r="A309" s="44"/>
      <c r="B309" s="44"/>
      <c r="C309" s="44"/>
      <c r="D309" s="8"/>
      <c r="E309" s="8"/>
      <c r="F309" s="8"/>
      <c r="G309" s="8"/>
      <c r="H309" s="30"/>
    </row>
    <row r="310">
      <c r="A310" s="44"/>
      <c r="B310" s="44"/>
      <c r="C310" s="44"/>
      <c r="D310" s="8"/>
      <c r="E310" s="8"/>
      <c r="F310" s="8"/>
      <c r="G310" s="8"/>
      <c r="H310" s="30"/>
    </row>
    <row r="311">
      <c r="A311" s="44"/>
      <c r="B311" s="44"/>
      <c r="C311" s="44"/>
      <c r="D311" s="8"/>
      <c r="E311" s="8"/>
      <c r="F311" s="8"/>
      <c r="G311" s="8"/>
      <c r="H311" s="30"/>
    </row>
    <row r="312">
      <c r="A312" s="44"/>
      <c r="B312" s="44"/>
      <c r="C312" s="44"/>
      <c r="D312" s="8"/>
      <c r="E312" s="8"/>
      <c r="F312" s="8"/>
      <c r="G312" s="8"/>
      <c r="H312" s="30"/>
    </row>
    <row r="313">
      <c r="A313" s="44"/>
      <c r="B313" s="44"/>
      <c r="C313" s="44"/>
      <c r="D313" s="8"/>
      <c r="E313" s="8"/>
      <c r="F313" s="8"/>
      <c r="G313" s="8"/>
      <c r="H313" s="30"/>
    </row>
    <row r="314">
      <c r="A314" s="44"/>
      <c r="B314" s="44"/>
      <c r="C314" s="44"/>
      <c r="D314" s="8"/>
      <c r="E314" s="8"/>
      <c r="F314" s="8"/>
      <c r="G314" s="8"/>
      <c r="H314" s="30"/>
    </row>
    <row r="315">
      <c r="A315" s="44"/>
      <c r="B315" s="44"/>
      <c r="C315" s="44"/>
      <c r="D315" s="8"/>
      <c r="E315" s="8"/>
      <c r="F315" s="8"/>
      <c r="G315" s="8"/>
      <c r="H315" s="30"/>
    </row>
    <row r="316">
      <c r="A316" s="44"/>
      <c r="B316" s="44"/>
      <c r="C316" s="44"/>
      <c r="D316" s="8"/>
      <c r="E316" s="8"/>
      <c r="F316" s="8"/>
      <c r="G316" s="8"/>
      <c r="H316" s="30"/>
    </row>
    <row r="317">
      <c r="A317" s="44"/>
      <c r="B317" s="44"/>
      <c r="C317" s="44"/>
      <c r="D317" s="8"/>
      <c r="E317" s="8"/>
      <c r="F317" s="8"/>
      <c r="G317" s="8"/>
      <c r="H317" s="30"/>
    </row>
    <row r="318">
      <c r="A318" s="44"/>
      <c r="B318" s="44"/>
      <c r="C318" s="44"/>
      <c r="D318" s="8"/>
      <c r="E318" s="8"/>
      <c r="F318" s="8"/>
      <c r="G318" s="8"/>
      <c r="H318" s="30"/>
    </row>
    <row r="319">
      <c r="A319" s="44"/>
      <c r="B319" s="44"/>
      <c r="C319" s="44"/>
      <c r="D319" s="8"/>
      <c r="E319" s="8"/>
      <c r="F319" s="8"/>
      <c r="G319" s="8"/>
      <c r="H319" s="30"/>
    </row>
    <row r="320">
      <c r="A320" s="44"/>
      <c r="B320" s="44"/>
      <c r="C320" s="44"/>
      <c r="D320" s="8"/>
      <c r="E320" s="8"/>
      <c r="F320" s="8"/>
      <c r="G320" s="8"/>
      <c r="H320" s="30"/>
    </row>
    <row r="321">
      <c r="A321" s="44"/>
      <c r="B321" s="44"/>
      <c r="C321" s="44"/>
      <c r="D321" s="8"/>
      <c r="E321" s="8"/>
      <c r="F321" s="8"/>
      <c r="G321" s="8"/>
      <c r="H321" s="30"/>
    </row>
    <row r="322">
      <c r="A322" s="44"/>
      <c r="B322" s="44"/>
      <c r="C322" s="44"/>
      <c r="D322" s="8"/>
      <c r="E322" s="8"/>
      <c r="F322" s="8"/>
      <c r="G322" s="8"/>
      <c r="H322" s="30"/>
    </row>
    <row r="323">
      <c r="A323" s="44"/>
      <c r="B323" s="44"/>
      <c r="C323" s="44"/>
      <c r="D323" s="8"/>
      <c r="E323" s="8"/>
      <c r="F323" s="8"/>
      <c r="G323" s="8"/>
      <c r="H323" s="30"/>
    </row>
    <row r="324">
      <c r="A324" s="44"/>
      <c r="B324" s="44"/>
      <c r="C324" s="44"/>
      <c r="D324" s="8"/>
      <c r="E324" s="8"/>
      <c r="F324" s="8"/>
      <c r="G324" s="8"/>
      <c r="H324" s="30"/>
    </row>
    <row r="325">
      <c r="A325" s="44"/>
      <c r="B325" s="44"/>
      <c r="C325" s="44"/>
      <c r="D325" s="8"/>
      <c r="E325" s="8"/>
      <c r="F325" s="8"/>
      <c r="G325" s="8"/>
      <c r="H325" s="30"/>
    </row>
    <row r="326">
      <c r="A326" s="44"/>
      <c r="B326" s="44"/>
      <c r="C326" s="44"/>
      <c r="D326" s="8"/>
      <c r="E326" s="8"/>
      <c r="F326" s="8"/>
      <c r="G326" s="8"/>
      <c r="H326" s="30"/>
    </row>
    <row r="327">
      <c r="A327" s="44"/>
      <c r="B327" s="44"/>
      <c r="C327" s="44"/>
      <c r="D327" s="8"/>
      <c r="E327" s="8"/>
      <c r="F327" s="8"/>
      <c r="G327" s="8"/>
      <c r="H327" s="30"/>
    </row>
    <row r="328">
      <c r="A328" s="44"/>
      <c r="B328" s="44"/>
      <c r="C328" s="44"/>
      <c r="D328" s="8"/>
      <c r="E328" s="8"/>
      <c r="F328" s="8"/>
      <c r="G328" s="8"/>
      <c r="H328" s="30"/>
    </row>
    <row r="329">
      <c r="A329" s="44"/>
      <c r="B329" s="44"/>
      <c r="C329" s="44"/>
      <c r="D329" s="8"/>
      <c r="E329" s="8"/>
      <c r="F329" s="8"/>
      <c r="G329" s="8"/>
      <c r="H329" s="30"/>
    </row>
    <row r="330">
      <c r="A330" s="44"/>
      <c r="B330" s="44"/>
      <c r="C330" s="44"/>
      <c r="D330" s="8"/>
      <c r="E330" s="8"/>
      <c r="F330" s="8"/>
      <c r="G330" s="8"/>
      <c r="H330" s="30"/>
    </row>
    <row r="331">
      <c r="A331" s="44"/>
      <c r="B331" s="44"/>
      <c r="C331" s="44"/>
      <c r="D331" s="8"/>
      <c r="E331" s="8"/>
      <c r="F331" s="8"/>
      <c r="G331" s="8"/>
      <c r="H331" s="30"/>
    </row>
    <row r="332">
      <c r="A332" s="44"/>
      <c r="B332" s="44"/>
      <c r="C332" s="44"/>
      <c r="D332" s="8"/>
      <c r="E332" s="8"/>
      <c r="F332" s="8"/>
      <c r="G332" s="8"/>
      <c r="H332" s="30"/>
    </row>
    <row r="333">
      <c r="A333" s="44"/>
      <c r="B333" s="44"/>
      <c r="C333" s="44"/>
      <c r="D333" s="8"/>
      <c r="E333" s="8"/>
      <c r="F333" s="8"/>
      <c r="G333" s="8"/>
      <c r="H333" s="30"/>
    </row>
    <row r="334">
      <c r="A334" s="44"/>
      <c r="B334" s="44"/>
      <c r="C334" s="44"/>
      <c r="D334" s="8"/>
      <c r="E334" s="8"/>
      <c r="F334" s="8"/>
      <c r="G334" s="8"/>
      <c r="H334" s="30"/>
    </row>
    <row r="335">
      <c r="A335" s="44"/>
      <c r="B335" s="44"/>
      <c r="C335" s="44"/>
      <c r="D335" s="8"/>
      <c r="E335" s="8"/>
      <c r="F335" s="8"/>
      <c r="G335" s="8"/>
      <c r="H335" s="30"/>
    </row>
    <row r="336">
      <c r="A336" s="44"/>
      <c r="B336" s="44"/>
      <c r="C336" s="44"/>
      <c r="D336" s="8"/>
      <c r="E336" s="8"/>
      <c r="F336" s="8"/>
      <c r="G336" s="8"/>
      <c r="H336" s="30"/>
    </row>
    <row r="337">
      <c r="A337" s="44"/>
      <c r="B337" s="44"/>
      <c r="C337" s="44"/>
      <c r="D337" s="8"/>
      <c r="E337" s="8"/>
      <c r="F337" s="8"/>
      <c r="G337" s="8"/>
      <c r="H337" s="30"/>
    </row>
    <row r="338">
      <c r="A338" s="44"/>
      <c r="B338" s="44"/>
      <c r="C338" s="44"/>
      <c r="D338" s="8"/>
      <c r="E338" s="8"/>
      <c r="F338" s="8"/>
      <c r="G338" s="8"/>
      <c r="H338" s="30"/>
    </row>
    <row r="339">
      <c r="A339" s="44"/>
      <c r="B339" s="44"/>
      <c r="C339" s="44"/>
      <c r="D339" s="8"/>
      <c r="E339" s="8"/>
      <c r="F339" s="8"/>
      <c r="G339" s="8"/>
      <c r="H339" s="30"/>
    </row>
    <row r="340">
      <c r="A340" s="44"/>
      <c r="B340" s="44"/>
      <c r="C340" s="44"/>
      <c r="D340" s="8"/>
      <c r="E340" s="8"/>
      <c r="F340" s="8"/>
      <c r="G340" s="8"/>
      <c r="H340" s="30"/>
    </row>
    <row r="341">
      <c r="A341" s="44"/>
      <c r="B341" s="44"/>
      <c r="C341" s="44"/>
      <c r="D341" s="8"/>
      <c r="E341" s="8"/>
      <c r="F341" s="8"/>
      <c r="G341" s="8"/>
      <c r="H341" s="30"/>
    </row>
    <row r="342">
      <c r="A342" s="44"/>
      <c r="B342" s="44"/>
      <c r="C342" s="44"/>
      <c r="D342" s="8"/>
      <c r="E342" s="8"/>
      <c r="F342" s="8"/>
      <c r="G342" s="8"/>
      <c r="H342" s="30"/>
    </row>
    <row r="343">
      <c r="A343" s="44"/>
      <c r="B343" s="44"/>
      <c r="C343" s="44"/>
      <c r="D343" s="8"/>
      <c r="E343" s="8"/>
      <c r="F343" s="8"/>
      <c r="G343" s="8"/>
      <c r="H343" s="30"/>
    </row>
    <row r="344">
      <c r="A344" s="44"/>
      <c r="B344" s="44"/>
      <c r="C344" s="44"/>
      <c r="D344" s="8"/>
      <c r="E344" s="8"/>
      <c r="F344" s="8"/>
      <c r="G344" s="8"/>
      <c r="H344" s="30"/>
    </row>
    <row r="345">
      <c r="A345" s="44"/>
      <c r="B345" s="44"/>
      <c r="C345" s="44"/>
      <c r="D345" s="8"/>
      <c r="E345" s="8"/>
      <c r="F345" s="8"/>
      <c r="G345" s="8"/>
      <c r="H345" s="30"/>
    </row>
    <row r="346">
      <c r="A346" s="44"/>
      <c r="B346" s="44"/>
      <c r="C346" s="44"/>
      <c r="D346" s="8"/>
      <c r="E346" s="8"/>
      <c r="F346" s="8"/>
      <c r="G346" s="8"/>
      <c r="H346" s="30"/>
    </row>
    <row r="347">
      <c r="A347" s="44"/>
      <c r="B347" s="44"/>
      <c r="C347" s="44"/>
      <c r="D347" s="8"/>
      <c r="E347" s="8"/>
      <c r="F347" s="8"/>
      <c r="G347" s="8"/>
      <c r="H347" s="30"/>
    </row>
    <row r="348">
      <c r="A348" s="44"/>
      <c r="B348" s="44"/>
      <c r="C348" s="44"/>
      <c r="D348" s="8"/>
      <c r="E348" s="8"/>
      <c r="F348" s="8"/>
      <c r="G348" s="8"/>
      <c r="H348" s="30"/>
    </row>
    <row r="349">
      <c r="A349" s="44"/>
      <c r="B349" s="44"/>
      <c r="C349" s="44"/>
      <c r="D349" s="8"/>
      <c r="E349" s="8"/>
      <c r="F349" s="8"/>
      <c r="G349" s="8"/>
      <c r="H349" s="30"/>
    </row>
    <row r="350">
      <c r="A350" s="44"/>
      <c r="B350" s="44"/>
      <c r="C350" s="44"/>
      <c r="D350" s="8"/>
      <c r="E350" s="8"/>
      <c r="F350" s="8"/>
      <c r="G350" s="8"/>
      <c r="H350" s="30"/>
    </row>
    <row r="351">
      <c r="A351" s="44"/>
      <c r="B351" s="44"/>
      <c r="C351" s="44"/>
      <c r="D351" s="8"/>
      <c r="E351" s="8"/>
      <c r="F351" s="8"/>
      <c r="G351" s="8"/>
      <c r="H351" s="30"/>
    </row>
    <row r="352">
      <c r="A352" s="44"/>
      <c r="B352" s="44"/>
      <c r="C352" s="44"/>
      <c r="D352" s="8"/>
      <c r="E352" s="8"/>
      <c r="F352" s="8"/>
      <c r="G352" s="8"/>
      <c r="H352" s="30"/>
    </row>
    <row r="353">
      <c r="A353" s="44"/>
      <c r="B353" s="44"/>
      <c r="C353" s="44"/>
      <c r="D353" s="8"/>
      <c r="E353" s="8"/>
      <c r="F353" s="8"/>
      <c r="G353" s="8"/>
      <c r="H353" s="30"/>
    </row>
    <row r="354">
      <c r="A354" s="44"/>
      <c r="B354" s="44"/>
      <c r="C354" s="44"/>
      <c r="D354" s="8"/>
      <c r="E354" s="8"/>
      <c r="F354" s="8"/>
      <c r="G354" s="8"/>
      <c r="H354" s="30"/>
    </row>
    <row r="355">
      <c r="A355" s="44"/>
      <c r="B355" s="44"/>
      <c r="C355" s="44"/>
      <c r="D355" s="8"/>
      <c r="E355" s="8"/>
      <c r="F355" s="8"/>
      <c r="G355" s="8"/>
      <c r="H355" s="30"/>
    </row>
    <row r="356">
      <c r="A356" s="44"/>
      <c r="B356" s="44"/>
      <c r="C356" s="44"/>
      <c r="D356" s="8"/>
      <c r="E356" s="8"/>
      <c r="F356" s="8"/>
      <c r="G356" s="8"/>
      <c r="H356" s="30"/>
    </row>
    <row r="357">
      <c r="A357" s="44"/>
      <c r="B357" s="44"/>
      <c r="C357" s="44"/>
      <c r="D357" s="8"/>
      <c r="E357" s="8"/>
      <c r="F357" s="8"/>
      <c r="G357" s="8"/>
      <c r="H357" s="30"/>
    </row>
    <row r="358">
      <c r="A358" s="44"/>
      <c r="B358" s="44"/>
      <c r="C358" s="44"/>
      <c r="D358" s="8"/>
      <c r="E358" s="8"/>
      <c r="F358" s="8"/>
      <c r="G358" s="8"/>
      <c r="H358" s="30"/>
    </row>
    <row r="359">
      <c r="A359" s="44"/>
      <c r="B359" s="44"/>
      <c r="C359" s="44"/>
      <c r="D359" s="8"/>
      <c r="E359" s="8"/>
      <c r="F359" s="8"/>
      <c r="G359" s="8"/>
      <c r="H359" s="30"/>
    </row>
    <row r="360">
      <c r="A360" s="44"/>
      <c r="B360" s="44"/>
      <c r="C360" s="44"/>
      <c r="D360" s="8"/>
      <c r="E360" s="8"/>
      <c r="F360" s="8"/>
      <c r="G360" s="8"/>
      <c r="H360" s="30"/>
    </row>
    <row r="361">
      <c r="A361" s="44"/>
      <c r="B361" s="44"/>
      <c r="C361" s="44"/>
      <c r="D361" s="8"/>
      <c r="E361" s="8"/>
      <c r="F361" s="8"/>
      <c r="G361" s="8"/>
      <c r="H361" s="30"/>
    </row>
    <row r="362">
      <c r="A362" s="44"/>
      <c r="B362" s="44"/>
      <c r="C362" s="44"/>
      <c r="D362" s="8"/>
      <c r="E362" s="8"/>
      <c r="F362" s="8"/>
      <c r="G362" s="8"/>
      <c r="H362" s="30"/>
    </row>
    <row r="363">
      <c r="A363" s="44"/>
      <c r="B363" s="44"/>
      <c r="C363" s="44"/>
      <c r="D363" s="8"/>
      <c r="E363" s="8"/>
      <c r="F363" s="8"/>
      <c r="G363" s="8"/>
      <c r="H363" s="30"/>
    </row>
    <row r="364">
      <c r="A364" s="44"/>
      <c r="B364" s="44"/>
      <c r="C364" s="44"/>
      <c r="D364" s="8"/>
      <c r="E364" s="8"/>
      <c r="F364" s="8"/>
      <c r="G364" s="8"/>
      <c r="H364" s="30"/>
    </row>
    <row r="365">
      <c r="A365" s="44"/>
      <c r="B365" s="44"/>
      <c r="C365" s="44"/>
      <c r="D365" s="8"/>
      <c r="E365" s="8"/>
      <c r="F365" s="8"/>
      <c r="G365" s="8"/>
      <c r="H365" s="30"/>
    </row>
    <row r="366">
      <c r="A366" s="44"/>
      <c r="B366" s="44"/>
      <c r="C366" s="44"/>
      <c r="D366" s="8"/>
      <c r="E366" s="8"/>
      <c r="F366" s="8"/>
      <c r="G366" s="8"/>
      <c r="H366" s="30"/>
    </row>
    <row r="367">
      <c r="A367" s="44"/>
      <c r="B367" s="44"/>
      <c r="C367" s="44"/>
      <c r="D367" s="8"/>
      <c r="E367" s="8"/>
      <c r="F367" s="8"/>
      <c r="G367" s="8"/>
      <c r="H367" s="30"/>
    </row>
    <row r="368">
      <c r="A368" s="44"/>
      <c r="B368" s="44"/>
      <c r="C368" s="44"/>
      <c r="D368" s="8"/>
      <c r="E368" s="8"/>
      <c r="F368" s="8"/>
      <c r="G368" s="8"/>
      <c r="H368" s="30"/>
    </row>
    <row r="369">
      <c r="A369" s="44"/>
      <c r="B369" s="44"/>
      <c r="C369" s="44"/>
      <c r="D369" s="8"/>
      <c r="E369" s="8"/>
      <c r="F369" s="8"/>
      <c r="G369" s="8"/>
      <c r="H369" s="30"/>
    </row>
    <row r="370">
      <c r="A370" s="44"/>
      <c r="B370" s="44"/>
      <c r="C370" s="44"/>
      <c r="D370" s="8"/>
      <c r="E370" s="8"/>
      <c r="F370" s="8"/>
      <c r="G370" s="8"/>
      <c r="H370" s="30"/>
    </row>
    <row r="371">
      <c r="A371" s="44"/>
      <c r="B371" s="44"/>
      <c r="C371" s="44"/>
      <c r="D371" s="8"/>
      <c r="E371" s="8"/>
      <c r="F371" s="8"/>
      <c r="G371" s="8"/>
      <c r="H371" s="30"/>
    </row>
    <row r="372">
      <c r="A372" s="44"/>
      <c r="B372" s="44"/>
      <c r="C372" s="44"/>
      <c r="D372" s="8"/>
      <c r="E372" s="8"/>
      <c r="F372" s="8"/>
      <c r="G372" s="8"/>
      <c r="H372" s="30"/>
    </row>
    <row r="373">
      <c r="A373" s="44"/>
      <c r="B373" s="44"/>
      <c r="C373" s="44"/>
      <c r="D373" s="8"/>
      <c r="E373" s="8"/>
      <c r="F373" s="8"/>
      <c r="G373" s="8"/>
      <c r="H373" s="30"/>
    </row>
    <row r="374">
      <c r="A374" s="44"/>
      <c r="B374" s="44"/>
      <c r="C374" s="44"/>
      <c r="D374" s="8"/>
      <c r="E374" s="8"/>
      <c r="F374" s="8"/>
      <c r="G374" s="8"/>
      <c r="H374" s="30"/>
    </row>
    <row r="375">
      <c r="A375" s="44"/>
      <c r="B375" s="44"/>
      <c r="C375" s="44"/>
      <c r="D375" s="8"/>
      <c r="E375" s="8"/>
      <c r="F375" s="8"/>
      <c r="G375" s="8"/>
      <c r="H375" s="30"/>
    </row>
    <row r="376">
      <c r="A376" s="44"/>
      <c r="B376" s="44"/>
      <c r="C376" s="44"/>
      <c r="D376" s="8"/>
      <c r="E376" s="8"/>
      <c r="F376" s="8"/>
      <c r="G376" s="8"/>
      <c r="H376" s="30"/>
    </row>
    <row r="377">
      <c r="A377" s="44"/>
      <c r="B377" s="44"/>
      <c r="C377" s="44"/>
      <c r="D377" s="8"/>
      <c r="E377" s="8"/>
      <c r="F377" s="8"/>
      <c r="G377" s="8"/>
      <c r="H377" s="30"/>
    </row>
    <row r="378">
      <c r="A378" s="44"/>
      <c r="B378" s="44"/>
      <c r="C378" s="44"/>
      <c r="D378" s="8"/>
      <c r="E378" s="8"/>
      <c r="F378" s="8"/>
      <c r="G378" s="8"/>
      <c r="H378" s="30"/>
    </row>
    <row r="379">
      <c r="A379" s="44"/>
      <c r="B379" s="44"/>
      <c r="C379" s="44"/>
      <c r="D379" s="8"/>
      <c r="E379" s="8"/>
      <c r="F379" s="8"/>
      <c r="G379" s="8"/>
      <c r="H379" s="30"/>
    </row>
    <row r="380">
      <c r="A380" s="44"/>
      <c r="B380" s="44"/>
      <c r="C380" s="44"/>
      <c r="D380" s="8"/>
      <c r="E380" s="8"/>
      <c r="F380" s="8"/>
      <c r="G380" s="8"/>
      <c r="H380" s="30"/>
    </row>
    <row r="381">
      <c r="A381" s="44"/>
      <c r="B381" s="44"/>
      <c r="C381" s="44"/>
      <c r="D381" s="8"/>
      <c r="E381" s="8"/>
      <c r="F381" s="8"/>
      <c r="G381" s="8"/>
      <c r="H381" s="30"/>
    </row>
    <row r="382">
      <c r="A382" s="44"/>
      <c r="B382" s="44"/>
      <c r="C382" s="44"/>
      <c r="D382" s="8"/>
      <c r="E382" s="8"/>
      <c r="F382" s="8"/>
      <c r="G382" s="8"/>
      <c r="H382" s="30"/>
    </row>
    <row r="383">
      <c r="A383" s="44"/>
      <c r="B383" s="44"/>
      <c r="C383" s="44"/>
      <c r="D383" s="8"/>
      <c r="E383" s="8"/>
      <c r="F383" s="8"/>
      <c r="G383" s="8"/>
      <c r="H383" s="30"/>
    </row>
    <row r="384">
      <c r="A384" s="44"/>
      <c r="B384" s="44"/>
      <c r="C384" s="44"/>
      <c r="D384" s="8"/>
      <c r="E384" s="8"/>
      <c r="F384" s="8"/>
      <c r="G384" s="8"/>
      <c r="H384" s="30"/>
    </row>
    <row r="385">
      <c r="A385" s="44"/>
      <c r="B385" s="44"/>
      <c r="C385" s="44"/>
      <c r="D385" s="8"/>
      <c r="E385" s="8"/>
      <c r="F385" s="8"/>
      <c r="G385" s="8"/>
      <c r="H385" s="30"/>
    </row>
    <row r="386">
      <c r="A386" s="44"/>
      <c r="B386" s="44"/>
      <c r="C386" s="44"/>
      <c r="D386" s="8"/>
      <c r="E386" s="8"/>
      <c r="F386" s="8"/>
      <c r="G386" s="8"/>
      <c r="H386" s="30"/>
    </row>
    <row r="387">
      <c r="A387" s="44"/>
      <c r="B387" s="44"/>
      <c r="C387" s="44"/>
      <c r="D387" s="8"/>
      <c r="E387" s="8"/>
      <c r="F387" s="8"/>
      <c r="G387" s="8"/>
      <c r="H387" s="30"/>
    </row>
    <row r="388">
      <c r="A388" s="44"/>
      <c r="B388" s="44"/>
      <c r="C388" s="44"/>
      <c r="D388" s="8"/>
      <c r="E388" s="8"/>
      <c r="F388" s="8"/>
      <c r="G388" s="8"/>
      <c r="H388" s="30"/>
    </row>
    <row r="389">
      <c r="A389" s="44"/>
      <c r="B389" s="44"/>
      <c r="C389" s="44"/>
      <c r="D389" s="8"/>
      <c r="E389" s="8"/>
      <c r="F389" s="8"/>
      <c r="G389" s="8"/>
      <c r="H389" s="30"/>
    </row>
    <row r="390">
      <c r="A390" s="44"/>
      <c r="B390" s="44"/>
      <c r="C390" s="44"/>
      <c r="D390" s="8"/>
      <c r="E390" s="8"/>
      <c r="F390" s="8"/>
      <c r="G390" s="8"/>
      <c r="H390" s="30"/>
    </row>
    <row r="391">
      <c r="A391" s="44"/>
      <c r="B391" s="44"/>
      <c r="C391" s="44"/>
      <c r="D391" s="8"/>
      <c r="E391" s="8"/>
      <c r="F391" s="8"/>
      <c r="G391" s="8"/>
      <c r="H391" s="30"/>
    </row>
    <row r="392">
      <c r="A392" s="44"/>
      <c r="B392" s="44"/>
      <c r="C392" s="44"/>
      <c r="D392" s="8"/>
      <c r="E392" s="8"/>
      <c r="F392" s="8"/>
      <c r="G392" s="8"/>
      <c r="H392" s="30"/>
    </row>
    <row r="393">
      <c r="A393" s="44"/>
      <c r="B393" s="44"/>
      <c r="C393" s="44"/>
      <c r="D393" s="8"/>
      <c r="E393" s="8"/>
      <c r="F393" s="8"/>
      <c r="G393" s="8"/>
      <c r="H393" s="30"/>
    </row>
    <row r="394">
      <c r="A394" s="44"/>
      <c r="B394" s="44"/>
      <c r="C394" s="44"/>
      <c r="D394" s="8"/>
      <c r="E394" s="8"/>
      <c r="F394" s="8"/>
      <c r="G394" s="8"/>
      <c r="H394" s="30"/>
    </row>
    <row r="395">
      <c r="A395" s="44"/>
      <c r="B395" s="44"/>
      <c r="C395" s="44"/>
      <c r="D395" s="8"/>
      <c r="E395" s="8"/>
      <c r="F395" s="8"/>
      <c r="G395" s="8"/>
      <c r="H395" s="30"/>
    </row>
    <row r="396">
      <c r="A396" s="44"/>
      <c r="B396" s="44"/>
      <c r="C396" s="44"/>
      <c r="D396" s="8"/>
      <c r="E396" s="8"/>
      <c r="F396" s="8"/>
      <c r="G396" s="8"/>
      <c r="H396" s="30"/>
    </row>
    <row r="397">
      <c r="A397" s="44"/>
      <c r="B397" s="44"/>
      <c r="C397" s="44"/>
      <c r="D397" s="8"/>
      <c r="E397" s="8"/>
      <c r="F397" s="8"/>
      <c r="G397" s="8"/>
      <c r="H397" s="30"/>
    </row>
    <row r="398">
      <c r="A398" s="44"/>
      <c r="B398" s="44"/>
      <c r="C398" s="44"/>
      <c r="D398" s="8"/>
      <c r="E398" s="8"/>
      <c r="F398" s="8"/>
      <c r="G398" s="8"/>
      <c r="H398" s="30"/>
    </row>
    <row r="399">
      <c r="A399" s="44"/>
      <c r="B399" s="44"/>
      <c r="C399" s="44"/>
      <c r="D399" s="8"/>
      <c r="E399" s="8"/>
      <c r="F399" s="8"/>
      <c r="G399" s="8"/>
      <c r="H399" s="30"/>
    </row>
    <row r="400">
      <c r="A400" s="44"/>
      <c r="B400" s="44"/>
      <c r="C400" s="44"/>
      <c r="D400" s="8"/>
      <c r="E400" s="8"/>
      <c r="F400" s="8"/>
      <c r="G400" s="8"/>
      <c r="H400" s="30"/>
    </row>
    <row r="401">
      <c r="A401" s="44"/>
      <c r="B401" s="44"/>
      <c r="C401" s="44"/>
      <c r="D401" s="8"/>
      <c r="E401" s="8"/>
      <c r="F401" s="8"/>
      <c r="G401" s="8"/>
      <c r="H401" s="30"/>
    </row>
    <row r="402">
      <c r="A402" s="44"/>
      <c r="B402" s="44"/>
      <c r="C402" s="44"/>
      <c r="D402" s="8"/>
      <c r="E402" s="8"/>
      <c r="F402" s="8"/>
      <c r="G402" s="8"/>
      <c r="H402" s="30"/>
    </row>
    <row r="403">
      <c r="A403" s="44"/>
      <c r="B403" s="44"/>
      <c r="C403" s="44"/>
      <c r="D403" s="8"/>
      <c r="E403" s="8"/>
      <c r="F403" s="8"/>
      <c r="G403" s="8"/>
      <c r="H403" s="30"/>
    </row>
    <row r="404">
      <c r="A404" s="44"/>
      <c r="B404" s="44"/>
      <c r="C404" s="44"/>
      <c r="D404" s="8"/>
      <c r="E404" s="8"/>
      <c r="F404" s="8"/>
      <c r="G404" s="8"/>
      <c r="H404" s="30"/>
    </row>
    <row r="405">
      <c r="A405" s="44"/>
      <c r="B405" s="44"/>
      <c r="C405" s="44"/>
      <c r="D405" s="8"/>
      <c r="E405" s="8"/>
      <c r="F405" s="8"/>
      <c r="G405" s="8"/>
      <c r="H405" s="30"/>
    </row>
    <row r="406">
      <c r="A406" s="44"/>
      <c r="B406" s="44"/>
      <c r="C406" s="44"/>
      <c r="D406" s="8"/>
      <c r="E406" s="8"/>
      <c r="F406" s="8"/>
      <c r="G406" s="8"/>
      <c r="H406" s="30"/>
    </row>
    <row r="407">
      <c r="A407" s="44"/>
      <c r="B407" s="44"/>
      <c r="C407" s="44"/>
      <c r="D407" s="8"/>
      <c r="E407" s="8"/>
      <c r="F407" s="8"/>
      <c r="G407" s="8"/>
      <c r="H407" s="30"/>
    </row>
    <row r="408">
      <c r="A408" s="44"/>
      <c r="B408" s="44"/>
      <c r="C408" s="44"/>
      <c r="D408" s="8"/>
      <c r="E408" s="8"/>
      <c r="F408" s="8"/>
      <c r="G408" s="8"/>
      <c r="H408" s="30"/>
    </row>
    <row r="409">
      <c r="A409" s="44"/>
      <c r="B409" s="44"/>
      <c r="C409" s="44"/>
      <c r="D409" s="8"/>
      <c r="E409" s="8"/>
      <c r="F409" s="8"/>
      <c r="G409" s="8"/>
      <c r="H409" s="30"/>
    </row>
    <row r="410">
      <c r="A410" s="44"/>
      <c r="B410" s="44"/>
      <c r="C410" s="44"/>
      <c r="D410" s="8"/>
      <c r="E410" s="8"/>
      <c r="F410" s="8"/>
      <c r="G410" s="8"/>
      <c r="H410" s="30"/>
    </row>
    <row r="411">
      <c r="A411" s="44"/>
      <c r="B411" s="44"/>
      <c r="C411" s="44"/>
      <c r="D411" s="8"/>
      <c r="E411" s="8"/>
      <c r="F411" s="8"/>
      <c r="G411" s="8"/>
      <c r="H411" s="30"/>
    </row>
    <row r="412">
      <c r="A412" s="44"/>
      <c r="B412" s="44"/>
      <c r="C412" s="44"/>
      <c r="D412" s="8"/>
      <c r="E412" s="8"/>
      <c r="F412" s="8"/>
      <c r="G412" s="8"/>
      <c r="H412" s="30"/>
    </row>
    <row r="413">
      <c r="A413" s="44"/>
      <c r="B413" s="44"/>
      <c r="C413" s="44"/>
      <c r="D413" s="8"/>
      <c r="E413" s="8"/>
      <c r="F413" s="8"/>
      <c r="G413" s="8"/>
      <c r="H413" s="30"/>
    </row>
    <row r="414">
      <c r="A414" s="44"/>
      <c r="B414" s="44"/>
      <c r="C414" s="44"/>
      <c r="D414" s="8"/>
      <c r="E414" s="8"/>
      <c r="F414" s="8"/>
      <c r="G414" s="8"/>
      <c r="H414" s="30"/>
    </row>
    <row r="415">
      <c r="A415" s="44"/>
      <c r="B415" s="44"/>
      <c r="C415" s="44"/>
      <c r="D415" s="8"/>
      <c r="E415" s="8"/>
      <c r="F415" s="8"/>
      <c r="G415" s="8"/>
      <c r="H415" s="30"/>
    </row>
    <row r="416">
      <c r="A416" s="44"/>
      <c r="B416" s="44"/>
      <c r="C416" s="44"/>
      <c r="D416" s="8"/>
      <c r="E416" s="8"/>
      <c r="F416" s="8"/>
      <c r="G416" s="8"/>
      <c r="H416" s="30"/>
    </row>
    <row r="417">
      <c r="A417" s="44"/>
      <c r="B417" s="44"/>
      <c r="C417" s="44"/>
      <c r="D417" s="8"/>
      <c r="E417" s="8"/>
      <c r="F417" s="8"/>
      <c r="G417" s="8"/>
      <c r="H417" s="30"/>
    </row>
    <row r="418">
      <c r="A418" s="44"/>
      <c r="B418" s="44"/>
      <c r="C418" s="44"/>
      <c r="D418" s="8"/>
      <c r="E418" s="8"/>
      <c r="F418" s="8"/>
      <c r="G418" s="8"/>
      <c r="H418" s="30"/>
    </row>
    <row r="419">
      <c r="A419" s="44"/>
      <c r="B419" s="44"/>
      <c r="C419" s="44"/>
      <c r="D419" s="8"/>
      <c r="E419" s="8"/>
      <c r="F419" s="8"/>
      <c r="G419" s="8"/>
      <c r="H419" s="30"/>
    </row>
    <row r="420">
      <c r="A420" s="44"/>
      <c r="B420" s="44"/>
      <c r="C420" s="44"/>
      <c r="D420" s="8"/>
      <c r="E420" s="8"/>
      <c r="F420" s="8"/>
      <c r="G420" s="8"/>
      <c r="H420" s="30"/>
    </row>
    <row r="421">
      <c r="A421" s="44"/>
      <c r="B421" s="44"/>
      <c r="C421" s="44"/>
      <c r="D421" s="8"/>
      <c r="E421" s="8"/>
      <c r="F421" s="8"/>
      <c r="G421" s="8"/>
      <c r="H421" s="30"/>
    </row>
    <row r="422">
      <c r="A422" s="44"/>
      <c r="B422" s="44"/>
      <c r="C422" s="44"/>
      <c r="D422" s="8"/>
      <c r="E422" s="8"/>
      <c r="F422" s="8"/>
      <c r="G422" s="8"/>
      <c r="H422" s="30"/>
    </row>
    <row r="423">
      <c r="A423" s="44"/>
      <c r="B423" s="44"/>
      <c r="C423" s="44"/>
      <c r="D423" s="8"/>
      <c r="E423" s="8"/>
      <c r="F423" s="8"/>
      <c r="G423" s="8"/>
      <c r="H423" s="30"/>
    </row>
    <row r="424">
      <c r="A424" s="44"/>
      <c r="B424" s="44"/>
      <c r="C424" s="44"/>
      <c r="D424" s="8"/>
      <c r="E424" s="8"/>
      <c r="F424" s="8"/>
      <c r="G424" s="8"/>
      <c r="H424" s="30"/>
    </row>
    <row r="425">
      <c r="A425" s="44"/>
      <c r="B425" s="44"/>
      <c r="C425" s="44"/>
      <c r="D425" s="8"/>
      <c r="E425" s="8"/>
      <c r="F425" s="8"/>
      <c r="G425" s="8"/>
      <c r="H425" s="30"/>
    </row>
    <row r="426">
      <c r="A426" s="44"/>
      <c r="B426" s="44"/>
      <c r="C426" s="44"/>
      <c r="D426" s="8"/>
      <c r="E426" s="8"/>
      <c r="F426" s="8"/>
      <c r="G426" s="8"/>
      <c r="H426" s="30"/>
    </row>
    <row r="427">
      <c r="A427" s="44"/>
      <c r="B427" s="44"/>
      <c r="C427" s="44"/>
      <c r="D427" s="8"/>
      <c r="E427" s="8"/>
      <c r="F427" s="8"/>
      <c r="G427" s="8"/>
      <c r="H427" s="30"/>
    </row>
    <row r="428">
      <c r="A428" s="44"/>
      <c r="B428" s="44"/>
      <c r="C428" s="44"/>
      <c r="D428" s="8"/>
      <c r="E428" s="8"/>
      <c r="F428" s="8"/>
      <c r="G428" s="8"/>
      <c r="H428" s="30"/>
    </row>
    <row r="429">
      <c r="A429" s="44"/>
      <c r="B429" s="44"/>
      <c r="C429" s="44"/>
      <c r="D429" s="8"/>
      <c r="E429" s="8"/>
      <c r="F429" s="8"/>
      <c r="G429" s="8"/>
      <c r="H429" s="30"/>
    </row>
    <row r="430">
      <c r="A430" s="44"/>
      <c r="B430" s="44"/>
      <c r="C430" s="44"/>
      <c r="D430" s="8"/>
      <c r="E430" s="8"/>
      <c r="F430" s="8"/>
      <c r="G430" s="8"/>
      <c r="H430" s="30"/>
    </row>
    <row r="431">
      <c r="A431" s="44"/>
      <c r="B431" s="44"/>
      <c r="C431" s="44"/>
      <c r="D431" s="8"/>
      <c r="E431" s="8"/>
      <c r="F431" s="8"/>
      <c r="G431" s="8"/>
      <c r="H431" s="30"/>
    </row>
    <row r="432">
      <c r="A432" s="44"/>
      <c r="B432" s="44"/>
      <c r="C432" s="44"/>
      <c r="D432" s="8"/>
      <c r="E432" s="8"/>
      <c r="F432" s="8"/>
      <c r="G432" s="8"/>
      <c r="H432" s="30"/>
    </row>
    <row r="433">
      <c r="A433" s="44"/>
      <c r="B433" s="44"/>
      <c r="C433" s="44"/>
      <c r="D433" s="8"/>
      <c r="E433" s="8"/>
      <c r="F433" s="8"/>
      <c r="G433" s="8"/>
      <c r="H433" s="30"/>
    </row>
    <row r="434">
      <c r="A434" s="44"/>
      <c r="B434" s="44"/>
      <c r="C434" s="44"/>
      <c r="D434" s="8"/>
      <c r="E434" s="8"/>
      <c r="F434" s="8"/>
      <c r="G434" s="8"/>
      <c r="H434" s="30"/>
    </row>
    <row r="435">
      <c r="A435" s="44"/>
      <c r="B435" s="44"/>
      <c r="C435" s="44"/>
      <c r="D435" s="8"/>
      <c r="E435" s="8"/>
      <c r="F435" s="8"/>
      <c r="G435" s="8"/>
      <c r="H435" s="30"/>
    </row>
    <row r="436">
      <c r="A436" s="44"/>
      <c r="B436" s="44"/>
      <c r="C436" s="44"/>
      <c r="D436" s="8"/>
      <c r="E436" s="8"/>
      <c r="F436" s="8"/>
      <c r="G436" s="8"/>
      <c r="H436" s="30"/>
    </row>
    <row r="437">
      <c r="A437" s="44"/>
      <c r="B437" s="44"/>
      <c r="C437" s="44"/>
      <c r="D437" s="8"/>
      <c r="E437" s="8"/>
      <c r="F437" s="8"/>
      <c r="G437" s="8"/>
      <c r="H437" s="30"/>
    </row>
    <row r="438">
      <c r="A438" s="44"/>
      <c r="B438" s="44"/>
      <c r="C438" s="44"/>
      <c r="D438" s="8"/>
      <c r="E438" s="8"/>
      <c r="F438" s="8"/>
      <c r="G438" s="8"/>
      <c r="H438" s="30"/>
    </row>
    <row r="439">
      <c r="A439" s="44"/>
      <c r="B439" s="44"/>
      <c r="C439" s="44"/>
      <c r="D439" s="8"/>
      <c r="E439" s="8"/>
      <c r="F439" s="8"/>
      <c r="G439" s="8"/>
      <c r="H439" s="30"/>
    </row>
    <row r="440">
      <c r="A440" s="44"/>
      <c r="B440" s="44"/>
      <c r="C440" s="44"/>
      <c r="D440" s="8"/>
      <c r="E440" s="8"/>
      <c r="F440" s="8"/>
      <c r="G440" s="8"/>
      <c r="H440" s="30"/>
    </row>
    <row r="441">
      <c r="A441" s="44"/>
      <c r="B441" s="44"/>
      <c r="C441" s="44"/>
      <c r="D441" s="8"/>
      <c r="E441" s="8"/>
      <c r="F441" s="8"/>
      <c r="G441" s="8"/>
      <c r="H441" s="30"/>
    </row>
    <row r="442">
      <c r="A442" s="44"/>
      <c r="B442" s="44"/>
      <c r="C442" s="44"/>
      <c r="D442" s="8"/>
      <c r="E442" s="8"/>
      <c r="F442" s="8"/>
      <c r="G442" s="8"/>
      <c r="H442" s="30"/>
    </row>
    <row r="443">
      <c r="A443" s="44"/>
      <c r="B443" s="44"/>
      <c r="C443" s="44"/>
      <c r="D443" s="8"/>
      <c r="E443" s="8"/>
      <c r="F443" s="8"/>
      <c r="G443" s="8"/>
      <c r="H443" s="30"/>
    </row>
    <row r="444">
      <c r="A444" s="44"/>
      <c r="B444" s="44"/>
      <c r="C444" s="44"/>
      <c r="D444" s="8"/>
      <c r="E444" s="8"/>
      <c r="F444" s="8"/>
      <c r="G444" s="8"/>
      <c r="H444" s="30"/>
    </row>
    <row r="445">
      <c r="A445" s="44"/>
      <c r="B445" s="44"/>
      <c r="C445" s="44"/>
      <c r="D445" s="8"/>
      <c r="E445" s="8"/>
      <c r="F445" s="8"/>
      <c r="G445" s="8"/>
      <c r="H445" s="30"/>
    </row>
    <row r="446">
      <c r="A446" s="44"/>
      <c r="B446" s="44"/>
      <c r="C446" s="44"/>
      <c r="D446" s="8"/>
      <c r="E446" s="8"/>
      <c r="F446" s="8"/>
      <c r="G446" s="8"/>
      <c r="H446" s="30"/>
    </row>
    <row r="447">
      <c r="A447" s="44"/>
      <c r="B447" s="44"/>
      <c r="C447" s="44"/>
      <c r="D447" s="8"/>
      <c r="E447" s="8"/>
      <c r="F447" s="8"/>
      <c r="G447" s="8"/>
      <c r="H447" s="30"/>
    </row>
    <row r="448">
      <c r="A448" s="44"/>
      <c r="B448" s="44"/>
      <c r="C448" s="44"/>
      <c r="D448" s="8"/>
      <c r="E448" s="8"/>
      <c r="F448" s="8"/>
      <c r="G448" s="8"/>
      <c r="H448" s="30"/>
    </row>
    <row r="449">
      <c r="A449" s="44"/>
      <c r="B449" s="44"/>
      <c r="C449" s="44"/>
      <c r="D449" s="8"/>
      <c r="E449" s="8"/>
      <c r="F449" s="8"/>
      <c r="G449" s="8"/>
      <c r="H449" s="30"/>
    </row>
    <row r="450">
      <c r="A450" s="44"/>
      <c r="B450" s="44"/>
      <c r="C450" s="44"/>
      <c r="D450" s="8"/>
      <c r="E450" s="8"/>
      <c r="F450" s="8"/>
      <c r="G450" s="8"/>
      <c r="H450" s="30"/>
    </row>
    <row r="451">
      <c r="A451" s="44"/>
      <c r="B451" s="44"/>
      <c r="C451" s="44"/>
      <c r="D451" s="8"/>
      <c r="E451" s="8"/>
      <c r="F451" s="8"/>
      <c r="G451" s="8"/>
      <c r="H451" s="30"/>
    </row>
    <row r="452">
      <c r="A452" s="44"/>
      <c r="B452" s="44"/>
      <c r="C452" s="44"/>
      <c r="D452" s="8"/>
      <c r="E452" s="8"/>
      <c r="F452" s="8"/>
      <c r="G452" s="8"/>
      <c r="H452" s="30"/>
    </row>
    <row r="453">
      <c r="A453" s="44"/>
      <c r="B453" s="44"/>
      <c r="C453" s="44"/>
      <c r="D453" s="8"/>
      <c r="E453" s="8"/>
      <c r="F453" s="8"/>
      <c r="G453" s="8"/>
      <c r="H453" s="30"/>
    </row>
    <row r="454">
      <c r="A454" s="44"/>
      <c r="B454" s="44"/>
      <c r="C454" s="44"/>
      <c r="D454" s="8"/>
      <c r="E454" s="8"/>
      <c r="F454" s="8"/>
      <c r="G454" s="8"/>
      <c r="H454" s="30"/>
    </row>
    <row r="455">
      <c r="A455" s="44"/>
      <c r="B455" s="44"/>
      <c r="C455" s="44"/>
      <c r="D455" s="8"/>
      <c r="E455" s="8"/>
      <c r="F455" s="8"/>
      <c r="G455" s="8"/>
      <c r="H455" s="30"/>
    </row>
    <row r="456">
      <c r="A456" s="44"/>
      <c r="B456" s="44"/>
      <c r="C456" s="44"/>
      <c r="D456" s="8"/>
      <c r="E456" s="8"/>
      <c r="F456" s="8"/>
      <c r="G456" s="8"/>
      <c r="H456" s="30"/>
    </row>
    <row r="457">
      <c r="A457" s="44"/>
      <c r="B457" s="44"/>
      <c r="C457" s="44"/>
      <c r="D457" s="8"/>
      <c r="E457" s="8"/>
      <c r="F457" s="8"/>
      <c r="G457" s="8"/>
      <c r="H457" s="30"/>
    </row>
    <row r="458">
      <c r="A458" s="44"/>
      <c r="B458" s="44"/>
      <c r="C458" s="44"/>
      <c r="D458" s="8"/>
      <c r="E458" s="8"/>
      <c r="F458" s="8"/>
      <c r="G458" s="8"/>
      <c r="H458" s="30"/>
    </row>
    <row r="459">
      <c r="A459" s="44"/>
      <c r="B459" s="44"/>
      <c r="C459" s="44"/>
      <c r="D459" s="8"/>
      <c r="E459" s="8"/>
      <c r="F459" s="8"/>
      <c r="G459" s="8"/>
      <c r="H459" s="30"/>
    </row>
    <row r="460">
      <c r="A460" s="44"/>
      <c r="B460" s="44"/>
      <c r="C460" s="44"/>
      <c r="D460" s="8"/>
      <c r="E460" s="8"/>
      <c r="F460" s="8"/>
      <c r="G460" s="8"/>
      <c r="H460" s="30"/>
    </row>
    <row r="461">
      <c r="A461" s="44"/>
      <c r="B461" s="44"/>
      <c r="C461" s="44"/>
      <c r="D461" s="8"/>
      <c r="E461" s="8"/>
      <c r="F461" s="8"/>
      <c r="G461" s="8"/>
      <c r="H461" s="30"/>
    </row>
    <row r="462">
      <c r="A462" s="44"/>
      <c r="B462" s="44"/>
      <c r="C462" s="44"/>
      <c r="D462" s="8"/>
      <c r="E462" s="8"/>
      <c r="F462" s="8"/>
      <c r="G462" s="8"/>
      <c r="H462" s="30"/>
    </row>
    <row r="463">
      <c r="A463" s="44"/>
      <c r="B463" s="44"/>
      <c r="C463" s="44"/>
      <c r="D463" s="8"/>
      <c r="E463" s="8"/>
      <c r="F463" s="8"/>
      <c r="G463" s="8"/>
      <c r="H463" s="30"/>
    </row>
    <row r="464">
      <c r="A464" s="44"/>
      <c r="B464" s="44"/>
      <c r="C464" s="44"/>
      <c r="D464" s="8"/>
      <c r="E464" s="8"/>
      <c r="F464" s="8"/>
      <c r="G464" s="8"/>
      <c r="H464" s="30"/>
    </row>
    <row r="465">
      <c r="A465" s="44"/>
      <c r="B465" s="44"/>
      <c r="C465" s="44"/>
      <c r="D465" s="8"/>
      <c r="E465" s="8"/>
      <c r="F465" s="8"/>
      <c r="G465" s="8"/>
      <c r="H465" s="30"/>
    </row>
    <row r="466">
      <c r="A466" s="44"/>
      <c r="B466" s="44"/>
      <c r="C466" s="44"/>
      <c r="D466" s="8"/>
      <c r="E466" s="8"/>
      <c r="F466" s="8"/>
      <c r="G466" s="8"/>
      <c r="H466" s="30"/>
    </row>
    <row r="467">
      <c r="A467" s="44"/>
      <c r="B467" s="44"/>
      <c r="C467" s="44"/>
      <c r="D467" s="8"/>
      <c r="E467" s="8"/>
      <c r="F467" s="8"/>
      <c r="G467" s="8"/>
      <c r="H467" s="30"/>
    </row>
    <row r="468">
      <c r="A468" s="44"/>
      <c r="B468" s="44"/>
      <c r="C468" s="44"/>
      <c r="D468" s="8"/>
      <c r="E468" s="8"/>
      <c r="F468" s="8"/>
      <c r="G468" s="8"/>
      <c r="H468" s="30"/>
    </row>
    <row r="469">
      <c r="A469" s="44"/>
      <c r="B469" s="44"/>
      <c r="C469" s="44"/>
      <c r="D469" s="8"/>
      <c r="E469" s="8"/>
      <c r="F469" s="8"/>
      <c r="G469" s="8"/>
      <c r="H469" s="30"/>
    </row>
    <row r="470">
      <c r="A470" s="44"/>
      <c r="B470" s="44"/>
      <c r="C470" s="44"/>
      <c r="D470" s="8"/>
      <c r="E470" s="8"/>
      <c r="F470" s="8"/>
      <c r="G470" s="8"/>
      <c r="H470" s="30"/>
    </row>
    <row r="471">
      <c r="A471" s="44"/>
      <c r="B471" s="44"/>
      <c r="C471" s="44"/>
      <c r="D471" s="8"/>
      <c r="E471" s="8"/>
      <c r="F471" s="8"/>
      <c r="G471" s="8"/>
      <c r="H471" s="30"/>
    </row>
    <row r="472">
      <c r="A472" s="44"/>
      <c r="B472" s="44"/>
      <c r="C472" s="44"/>
      <c r="D472" s="8"/>
      <c r="E472" s="8"/>
      <c r="F472" s="8"/>
      <c r="G472" s="8"/>
      <c r="H472" s="30"/>
    </row>
    <row r="473">
      <c r="A473" s="44"/>
      <c r="B473" s="44"/>
      <c r="C473" s="44"/>
      <c r="D473" s="8"/>
      <c r="E473" s="8"/>
      <c r="F473" s="8"/>
      <c r="G473" s="8"/>
      <c r="H473" s="30"/>
    </row>
    <row r="474">
      <c r="A474" s="44"/>
      <c r="B474" s="44"/>
      <c r="C474" s="44"/>
      <c r="D474" s="8"/>
      <c r="E474" s="8"/>
      <c r="F474" s="8"/>
      <c r="G474" s="8"/>
      <c r="H474" s="30"/>
    </row>
    <row r="475">
      <c r="A475" s="44"/>
      <c r="B475" s="44"/>
      <c r="C475" s="44"/>
      <c r="D475" s="8"/>
      <c r="E475" s="8"/>
      <c r="F475" s="8"/>
      <c r="G475" s="8"/>
      <c r="H475" s="30"/>
    </row>
    <row r="476">
      <c r="A476" s="44"/>
      <c r="B476" s="44"/>
      <c r="C476" s="44"/>
      <c r="D476" s="8"/>
      <c r="E476" s="8"/>
      <c r="F476" s="8"/>
      <c r="G476" s="8"/>
      <c r="H476" s="30"/>
    </row>
    <row r="477">
      <c r="A477" s="44"/>
      <c r="B477" s="44"/>
      <c r="C477" s="44"/>
      <c r="D477" s="8"/>
      <c r="E477" s="8"/>
      <c r="F477" s="8"/>
      <c r="G477" s="8"/>
      <c r="H477" s="30"/>
    </row>
    <row r="478">
      <c r="A478" s="44"/>
      <c r="B478" s="44"/>
      <c r="C478" s="44"/>
      <c r="D478" s="8"/>
      <c r="E478" s="8"/>
      <c r="F478" s="8"/>
      <c r="G478" s="8"/>
      <c r="H478" s="30"/>
    </row>
    <row r="479">
      <c r="A479" s="44"/>
      <c r="B479" s="44"/>
      <c r="C479" s="44"/>
      <c r="D479" s="8"/>
      <c r="E479" s="8"/>
      <c r="F479" s="8"/>
      <c r="G479" s="8"/>
      <c r="H479" s="30"/>
    </row>
    <row r="480">
      <c r="A480" s="44"/>
      <c r="B480" s="44"/>
      <c r="C480" s="44"/>
      <c r="D480" s="8"/>
      <c r="E480" s="8"/>
      <c r="F480" s="8"/>
      <c r="G480" s="8"/>
      <c r="H480" s="30"/>
    </row>
    <row r="481">
      <c r="A481" s="44"/>
      <c r="B481" s="44"/>
      <c r="C481" s="44"/>
      <c r="D481" s="8"/>
      <c r="E481" s="8"/>
      <c r="F481" s="8"/>
      <c r="G481" s="8"/>
      <c r="H481" s="30"/>
    </row>
    <row r="482">
      <c r="A482" s="44"/>
      <c r="B482" s="44"/>
      <c r="C482" s="44"/>
      <c r="D482" s="8"/>
      <c r="E482" s="8"/>
      <c r="F482" s="8"/>
      <c r="G482" s="8"/>
      <c r="H482" s="30"/>
    </row>
    <row r="483">
      <c r="A483" s="44"/>
      <c r="B483" s="44"/>
      <c r="C483" s="44"/>
      <c r="D483" s="8"/>
      <c r="E483" s="8"/>
      <c r="F483" s="8"/>
      <c r="G483" s="8"/>
      <c r="H483" s="30"/>
    </row>
    <row r="484">
      <c r="A484" s="44"/>
      <c r="B484" s="44"/>
      <c r="C484" s="44"/>
      <c r="D484" s="8"/>
      <c r="E484" s="8"/>
      <c r="F484" s="8"/>
      <c r="G484" s="8"/>
      <c r="H484" s="30"/>
    </row>
    <row r="485">
      <c r="A485" s="44"/>
      <c r="B485" s="44"/>
      <c r="C485" s="44"/>
      <c r="D485" s="8"/>
      <c r="E485" s="8"/>
      <c r="F485" s="8"/>
      <c r="G485" s="8"/>
      <c r="H485" s="30"/>
    </row>
    <row r="486">
      <c r="A486" s="44"/>
      <c r="B486" s="44"/>
      <c r="C486" s="44"/>
      <c r="D486" s="8"/>
      <c r="E486" s="8"/>
      <c r="F486" s="8"/>
      <c r="G486" s="8"/>
      <c r="H486" s="30"/>
    </row>
    <row r="487">
      <c r="A487" s="44"/>
      <c r="B487" s="44"/>
      <c r="C487" s="44"/>
      <c r="D487" s="8"/>
      <c r="E487" s="8"/>
      <c r="F487" s="8"/>
      <c r="G487" s="8"/>
      <c r="H487" s="30"/>
    </row>
    <row r="488">
      <c r="A488" s="44"/>
      <c r="B488" s="44"/>
      <c r="C488" s="44"/>
      <c r="D488" s="8"/>
      <c r="E488" s="8"/>
      <c r="F488" s="8"/>
      <c r="G488" s="8"/>
      <c r="H488" s="30"/>
    </row>
    <row r="489">
      <c r="A489" s="44"/>
      <c r="B489" s="44"/>
      <c r="C489" s="44"/>
      <c r="D489" s="8"/>
      <c r="E489" s="8"/>
      <c r="F489" s="8"/>
      <c r="G489" s="8"/>
      <c r="H489" s="30"/>
    </row>
    <row r="490">
      <c r="A490" s="44"/>
      <c r="B490" s="44"/>
      <c r="C490" s="44"/>
      <c r="D490" s="8"/>
      <c r="E490" s="8"/>
      <c r="F490" s="8"/>
      <c r="G490" s="8"/>
      <c r="H490" s="30"/>
    </row>
    <row r="491">
      <c r="A491" s="44"/>
      <c r="B491" s="44"/>
      <c r="C491" s="44"/>
      <c r="D491" s="8"/>
      <c r="E491" s="8"/>
      <c r="F491" s="8"/>
      <c r="G491" s="8"/>
      <c r="H491" s="30"/>
    </row>
    <row r="492">
      <c r="A492" s="44"/>
      <c r="B492" s="44"/>
      <c r="C492" s="44"/>
      <c r="D492" s="8"/>
      <c r="E492" s="8"/>
      <c r="F492" s="8"/>
      <c r="G492" s="8"/>
      <c r="H492" s="30"/>
    </row>
    <row r="493">
      <c r="A493" s="44"/>
      <c r="B493" s="44"/>
      <c r="C493" s="44"/>
      <c r="D493" s="8"/>
      <c r="E493" s="8"/>
      <c r="F493" s="8"/>
      <c r="G493" s="8"/>
      <c r="H493" s="30"/>
    </row>
    <row r="494">
      <c r="A494" s="44"/>
      <c r="B494" s="44"/>
      <c r="C494" s="44"/>
      <c r="D494" s="8"/>
      <c r="E494" s="8"/>
      <c r="F494" s="8"/>
      <c r="G494" s="8"/>
      <c r="H494" s="30"/>
    </row>
    <row r="495">
      <c r="A495" s="44"/>
      <c r="B495" s="44"/>
      <c r="C495" s="44"/>
      <c r="D495" s="8"/>
      <c r="E495" s="8"/>
      <c r="F495" s="8"/>
      <c r="G495" s="8"/>
      <c r="H495" s="30"/>
    </row>
    <row r="496">
      <c r="A496" s="44"/>
      <c r="B496" s="44"/>
      <c r="C496" s="44"/>
      <c r="D496" s="8"/>
      <c r="E496" s="8"/>
      <c r="F496" s="8"/>
      <c r="G496" s="8"/>
      <c r="H496" s="30"/>
    </row>
    <row r="497">
      <c r="A497" s="44"/>
      <c r="B497" s="44"/>
      <c r="C497" s="44"/>
      <c r="D497" s="8"/>
      <c r="E497" s="8"/>
      <c r="F497" s="8"/>
      <c r="G497" s="8"/>
      <c r="H497" s="30"/>
    </row>
    <row r="498">
      <c r="A498" s="44"/>
      <c r="B498" s="44"/>
      <c r="C498" s="44"/>
      <c r="D498" s="8"/>
      <c r="E498" s="8"/>
      <c r="F498" s="8"/>
      <c r="G498" s="8"/>
      <c r="H498" s="30"/>
    </row>
    <row r="499">
      <c r="A499" s="44"/>
      <c r="B499" s="44"/>
      <c r="C499" s="44"/>
      <c r="D499" s="8"/>
      <c r="E499" s="8"/>
      <c r="F499" s="8"/>
      <c r="G499" s="8"/>
      <c r="H499" s="30"/>
    </row>
    <row r="500">
      <c r="A500" s="44"/>
      <c r="B500" s="44"/>
      <c r="C500" s="44"/>
      <c r="D500" s="8"/>
      <c r="E500" s="8"/>
      <c r="F500" s="8"/>
      <c r="G500" s="8"/>
      <c r="H500" s="30"/>
    </row>
    <row r="501">
      <c r="A501" s="44"/>
      <c r="B501" s="44"/>
      <c r="C501" s="44"/>
      <c r="D501" s="8"/>
      <c r="E501" s="8"/>
      <c r="F501" s="8"/>
      <c r="G501" s="8"/>
      <c r="H501" s="30"/>
    </row>
    <row r="502">
      <c r="A502" s="44"/>
      <c r="B502" s="44"/>
      <c r="C502" s="44"/>
      <c r="D502" s="8"/>
      <c r="E502" s="8"/>
      <c r="F502" s="8"/>
      <c r="G502" s="8"/>
      <c r="H502" s="30"/>
    </row>
    <row r="503">
      <c r="A503" s="44"/>
      <c r="B503" s="44"/>
      <c r="C503" s="44"/>
      <c r="D503" s="8"/>
      <c r="E503" s="8"/>
      <c r="F503" s="8"/>
      <c r="G503" s="8"/>
      <c r="H503" s="30"/>
    </row>
    <row r="504">
      <c r="A504" s="44"/>
      <c r="B504" s="44"/>
      <c r="C504" s="44"/>
      <c r="D504" s="8"/>
      <c r="E504" s="8"/>
      <c r="F504" s="8"/>
      <c r="G504" s="8"/>
      <c r="H504" s="30"/>
    </row>
    <row r="505">
      <c r="A505" s="44"/>
      <c r="B505" s="44"/>
      <c r="C505" s="44"/>
      <c r="D505" s="8"/>
      <c r="E505" s="8"/>
      <c r="F505" s="8"/>
      <c r="G505" s="8"/>
      <c r="H505" s="30"/>
    </row>
    <row r="506">
      <c r="A506" s="44"/>
      <c r="B506" s="44"/>
      <c r="C506" s="44"/>
      <c r="D506" s="8"/>
      <c r="E506" s="8"/>
      <c r="F506" s="8"/>
      <c r="G506" s="8"/>
      <c r="H506" s="30"/>
    </row>
    <row r="507">
      <c r="A507" s="44"/>
      <c r="B507" s="44"/>
      <c r="C507" s="44"/>
      <c r="D507" s="8"/>
      <c r="E507" s="8"/>
      <c r="F507" s="8"/>
      <c r="G507" s="8"/>
      <c r="H507" s="30"/>
    </row>
    <row r="508">
      <c r="A508" s="44"/>
      <c r="B508" s="44"/>
      <c r="C508" s="44"/>
      <c r="D508" s="8"/>
      <c r="E508" s="8"/>
      <c r="F508" s="8"/>
      <c r="G508" s="8"/>
      <c r="H508" s="30"/>
    </row>
    <row r="509">
      <c r="A509" s="44"/>
      <c r="B509" s="44"/>
      <c r="C509" s="44"/>
      <c r="D509" s="8"/>
      <c r="E509" s="8"/>
      <c r="F509" s="8"/>
      <c r="G509" s="8"/>
      <c r="H509" s="30"/>
    </row>
    <row r="510">
      <c r="A510" s="44"/>
      <c r="B510" s="44"/>
      <c r="C510" s="44"/>
      <c r="D510" s="8"/>
      <c r="E510" s="8"/>
      <c r="F510" s="8"/>
      <c r="G510" s="8"/>
      <c r="H510" s="30"/>
    </row>
    <row r="511">
      <c r="A511" s="44"/>
      <c r="B511" s="44"/>
      <c r="C511" s="44"/>
      <c r="D511" s="8"/>
      <c r="E511" s="8"/>
      <c r="F511" s="8"/>
      <c r="G511" s="8"/>
      <c r="H511" s="30"/>
    </row>
    <row r="512">
      <c r="A512" s="44"/>
      <c r="B512" s="44"/>
      <c r="C512" s="44"/>
      <c r="D512" s="8"/>
      <c r="E512" s="8"/>
      <c r="F512" s="8"/>
      <c r="G512" s="8"/>
      <c r="H512" s="30"/>
    </row>
    <row r="513">
      <c r="A513" s="44"/>
      <c r="B513" s="44"/>
      <c r="C513" s="44"/>
      <c r="D513" s="8"/>
      <c r="E513" s="8"/>
      <c r="F513" s="8"/>
      <c r="G513" s="8"/>
      <c r="H513" s="30"/>
    </row>
    <row r="514">
      <c r="A514" s="44"/>
      <c r="B514" s="44"/>
      <c r="C514" s="44"/>
      <c r="D514" s="8"/>
      <c r="E514" s="8"/>
      <c r="F514" s="8"/>
      <c r="G514" s="8"/>
      <c r="H514" s="30"/>
    </row>
    <row r="515">
      <c r="A515" s="44"/>
      <c r="B515" s="44"/>
      <c r="C515" s="44"/>
      <c r="D515" s="8"/>
      <c r="E515" s="8"/>
      <c r="F515" s="8"/>
      <c r="G515" s="8"/>
      <c r="H515" s="30"/>
    </row>
    <row r="516">
      <c r="A516" s="44"/>
      <c r="B516" s="44"/>
      <c r="C516" s="44"/>
      <c r="D516" s="8"/>
      <c r="E516" s="8"/>
      <c r="F516" s="8"/>
      <c r="G516" s="8"/>
      <c r="H516" s="30"/>
    </row>
    <row r="517">
      <c r="A517" s="44"/>
      <c r="B517" s="44"/>
      <c r="C517" s="44"/>
      <c r="D517" s="8"/>
      <c r="E517" s="8"/>
      <c r="F517" s="8"/>
      <c r="G517" s="8"/>
      <c r="H517" s="30"/>
    </row>
    <row r="518">
      <c r="A518" s="44"/>
      <c r="B518" s="44"/>
      <c r="C518" s="44"/>
      <c r="D518" s="8"/>
      <c r="E518" s="8"/>
      <c r="F518" s="8"/>
      <c r="G518" s="8"/>
      <c r="H518" s="30"/>
    </row>
    <row r="519">
      <c r="A519" s="44"/>
      <c r="B519" s="44"/>
      <c r="C519" s="44"/>
      <c r="D519" s="8"/>
      <c r="E519" s="8"/>
      <c r="F519" s="8"/>
      <c r="G519" s="8"/>
      <c r="H519" s="30"/>
    </row>
    <row r="520">
      <c r="A520" s="44"/>
      <c r="B520" s="44"/>
      <c r="C520" s="44"/>
      <c r="D520" s="8"/>
      <c r="E520" s="8"/>
      <c r="F520" s="8"/>
      <c r="G520" s="8"/>
      <c r="H520" s="30"/>
    </row>
    <row r="521">
      <c r="A521" s="44"/>
      <c r="B521" s="44"/>
      <c r="C521" s="44"/>
      <c r="D521" s="8"/>
      <c r="E521" s="8"/>
      <c r="F521" s="8"/>
      <c r="G521" s="8"/>
      <c r="H521" s="30"/>
    </row>
    <row r="522">
      <c r="A522" s="44"/>
      <c r="B522" s="44"/>
      <c r="C522" s="44"/>
      <c r="D522" s="8"/>
      <c r="E522" s="8"/>
      <c r="F522" s="8"/>
      <c r="G522" s="8"/>
      <c r="H522" s="30"/>
    </row>
    <row r="523">
      <c r="A523" s="44"/>
      <c r="B523" s="44"/>
      <c r="C523" s="44"/>
      <c r="D523" s="8"/>
      <c r="E523" s="8"/>
      <c r="F523" s="8"/>
      <c r="G523" s="8"/>
      <c r="H523" s="30"/>
    </row>
    <row r="524">
      <c r="A524" s="44"/>
      <c r="B524" s="44"/>
      <c r="C524" s="44"/>
      <c r="D524" s="8"/>
      <c r="E524" s="8"/>
      <c r="F524" s="8"/>
      <c r="G524" s="8"/>
      <c r="H524" s="30"/>
    </row>
    <row r="525">
      <c r="A525" s="44"/>
      <c r="B525" s="44"/>
      <c r="C525" s="44"/>
      <c r="D525" s="8"/>
      <c r="E525" s="8"/>
      <c r="F525" s="8"/>
      <c r="G525" s="8"/>
      <c r="H525" s="30"/>
    </row>
    <row r="526">
      <c r="A526" s="44"/>
      <c r="B526" s="44"/>
      <c r="C526" s="44"/>
      <c r="D526" s="8"/>
      <c r="E526" s="8"/>
      <c r="F526" s="8"/>
      <c r="G526" s="8"/>
      <c r="H526" s="30"/>
    </row>
    <row r="527">
      <c r="A527" s="44"/>
      <c r="B527" s="44"/>
      <c r="C527" s="44"/>
      <c r="D527" s="8"/>
      <c r="E527" s="8"/>
      <c r="F527" s="8"/>
      <c r="G527" s="8"/>
      <c r="H527" s="30"/>
    </row>
    <row r="528">
      <c r="A528" s="44"/>
      <c r="B528" s="44"/>
      <c r="C528" s="44"/>
      <c r="D528" s="8"/>
      <c r="E528" s="8"/>
      <c r="F528" s="8"/>
      <c r="G528" s="8"/>
      <c r="H528" s="30"/>
    </row>
    <row r="529">
      <c r="A529" s="44"/>
      <c r="B529" s="44"/>
      <c r="C529" s="44"/>
      <c r="D529" s="8"/>
      <c r="E529" s="8"/>
      <c r="F529" s="8"/>
      <c r="G529" s="8"/>
      <c r="H529" s="30"/>
    </row>
    <row r="530">
      <c r="A530" s="44"/>
      <c r="B530" s="44"/>
      <c r="C530" s="44"/>
      <c r="D530" s="8"/>
      <c r="E530" s="8"/>
      <c r="F530" s="8"/>
      <c r="G530" s="8"/>
      <c r="H530" s="30"/>
    </row>
    <row r="531">
      <c r="A531" s="44"/>
      <c r="B531" s="44"/>
      <c r="C531" s="44"/>
      <c r="D531" s="8"/>
      <c r="E531" s="8"/>
      <c r="F531" s="8"/>
      <c r="G531" s="8"/>
      <c r="H531" s="30"/>
    </row>
    <row r="532">
      <c r="A532" s="44"/>
      <c r="B532" s="44"/>
      <c r="C532" s="44"/>
      <c r="D532" s="8"/>
      <c r="E532" s="8"/>
      <c r="F532" s="8"/>
      <c r="G532" s="8"/>
      <c r="H532" s="30"/>
    </row>
    <row r="533">
      <c r="A533" s="44"/>
      <c r="B533" s="44"/>
      <c r="C533" s="44"/>
      <c r="D533" s="8"/>
      <c r="E533" s="8"/>
      <c r="F533" s="8"/>
      <c r="G533" s="8"/>
      <c r="H533" s="30"/>
    </row>
    <row r="534">
      <c r="A534" s="44"/>
      <c r="B534" s="44"/>
      <c r="C534" s="44"/>
      <c r="D534" s="8"/>
      <c r="E534" s="8"/>
      <c r="F534" s="8"/>
      <c r="G534" s="8"/>
      <c r="H534" s="30"/>
    </row>
    <row r="535">
      <c r="A535" s="44"/>
      <c r="B535" s="44"/>
      <c r="C535" s="44"/>
      <c r="D535" s="8"/>
      <c r="E535" s="8"/>
      <c r="F535" s="8"/>
      <c r="G535" s="8"/>
      <c r="H535" s="30"/>
    </row>
    <row r="536">
      <c r="A536" s="44"/>
      <c r="B536" s="44"/>
      <c r="C536" s="44"/>
      <c r="D536" s="8"/>
      <c r="E536" s="8"/>
      <c r="F536" s="8"/>
      <c r="G536" s="8"/>
      <c r="H536" s="30"/>
    </row>
    <row r="537">
      <c r="A537" s="44"/>
      <c r="B537" s="44"/>
      <c r="C537" s="44"/>
      <c r="D537" s="8"/>
      <c r="E537" s="8"/>
      <c r="F537" s="8"/>
      <c r="G537" s="8"/>
      <c r="H537" s="30"/>
    </row>
    <row r="538">
      <c r="A538" s="44"/>
      <c r="B538" s="44"/>
      <c r="C538" s="44"/>
      <c r="D538" s="8"/>
      <c r="E538" s="8"/>
      <c r="F538" s="8"/>
      <c r="G538" s="8"/>
      <c r="H538" s="30"/>
    </row>
    <row r="539">
      <c r="A539" s="44"/>
      <c r="B539" s="44"/>
      <c r="C539" s="44"/>
      <c r="D539" s="8"/>
      <c r="E539" s="8"/>
      <c r="F539" s="8"/>
      <c r="G539" s="8"/>
      <c r="H539" s="30"/>
    </row>
    <row r="540">
      <c r="A540" s="44"/>
      <c r="B540" s="44"/>
      <c r="C540" s="44"/>
      <c r="D540" s="8"/>
      <c r="E540" s="8"/>
      <c r="F540" s="8"/>
      <c r="G540" s="8"/>
      <c r="H540" s="30"/>
    </row>
    <row r="541">
      <c r="A541" s="44"/>
      <c r="B541" s="44"/>
      <c r="C541" s="44"/>
      <c r="D541" s="8"/>
      <c r="E541" s="8"/>
      <c r="F541" s="8"/>
      <c r="G541" s="8"/>
      <c r="H541" s="30"/>
    </row>
    <row r="542">
      <c r="A542" s="44"/>
      <c r="B542" s="44"/>
      <c r="C542" s="44"/>
      <c r="D542" s="8"/>
      <c r="E542" s="8"/>
      <c r="F542" s="8"/>
      <c r="G542" s="8"/>
      <c r="H542" s="30"/>
    </row>
    <row r="543">
      <c r="A543" s="44"/>
      <c r="B543" s="44"/>
      <c r="C543" s="44"/>
      <c r="D543" s="8"/>
      <c r="E543" s="8"/>
      <c r="F543" s="8"/>
      <c r="G543" s="8"/>
      <c r="H543" s="30"/>
    </row>
    <row r="544">
      <c r="A544" s="44"/>
      <c r="B544" s="44"/>
      <c r="C544" s="44"/>
      <c r="D544" s="8"/>
      <c r="E544" s="8"/>
      <c r="F544" s="8"/>
      <c r="G544" s="8"/>
      <c r="H544" s="30"/>
    </row>
    <row r="545">
      <c r="A545" s="44"/>
      <c r="B545" s="44"/>
      <c r="C545" s="44"/>
      <c r="D545" s="8"/>
      <c r="E545" s="8"/>
      <c r="F545" s="8"/>
      <c r="G545" s="8"/>
      <c r="H545" s="30"/>
    </row>
    <row r="546">
      <c r="A546" s="44"/>
      <c r="B546" s="44"/>
      <c r="C546" s="44"/>
      <c r="D546" s="8"/>
      <c r="E546" s="8"/>
      <c r="F546" s="8"/>
      <c r="G546" s="8"/>
      <c r="H546" s="30"/>
    </row>
    <row r="547">
      <c r="A547" s="44"/>
      <c r="B547" s="44"/>
      <c r="C547" s="44"/>
      <c r="D547" s="8"/>
      <c r="E547" s="8"/>
      <c r="F547" s="8"/>
      <c r="G547" s="8"/>
      <c r="H547" s="30"/>
    </row>
    <row r="548">
      <c r="A548" s="44"/>
      <c r="B548" s="44"/>
      <c r="C548" s="44"/>
      <c r="D548" s="8"/>
      <c r="E548" s="8"/>
      <c r="F548" s="8"/>
      <c r="G548" s="8"/>
      <c r="H548" s="30"/>
    </row>
    <row r="549">
      <c r="A549" s="44"/>
      <c r="B549" s="44"/>
      <c r="C549" s="44"/>
      <c r="D549" s="8"/>
      <c r="E549" s="8"/>
      <c r="F549" s="8"/>
      <c r="G549" s="8"/>
      <c r="H549" s="30"/>
    </row>
    <row r="550">
      <c r="A550" s="44"/>
      <c r="B550" s="44"/>
      <c r="C550" s="44"/>
      <c r="D550" s="8"/>
      <c r="E550" s="8"/>
      <c r="F550" s="8"/>
      <c r="G550" s="8"/>
      <c r="H550" s="30"/>
    </row>
    <row r="551">
      <c r="A551" s="44"/>
      <c r="B551" s="44"/>
      <c r="C551" s="44"/>
      <c r="D551" s="8"/>
      <c r="E551" s="8"/>
      <c r="F551" s="8"/>
      <c r="G551" s="8"/>
      <c r="H551" s="30"/>
    </row>
    <row r="552">
      <c r="A552" s="44"/>
      <c r="B552" s="44"/>
      <c r="C552" s="44"/>
      <c r="D552" s="8"/>
      <c r="E552" s="8"/>
      <c r="F552" s="8"/>
      <c r="G552" s="8"/>
      <c r="H552" s="30"/>
    </row>
    <row r="553">
      <c r="A553" s="44"/>
      <c r="B553" s="44"/>
      <c r="C553" s="44"/>
      <c r="D553" s="8"/>
      <c r="E553" s="8"/>
      <c r="F553" s="8"/>
      <c r="G553" s="8"/>
      <c r="H553" s="30"/>
    </row>
    <row r="554">
      <c r="A554" s="44"/>
      <c r="B554" s="44"/>
      <c r="C554" s="44"/>
      <c r="D554" s="8"/>
      <c r="E554" s="8"/>
      <c r="F554" s="8"/>
      <c r="G554" s="8"/>
      <c r="H554" s="30"/>
    </row>
    <row r="555">
      <c r="A555" s="44"/>
      <c r="B555" s="44"/>
      <c r="C555" s="44"/>
      <c r="D555" s="8"/>
      <c r="E555" s="8"/>
      <c r="F555" s="8"/>
      <c r="G555" s="8"/>
      <c r="H555" s="30"/>
    </row>
    <row r="556">
      <c r="A556" s="44"/>
      <c r="B556" s="44"/>
      <c r="C556" s="44"/>
      <c r="D556" s="8"/>
      <c r="E556" s="8"/>
      <c r="F556" s="8"/>
      <c r="G556" s="8"/>
      <c r="H556" s="30"/>
    </row>
    <row r="557">
      <c r="A557" s="44"/>
      <c r="B557" s="44"/>
      <c r="C557" s="44"/>
      <c r="D557" s="8"/>
      <c r="E557" s="8"/>
      <c r="F557" s="8"/>
      <c r="G557" s="8"/>
      <c r="H557" s="30"/>
    </row>
    <row r="558">
      <c r="A558" s="44"/>
      <c r="B558" s="44"/>
      <c r="C558" s="44"/>
      <c r="D558" s="8"/>
      <c r="E558" s="8"/>
      <c r="F558" s="8"/>
      <c r="G558" s="8"/>
      <c r="H558" s="30"/>
    </row>
    <row r="559">
      <c r="A559" s="44"/>
      <c r="B559" s="44"/>
      <c r="C559" s="44"/>
      <c r="D559" s="8"/>
      <c r="E559" s="8"/>
      <c r="F559" s="8"/>
      <c r="G559" s="8"/>
      <c r="H559" s="30"/>
    </row>
    <row r="560">
      <c r="A560" s="44"/>
      <c r="B560" s="44"/>
      <c r="C560" s="44"/>
      <c r="D560" s="8"/>
      <c r="E560" s="8"/>
      <c r="F560" s="8"/>
      <c r="G560" s="8"/>
      <c r="H560" s="30"/>
    </row>
    <row r="561">
      <c r="A561" s="44"/>
      <c r="B561" s="44"/>
      <c r="C561" s="44"/>
      <c r="D561" s="8"/>
      <c r="E561" s="8"/>
      <c r="F561" s="8"/>
      <c r="G561" s="8"/>
      <c r="H561" s="30"/>
    </row>
    <row r="562">
      <c r="A562" s="44"/>
      <c r="B562" s="44"/>
      <c r="C562" s="44"/>
      <c r="D562" s="8"/>
      <c r="E562" s="8"/>
      <c r="F562" s="8"/>
      <c r="G562" s="8"/>
      <c r="H562" s="30"/>
    </row>
    <row r="563">
      <c r="A563" s="44"/>
      <c r="B563" s="44"/>
      <c r="C563" s="44"/>
      <c r="D563" s="8"/>
      <c r="E563" s="8"/>
      <c r="F563" s="8"/>
      <c r="G563" s="8"/>
      <c r="H563" s="30"/>
    </row>
    <row r="564">
      <c r="A564" s="44"/>
      <c r="B564" s="44"/>
      <c r="C564" s="44"/>
      <c r="D564" s="8"/>
      <c r="E564" s="8"/>
      <c r="F564" s="8"/>
      <c r="G564" s="8"/>
      <c r="H564" s="30"/>
    </row>
    <row r="565">
      <c r="A565" s="44"/>
      <c r="B565" s="44"/>
      <c r="C565" s="44"/>
      <c r="D565" s="8"/>
      <c r="E565" s="8"/>
      <c r="F565" s="8"/>
      <c r="G565" s="8"/>
      <c r="H565" s="30"/>
    </row>
    <row r="566">
      <c r="A566" s="44"/>
      <c r="B566" s="44"/>
      <c r="C566" s="44"/>
      <c r="D566" s="8"/>
      <c r="E566" s="8"/>
      <c r="F566" s="8"/>
      <c r="G566" s="8"/>
      <c r="H566" s="30"/>
    </row>
    <row r="567">
      <c r="A567" s="44"/>
      <c r="B567" s="44"/>
      <c r="C567" s="44"/>
      <c r="D567" s="8"/>
      <c r="E567" s="8"/>
      <c r="F567" s="8"/>
      <c r="G567" s="8"/>
      <c r="H567" s="30"/>
    </row>
    <row r="568">
      <c r="A568" s="44"/>
      <c r="B568" s="44"/>
      <c r="C568" s="44"/>
      <c r="D568" s="8"/>
      <c r="E568" s="8"/>
      <c r="F568" s="8"/>
      <c r="G568" s="8"/>
      <c r="H568" s="30"/>
    </row>
    <row r="569">
      <c r="A569" s="44"/>
      <c r="B569" s="44"/>
      <c r="C569" s="44"/>
      <c r="D569" s="8"/>
      <c r="E569" s="8"/>
      <c r="F569" s="8"/>
      <c r="G569" s="8"/>
      <c r="H569" s="30"/>
    </row>
    <row r="570">
      <c r="A570" s="44"/>
      <c r="B570" s="44"/>
      <c r="C570" s="44"/>
      <c r="D570" s="8"/>
      <c r="E570" s="8"/>
      <c r="F570" s="8"/>
      <c r="G570" s="8"/>
      <c r="H570" s="30"/>
    </row>
    <row r="571">
      <c r="A571" s="44"/>
      <c r="B571" s="44"/>
      <c r="C571" s="44"/>
      <c r="D571" s="8"/>
      <c r="E571" s="8"/>
      <c r="F571" s="8"/>
      <c r="G571" s="8"/>
      <c r="H571" s="30"/>
    </row>
    <row r="572">
      <c r="A572" s="44"/>
      <c r="B572" s="44"/>
      <c r="C572" s="44"/>
      <c r="D572" s="8"/>
      <c r="E572" s="8"/>
      <c r="F572" s="8"/>
      <c r="G572" s="8"/>
      <c r="H572" s="30"/>
    </row>
    <row r="573">
      <c r="A573" s="44"/>
      <c r="B573" s="44"/>
      <c r="C573" s="44"/>
      <c r="D573" s="8"/>
      <c r="E573" s="8"/>
      <c r="F573" s="8"/>
      <c r="G573" s="8"/>
      <c r="H573" s="30"/>
    </row>
    <row r="574">
      <c r="A574" s="44"/>
      <c r="B574" s="44"/>
      <c r="C574" s="44"/>
      <c r="D574" s="8"/>
      <c r="E574" s="8"/>
      <c r="F574" s="8"/>
      <c r="G574" s="8"/>
      <c r="H574" s="30"/>
    </row>
    <row r="575">
      <c r="A575" s="44"/>
      <c r="B575" s="44"/>
      <c r="C575" s="44"/>
      <c r="D575" s="8"/>
      <c r="E575" s="8"/>
      <c r="F575" s="8"/>
      <c r="G575" s="8"/>
      <c r="H575" s="30"/>
    </row>
    <row r="576">
      <c r="A576" s="44"/>
      <c r="B576" s="44"/>
      <c r="C576" s="44"/>
      <c r="D576" s="8"/>
      <c r="E576" s="8"/>
      <c r="F576" s="8"/>
      <c r="G576" s="8"/>
      <c r="H576" s="30"/>
    </row>
    <row r="577">
      <c r="A577" s="44"/>
      <c r="B577" s="44"/>
      <c r="C577" s="44"/>
      <c r="D577" s="8"/>
      <c r="E577" s="8"/>
      <c r="F577" s="8"/>
      <c r="G577" s="8"/>
      <c r="H577" s="30"/>
    </row>
    <row r="578">
      <c r="A578" s="44"/>
      <c r="B578" s="44"/>
      <c r="C578" s="44"/>
      <c r="D578" s="8"/>
      <c r="E578" s="8"/>
      <c r="F578" s="8"/>
      <c r="G578" s="8"/>
      <c r="H578" s="30"/>
    </row>
    <row r="579">
      <c r="A579" s="44"/>
      <c r="B579" s="44"/>
      <c r="C579" s="44"/>
      <c r="D579" s="8"/>
      <c r="E579" s="8"/>
      <c r="F579" s="8"/>
      <c r="G579" s="8"/>
      <c r="H579" s="30"/>
    </row>
    <row r="580">
      <c r="A580" s="44"/>
      <c r="B580" s="44"/>
      <c r="C580" s="44"/>
      <c r="D580" s="8"/>
      <c r="E580" s="8"/>
      <c r="F580" s="8"/>
      <c r="G580" s="8"/>
      <c r="H580" s="30"/>
    </row>
    <row r="581">
      <c r="A581" s="44"/>
      <c r="B581" s="44"/>
      <c r="C581" s="44"/>
      <c r="D581" s="8"/>
      <c r="E581" s="8"/>
      <c r="F581" s="8"/>
      <c r="G581" s="8"/>
      <c r="H581" s="30"/>
    </row>
    <row r="582">
      <c r="A582" s="44"/>
      <c r="B582" s="44"/>
      <c r="C582" s="44"/>
      <c r="D582" s="8"/>
      <c r="E582" s="8"/>
      <c r="F582" s="8"/>
      <c r="G582" s="8"/>
      <c r="H582" s="30"/>
    </row>
    <row r="583">
      <c r="A583" s="44"/>
      <c r="B583" s="44"/>
      <c r="C583" s="44"/>
      <c r="D583" s="8"/>
      <c r="E583" s="8"/>
      <c r="F583" s="8"/>
      <c r="G583" s="8"/>
      <c r="H583" s="30"/>
    </row>
    <row r="584">
      <c r="A584" s="44"/>
      <c r="B584" s="44"/>
      <c r="C584" s="44"/>
      <c r="D584" s="8"/>
      <c r="E584" s="8"/>
      <c r="F584" s="8"/>
      <c r="G584" s="8"/>
      <c r="H584" s="30"/>
    </row>
    <row r="585">
      <c r="A585" s="44"/>
      <c r="B585" s="44"/>
      <c r="C585" s="44"/>
      <c r="D585" s="8"/>
      <c r="E585" s="8"/>
      <c r="F585" s="8"/>
      <c r="G585" s="8"/>
      <c r="H585" s="30"/>
    </row>
    <row r="586">
      <c r="A586" s="44"/>
      <c r="B586" s="44"/>
      <c r="C586" s="44"/>
      <c r="D586" s="8"/>
      <c r="E586" s="8"/>
      <c r="F586" s="8"/>
      <c r="G586" s="8"/>
      <c r="H586" s="30"/>
    </row>
    <row r="587">
      <c r="A587" s="44"/>
      <c r="B587" s="44"/>
      <c r="C587" s="44"/>
      <c r="D587" s="8"/>
      <c r="E587" s="8"/>
      <c r="F587" s="8"/>
      <c r="G587" s="8"/>
      <c r="H587" s="30"/>
    </row>
    <row r="588">
      <c r="A588" s="44"/>
      <c r="B588" s="44"/>
      <c r="C588" s="44"/>
      <c r="D588" s="8"/>
      <c r="E588" s="8"/>
      <c r="F588" s="8"/>
      <c r="G588" s="8"/>
      <c r="H588" s="30"/>
    </row>
    <row r="589">
      <c r="A589" s="44"/>
      <c r="B589" s="44"/>
      <c r="C589" s="44"/>
      <c r="D589" s="8"/>
      <c r="E589" s="8"/>
      <c r="F589" s="8"/>
      <c r="G589" s="8"/>
      <c r="H589" s="30"/>
    </row>
    <row r="590">
      <c r="A590" s="44"/>
      <c r="B590" s="44"/>
      <c r="C590" s="44"/>
      <c r="D590" s="8"/>
      <c r="E590" s="8"/>
      <c r="F590" s="8"/>
      <c r="G590" s="8"/>
      <c r="H590" s="30"/>
    </row>
    <row r="591">
      <c r="A591" s="44"/>
      <c r="B591" s="44"/>
      <c r="C591" s="44"/>
      <c r="D591" s="8"/>
      <c r="E591" s="8"/>
      <c r="F591" s="8"/>
      <c r="G591" s="8"/>
      <c r="H591" s="30"/>
    </row>
    <row r="592">
      <c r="A592" s="44"/>
      <c r="B592" s="44"/>
      <c r="C592" s="44"/>
      <c r="D592" s="8"/>
      <c r="E592" s="8"/>
      <c r="F592" s="8"/>
      <c r="G592" s="8"/>
      <c r="H592" s="30"/>
    </row>
    <row r="593">
      <c r="A593" s="44"/>
      <c r="B593" s="44"/>
      <c r="C593" s="44"/>
      <c r="D593" s="8"/>
      <c r="E593" s="8"/>
      <c r="F593" s="8"/>
      <c r="G593" s="8"/>
      <c r="H593" s="30"/>
    </row>
    <row r="594">
      <c r="A594" s="44"/>
      <c r="B594" s="44"/>
      <c r="C594" s="44"/>
      <c r="D594" s="8"/>
      <c r="E594" s="8"/>
      <c r="F594" s="8"/>
      <c r="G594" s="8"/>
      <c r="H594" s="30"/>
    </row>
    <row r="595">
      <c r="A595" s="44"/>
      <c r="B595" s="44"/>
      <c r="C595" s="44"/>
      <c r="D595" s="8"/>
      <c r="E595" s="8"/>
      <c r="F595" s="8"/>
      <c r="G595" s="8"/>
      <c r="H595" s="30"/>
    </row>
    <row r="596">
      <c r="A596" s="44"/>
      <c r="B596" s="44"/>
      <c r="C596" s="44"/>
      <c r="D596" s="8"/>
      <c r="E596" s="8"/>
      <c r="F596" s="8"/>
      <c r="G596" s="8"/>
      <c r="H596" s="30"/>
    </row>
    <row r="597">
      <c r="A597" s="44"/>
      <c r="B597" s="44"/>
      <c r="C597" s="44"/>
      <c r="D597" s="8"/>
      <c r="E597" s="8"/>
      <c r="F597" s="8"/>
      <c r="G597" s="8"/>
      <c r="H597" s="30"/>
    </row>
    <row r="598">
      <c r="A598" s="44"/>
      <c r="B598" s="44"/>
      <c r="C598" s="44"/>
      <c r="D598" s="8"/>
      <c r="E598" s="8"/>
      <c r="F598" s="8"/>
      <c r="G598" s="8"/>
      <c r="H598" s="30"/>
    </row>
    <row r="599">
      <c r="A599" s="44"/>
      <c r="B599" s="44"/>
      <c r="C599" s="44"/>
      <c r="D599" s="8"/>
      <c r="E599" s="8"/>
      <c r="F599" s="8"/>
      <c r="G599" s="8"/>
      <c r="H599" s="30"/>
    </row>
    <row r="600">
      <c r="A600" s="44"/>
      <c r="B600" s="44"/>
      <c r="C600" s="44"/>
      <c r="D600" s="8"/>
      <c r="E600" s="8"/>
      <c r="F600" s="8"/>
      <c r="G600" s="8"/>
      <c r="H600" s="30"/>
    </row>
    <row r="601">
      <c r="A601" s="44"/>
      <c r="B601" s="44"/>
      <c r="C601" s="44"/>
      <c r="D601" s="8"/>
      <c r="E601" s="8"/>
      <c r="F601" s="8"/>
      <c r="G601" s="8"/>
      <c r="H601" s="30"/>
    </row>
    <row r="602">
      <c r="A602" s="44"/>
      <c r="B602" s="44"/>
      <c r="C602" s="44"/>
      <c r="D602" s="8"/>
      <c r="E602" s="8"/>
      <c r="F602" s="8"/>
      <c r="G602" s="8"/>
      <c r="H602" s="30"/>
    </row>
    <row r="603">
      <c r="A603" s="44"/>
      <c r="B603" s="44"/>
      <c r="C603" s="44"/>
      <c r="D603" s="8"/>
      <c r="E603" s="8"/>
      <c r="F603" s="8"/>
      <c r="G603" s="8"/>
      <c r="H603" s="30"/>
    </row>
    <row r="604">
      <c r="A604" s="44"/>
      <c r="B604" s="44"/>
      <c r="C604" s="44"/>
      <c r="D604" s="8"/>
      <c r="E604" s="8"/>
      <c r="F604" s="8"/>
      <c r="G604" s="8"/>
      <c r="H604" s="30"/>
    </row>
    <row r="605">
      <c r="A605" s="44"/>
      <c r="B605" s="44"/>
      <c r="C605" s="44"/>
      <c r="D605" s="8"/>
      <c r="E605" s="8"/>
      <c r="F605" s="8"/>
      <c r="G605" s="8"/>
      <c r="H605" s="30"/>
    </row>
    <row r="606">
      <c r="A606" s="44"/>
      <c r="B606" s="44"/>
      <c r="C606" s="44"/>
      <c r="D606" s="8"/>
      <c r="E606" s="8"/>
      <c r="F606" s="8"/>
      <c r="G606" s="8"/>
      <c r="H606" s="30"/>
    </row>
    <row r="607">
      <c r="A607" s="44"/>
      <c r="B607" s="44"/>
      <c r="C607" s="44"/>
      <c r="D607" s="8"/>
      <c r="E607" s="8"/>
      <c r="F607" s="8"/>
      <c r="G607" s="8"/>
      <c r="H607" s="30"/>
    </row>
    <row r="608">
      <c r="A608" s="44"/>
      <c r="B608" s="44"/>
      <c r="C608" s="44"/>
      <c r="D608" s="8"/>
      <c r="E608" s="8"/>
      <c r="F608" s="8"/>
      <c r="G608" s="8"/>
      <c r="H608" s="30"/>
    </row>
    <row r="609">
      <c r="A609" s="44"/>
      <c r="B609" s="44"/>
      <c r="C609" s="44"/>
      <c r="D609" s="8"/>
      <c r="E609" s="8"/>
      <c r="F609" s="8"/>
      <c r="G609" s="8"/>
      <c r="H609" s="30"/>
    </row>
    <row r="610">
      <c r="A610" s="44"/>
      <c r="B610" s="44"/>
      <c r="C610" s="44"/>
      <c r="D610" s="8"/>
      <c r="E610" s="8"/>
      <c r="F610" s="8"/>
      <c r="G610" s="8"/>
      <c r="H610" s="30"/>
    </row>
    <row r="611">
      <c r="A611" s="44"/>
      <c r="B611" s="44"/>
      <c r="C611" s="44"/>
      <c r="D611" s="8"/>
      <c r="E611" s="8"/>
      <c r="F611" s="8"/>
      <c r="G611" s="8"/>
      <c r="H611" s="30"/>
    </row>
    <row r="612">
      <c r="A612" s="44"/>
      <c r="B612" s="44"/>
      <c r="C612" s="44"/>
      <c r="D612" s="8"/>
      <c r="E612" s="8"/>
      <c r="F612" s="8"/>
      <c r="G612" s="8"/>
      <c r="H612" s="30"/>
    </row>
    <row r="613">
      <c r="A613" s="44"/>
      <c r="B613" s="44"/>
      <c r="C613" s="44"/>
      <c r="D613" s="8"/>
      <c r="E613" s="8"/>
      <c r="F613" s="8"/>
      <c r="G613" s="8"/>
      <c r="H613" s="30"/>
    </row>
    <row r="614">
      <c r="A614" s="44"/>
      <c r="B614" s="44"/>
      <c r="C614" s="44"/>
      <c r="D614" s="8"/>
      <c r="E614" s="8"/>
      <c r="F614" s="8"/>
      <c r="G614" s="8"/>
      <c r="H614" s="30"/>
    </row>
    <row r="615">
      <c r="A615" s="44"/>
      <c r="B615" s="44"/>
      <c r="C615" s="44"/>
      <c r="D615" s="8"/>
      <c r="E615" s="8"/>
      <c r="F615" s="8"/>
      <c r="G615" s="8"/>
      <c r="H615" s="30"/>
    </row>
    <row r="616">
      <c r="A616" s="44"/>
      <c r="B616" s="44"/>
      <c r="C616" s="44"/>
      <c r="D616" s="8"/>
      <c r="E616" s="8"/>
      <c r="F616" s="8"/>
      <c r="G616" s="8"/>
      <c r="H616" s="30"/>
    </row>
    <row r="617">
      <c r="A617" s="44"/>
      <c r="B617" s="44"/>
      <c r="C617" s="44"/>
      <c r="D617" s="8"/>
      <c r="E617" s="8"/>
      <c r="F617" s="8"/>
      <c r="G617" s="8"/>
      <c r="H617" s="30"/>
    </row>
    <row r="618">
      <c r="A618" s="44"/>
      <c r="B618" s="44"/>
      <c r="C618" s="44"/>
      <c r="D618" s="8"/>
      <c r="E618" s="8"/>
      <c r="F618" s="8"/>
      <c r="G618" s="8"/>
      <c r="H618" s="30"/>
    </row>
    <row r="619">
      <c r="A619" s="44"/>
      <c r="B619" s="44"/>
      <c r="C619" s="44"/>
      <c r="D619" s="8"/>
      <c r="E619" s="8"/>
      <c r="F619" s="8"/>
      <c r="G619" s="8"/>
      <c r="H619" s="30"/>
    </row>
    <row r="620">
      <c r="A620" s="44"/>
      <c r="B620" s="44"/>
      <c r="C620" s="44"/>
      <c r="D620" s="8"/>
      <c r="E620" s="8"/>
      <c r="F620" s="8"/>
      <c r="G620" s="8"/>
      <c r="H620" s="30"/>
    </row>
    <row r="621">
      <c r="A621" s="44"/>
      <c r="B621" s="44"/>
      <c r="C621" s="44"/>
      <c r="D621" s="8"/>
      <c r="E621" s="8"/>
      <c r="F621" s="8"/>
      <c r="G621" s="8"/>
      <c r="H621" s="30"/>
    </row>
    <row r="622">
      <c r="A622" s="44"/>
      <c r="B622" s="44"/>
      <c r="C622" s="44"/>
      <c r="D622" s="8"/>
      <c r="E622" s="8"/>
      <c r="F622" s="8"/>
      <c r="G622" s="8"/>
      <c r="H622" s="30"/>
    </row>
    <row r="623">
      <c r="A623" s="44"/>
      <c r="B623" s="44"/>
      <c r="C623" s="44"/>
      <c r="D623" s="8"/>
      <c r="E623" s="8"/>
      <c r="F623" s="8"/>
      <c r="G623" s="8"/>
      <c r="H623" s="30"/>
    </row>
    <row r="624">
      <c r="A624" s="44"/>
      <c r="B624" s="44"/>
      <c r="C624" s="44"/>
      <c r="D624" s="8"/>
      <c r="E624" s="8"/>
      <c r="F624" s="8"/>
      <c r="G624" s="8"/>
      <c r="H624" s="30"/>
    </row>
    <row r="625">
      <c r="A625" s="44"/>
      <c r="B625" s="44"/>
      <c r="C625" s="44"/>
      <c r="D625" s="8"/>
      <c r="E625" s="8"/>
      <c r="F625" s="8"/>
      <c r="G625" s="8"/>
      <c r="H625" s="30"/>
    </row>
    <row r="626">
      <c r="A626" s="44"/>
      <c r="B626" s="44"/>
      <c r="C626" s="44"/>
      <c r="D626" s="8"/>
      <c r="E626" s="8"/>
      <c r="F626" s="8"/>
      <c r="G626" s="8"/>
      <c r="H626" s="30"/>
    </row>
    <row r="627">
      <c r="A627" s="44"/>
      <c r="B627" s="44"/>
      <c r="C627" s="44"/>
      <c r="D627" s="8"/>
      <c r="E627" s="8"/>
      <c r="F627" s="8"/>
      <c r="G627" s="8"/>
      <c r="H627" s="30"/>
    </row>
    <row r="628">
      <c r="A628" s="44"/>
      <c r="B628" s="44"/>
      <c r="C628" s="44"/>
      <c r="D628" s="8"/>
      <c r="E628" s="8"/>
      <c r="F628" s="8"/>
      <c r="G628" s="8"/>
      <c r="H628" s="30"/>
    </row>
    <row r="629">
      <c r="A629" s="44"/>
      <c r="B629" s="44"/>
      <c r="C629" s="44"/>
      <c r="D629" s="8"/>
      <c r="E629" s="8"/>
      <c r="F629" s="8"/>
      <c r="G629" s="8"/>
      <c r="H629" s="30"/>
    </row>
    <row r="630">
      <c r="A630" s="44"/>
      <c r="B630" s="44"/>
      <c r="C630" s="44"/>
      <c r="D630" s="8"/>
      <c r="E630" s="8"/>
      <c r="F630" s="8"/>
      <c r="G630" s="8"/>
      <c r="H630" s="30"/>
    </row>
    <row r="631">
      <c r="A631" s="44"/>
      <c r="B631" s="44"/>
      <c r="C631" s="44"/>
      <c r="D631" s="8"/>
      <c r="E631" s="8"/>
      <c r="F631" s="8"/>
      <c r="G631" s="8"/>
      <c r="H631" s="30"/>
    </row>
    <row r="632">
      <c r="A632" s="44"/>
      <c r="B632" s="44"/>
      <c r="C632" s="44"/>
      <c r="D632" s="8"/>
      <c r="E632" s="8"/>
      <c r="F632" s="8"/>
      <c r="G632" s="8"/>
      <c r="H632" s="30"/>
    </row>
    <row r="633">
      <c r="A633" s="44"/>
      <c r="B633" s="44"/>
      <c r="C633" s="44"/>
      <c r="D633" s="8"/>
      <c r="E633" s="8"/>
      <c r="F633" s="8"/>
      <c r="G633" s="8"/>
      <c r="H633" s="30"/>
    </row>
    <row r="634">
      <c r="A634" s="44"/>
      <c r="B634" s="44"/>
      <c r="C634" s="44"/>
      <c r="D634" s="8"/>
      <c r="E634" s="8"/>
      <c r="F634" s="8"/>
      <c r="G634" s="8"/>
      <c r="H634" s="30"/>
    </row>
    <row r="635">
      <c r="A635" s="44"/>
      <c r="B635" s="44"/>
      <c r="C635" s="44"/>
      <c r="D635" s="8"/>
      <c r="E635" s="8"/>
      <c r="F635" s="8"/>
      <c r="G635" s="8"/>
      <c r="H635" s="30"/>
    </row>
    <row r="636">
      <c r="A636" s="44"/>
      <c r="B636" s="44"/>
      <c r="C636" s="44"/>
      <c r="D636" s="8"/>
      <c r="E636" s="8"/>
      <c r="F636" s="8"/>
      <c r="G636" s="8"/>
      <c r="H636" s="30"/>
    </row>
    <row r="637">
      <c r="A637" s="44"/>
      <c r="B637" s="44"/>
      <c r="C637" s="44"/>
      <c r="D637" s="8"/>
      <c r="E637" s="8"/>
      <c r="F637" s="8"/>
      <c r="G637" s="8"/>
      <c r="H637" s="30"/>
    </row>
    <row r="638">
      <c r="A638" s="44"/>
      <c r="B638" s="44"/>
      <c r="C638" s="44"/>
      <c r="D638" s="8"/>
      <c r="E638" s="8"/>
      <c r="F638" s="8"/>
      <c r="G638" s="8"/>
      <c r="H638" s="30"/>
    </row>
    <row r="639">
      <c r="A639" s="44"/>
      <c r="B639" s="44"/>
      <c r="C639" s="44"/>
      <c r="D639" s="8"/>
      <c r="E639" s="8"/>
      <c r="F639" s="8"/>
      <c r="G639" s="8"/>
      <c r="H639" s="30"/>
    </row>
    <row r="640">
      <c r="A640" s="44"/>
      <c r="B640" s="44"/>
      <c r="C640" s="44"/>
      <c r="D640" s="8"/>
      <c r="E640" s="8"/>
      <c r="F640" s="8"/>
      <c r="G640" s="8"/>
      <c r="H640" s="30"/>
    </row>
    <row r="641">
      <c r="A641" s="44"/>
      <c r="B641" s="44"/>
      <c r="C641" s="44"/>
      <c r="D641" s="8"/>
      <c r="E641" s="8"/>
      <c r="F641" s="8"/>
      <c r="G641" s="8"/>
      <c r="H641" s="30"/>
    </row>
    <row r="642">
      <c r="A642" s="44"/>
      <c r="B642" s="44"/>
      <c r="C642" s="44"/>
      <c r="D642" s="8"/>
      <c r="E642" s="8"/>
      <c r="F642" s="8"/>
      <c r="G642" s="8"/>
      <c r="H642" s="30"/>
    </row>
    <row r="643">
      <c r="A643" s="44"/>
      <c r="B643" s="44"/>
      <c r="C643" s="44"/>
      <c r="D643" s="8"/>
      <c r="E643" s="8"/>
      <c r="F643" s="8"/>
      <c r="G643" s="8"/>
      <c r="H643" s="30"/>
    </row>
    <row r="644">
      <c r="A644" s="44"/>
      <c r="B644" s="44"/>
      <c r="C644" s="44"/>
      <c r="D644" s="8"/>
      <c r="E644" s="8"/>
      <c r="F644" s="8"/>
      <c r="G644" s="8"/>
      <c r="H644" s="30"/>
    </row>
    <row r="645">
      <c r="A645" s="44"/>
      <c r="B645" s="44"/>
      <c r="C645" s="44"/>
      <c r="D645" s="8"/>
      <c r="E645" s="8"/>
      <c r="F645" s="8"/>
      <c r="G645" s="8"/>
      <c r="H645" s="30"/>
    </row>
    <row r="646">
      <c r="A646" s="44"/>
      <c r="B646" s="44"/>
      <c r="C646" s="44"/>
      <c r="D646" s="8"/>
      <c r="E646" s="8"/>
      <c r="F646" s="8"/>
      <c r="G646" s="8"/>
      <c r="H646" s="30"/>
    </row>
    <row r="647">
      <c r="A647" s="44"/>
      <c r="B647" s="44"/>
      <c r="C647" s="44"/>
      <c r="D647" s="8"/>
      <c r="E647" s="8"/>
      <c r="F647" s="8"/>
      <c r="G647" s="8"/>
      <c r="H647" s="30"/>
    </row>
    <row r="648">
      <c r="A648" s="44"/>
      <c r="B648" s="44"/>
      <c r="C648" s="44"/>
      <c r="D648" s="8"/>
      <c r="E648" s="8"/>
      <c r="F648" s="8"/>
      <c r="G648" s="8"/>
      <c r="H648" s="30"/>
    </row>
    <row r="649">
      <c r="A649" s="44"/>
      <c r="B649" s="44"/>
      <c r="C649" s="44"/>
      <c r="D649" s="8"/>
      <c r="E649" s="8"/>
      <c r="F649" s="8"/>
      <c r="G649" s="8"/>
      <c r="H649" s="30"/>
    </row>
    <row r="650">
      <c r="A650" s="44"/>
      <c r="B650" s="44"/>
      <c r="C650" s="44"/>
      <c r="D650" s="8"/>
      <c r="E650" s="8"/>
      <c r="F650" s="8"/>
      <c r="G650" s="8"/>
      <c r="H650" s="30"/>
    </row>
    <row r="651">
      <c r="A651" s="44"/>
      <c r="B651" s="44"/>
      <c r="C651" s="44"/>
      <c r="D651" s="8"/>
      <c r="E651" s="8"/>
      <c r="F651" s="8"/>
      <c r="G651" s="8"/>
      <c r="H651" s="30"/>
    </row>
    <row r="652">
      <c r="A652" s="44"/>
      <c r="B652" s="44"/>
      <c r="C652" s="44"/>
      <c r="D652" s="8"/>
      <c r="E652" s="8"/>
      <c r="F652" s="8"/>
      <c r="G652" s="8"/>
      <c r="H652" s="30"/>
    </row>
    <row r="653">
      <c r="A653" s="44"/>
      <c r="B653" s="44"/>
      <c r="C653" s="44"/>
      <c r="D653" s="8"/>
      <c r="E653" s="8"/>
      <c r="F653" s="8"/>
      <c r="G653" s="8"/>
      <c r="H653" s="30"/>
    </row>
    <row r="654">
      <c r="A654" s="44"/>
      <c r="B654" s="44"/>
      <c r="C654" s="44"/>
      <c r="D654" s="8"/>
      <c r="E654" s="8"/>
      <c r="F654" s="8"/>
      <c r="G654" s="8"/>
      <c r="H654" s="30"/>
    </row>
    <row r="655">
      <c r="A655" s="44"/>
      <c r="B655" s="44"/>
      <c r="C655" s="44"/>
      <c r="D655" s="8"/>
      <c r="E655" s="8"/>
      <c r="F655" s="8"/>
      <c r="G655" s="8"/>
      <c r="H655" s="30"/>
    </row>
    <row r="656">
      <c r="A656" s="44"/>
      <c r="B656" s="44"/>
      <c r="C656" s="44"/>
      <c r="D656" s="8"/>
      <c r="E656" s="8"/>
      <c r="F656" s="8"/>
      <c r="G656" s="8"/>
      <c r="H656" s="30"/>
    </row>
    <row r="657">
      <c r="A657" s="44"/>
      <c r="B657" s="44"/>
      <c r="C657" s="44"/>
      <c r="D657" s="8"/>
      <c r="E657" s="8"/>
      <c r="F657" s="8"/>
      <c r="G657" s="8"/>
      <c r="H657" s="30"/>
    </row>
    <row r="658">
      <c r="A658" s="44"/>
      <c r="B658" s="44"/>
      <c r="C658" s="44"/>
      <c r="D658" s="8"/>
      <c r="E658" s="8"/>
      <c r="F658" s="8"/>
      <c r="G658" s="8"/>
      <c r="H658" s="30"/>
    </row>
    <row r="659">
      <c r="A659" s="44"/>
      <c r="B659" s="44"/>
      <c r="C659" s="44"/>
      <c r="D659" s="8"/>
      <c r="E659" s="8"/>
      <c r="F659" s="8"/>
      <c r="G659" s="8"/>
      <c r="H659" s="30"/>
    </row>
    <row r="660">
      <c r="A660" s="44"/>
      <c r="B660" s="44"/>
      <c r="C660" s="44"/>
      <c r="D660" s="8"/>
      <c r="E660" s="8"/>
      <c r="F660" s="8"/>
      <c r="G660" s="8"/>
      <c r="H660" s="30"/>
    </row>
    <row r="661">
      <c r="A661" s="44"/>
      <c r="B661" s="44"/>
      <c r="C661" s="44"/>
      <c r="D661" s="8"/>
      <c r="E661" s="8"/>
      <c r="F661" s="8"/>
      <c r="G661" s="8"/>
      <c r="H661" s="30"/>
    </row>
    <row r="662">
      <c r="A662" s="44"/>
      <c r="B662" s="44"/>
      <c r="C662" s="44"/>
      <c r="D662" s="8"/>
      <c r="E662" s="8"/>
      <c r="F662" s="8"/>
      <c r="G662" s="8"/>
      <c r="H662" s="30"/>
    </row>
    <row r="663">
      <c r="A663" s="44"/>
      <c r="B663" s="44"/>
      <c r="C663" s="44"/>
      <c r="D663" s="8"/>
      <c r="E663" s="8"/>
      <c r="F663" s="8"/>
      <c r="G663" s="8"/>
      <c r="H663" s="30"/>
    </row>
    <row r="664">
      <c r="A664" s="44"/>
      <c r="B664" s="44"/>
      <c r="C664" s="44"/>
      <c r="D664" s="8"/>
      <c r="E664" s="8"/>
      <c r="F664" s="8"/>
      <c r="G664" s="8"/>
      <c r="H664" s="30"/>
    </row>
    <row r="665">
      <c r="A665" s="44"/>
      <c r="B665" s="44"/>
      <c r="C665" s="44"/>
      <c r="D665" s="8"/>
      <c r="E665" s="8"/>
      <c r="F665" s="8"/>
      <c r="G665" s="8"/>
      <c r="H665" s="30"/>
    </row>
    <row r="666">
      <c r="A666" s="44"/>
      <c r="B666" s="44"/>
      <c r="C666" s="44"/>
      <c r="D666" s="8"/>
      <c r="E666" s="8"/>
      <c r="F666" s="8"/>
      <c r="G666" s="8"/>
      <c r="H666" s="30"/>
    </row>
    <row r="667">
      <c r="A667" s="44"/>
      <c r="B667" s="44"/>
      <c r="C667" s="44"/>
      <c r="D667" s="8"/>
      <c r="E667" s="8"/>
      <c r="F667" s="8"/>
      <c r="G667" s="8"/>
      <c r="H667" s="30"/>
    </row>
    <row r="668">
      <c r="A668" s="44"/>
      <c r="B668" s="44"/>
      <c r="C668" s="44"/>
      <c r="D668" s="8"/>
      <c r="E668" s="8"/>
      <c r="F668" s="8"/>
      <c r="G668" s="8"/>
      <c r="H668" s="30"/>
    </row>
    <row r="669">
      <c r="A669" s="44"/>
      <c r="B669" s="44"/>
      <c r="C669" s="44"/>
      <c r="D669" s="8"/>
      <c r="E669" s="8"/>
      <c r="F669" s="8"/>
      <c r="G669" s="8"/>
      <c r="H669" s="30"/>
    </row>
    <row r="670">
      <c r="A670" s="44"/>
      <c r="B670" s="44"/>
      <c r="C670" s="44"/>
      <c r="D670" s="8"/>
      <c r="E670" s="8"/>
      <c r="F670" s="8"/>
      <c r="G670" s="8"/>
      <c r="H670" s="30"/>
    </row>
    <row r="671">
      <c r="A671" s="44"/>
      <c r="B671" s="44"/>
      <c r="C671" s="44"/>
      <c r="D671" s="8"/>
      <c r="E671" s="8"/>
      <c r="F671" s="8"/>
      <c r="G671" s="8"/>
      <c r="H671" s="30"/>
    </row>
    <row r="672">
      <c r="A672" s="44"/>
      <c r="B672" s="44"/>
      <c r="C672" s="44"/>
      <c r="D672" s="8"/>
      <c r="E672" s="8"/>
      <c r="F672" s="8"/>
      <c r="G672" s="8"/>
      <c r="H672" s="30"/>
    </row>
    <row r="673">
      <c r="A673" s="44"/>
      <c r="B673" s="44"/>
      <c r="C673" s="44"/>
      <c r="D673" s="8"/>
      <c r="E673" s="8"/>
      <c r="F673" s="8"/>
      <c r="G673" s="8"/>
      <c r="H673" s="30"/>
    </row>
    <row r="674">
      <c r="A674" s="44"/>
      <c r="B674" s="44"/>
      <c r="C674" s="44"/>
      <c r="D674" s="8"/>
      <c r="E674" s="8"/>
      <c r="F674" s="8"/>
      <c r="G674" s="8"/>
      <c r="H674" s="30"/>
    </row>
    <row r="675">
      <c r="A675" s="44"/>
      <c r="B675" s="44"/>
      <c r="C675" s="44"/>
      <c r="D675" s="8"/>
      <c r="E675" s="8"/>
      <c r="F675" s="8"/>
      <c r="G675" s="8"/>
      <c r="H675" s="30"/>
    </row>
    <row r="676">
      <c r="A676" s="44"/>
      <c r="B676" s="44"/>
      <c r="C676" s="44"/>
      <c r="D676" s="8"/>
      <c r="E676" s="8"/>
      <c r="F676" s="8"/>
      <c r="G676" s="8"/>
      <c r="H676" s="30"/>
    </row>
    <row r="677">
      <c r="A677" s="44"/>
      <c r="B677" s="44"/>
      <c r="C677" s="44"/>
      <c r="D677" s="8"/>
      <c r="E677" s="8"/>
      <c r="F677" s="8"/>
      <c r="G677" s="8"/>
      <c r="H677" s="30"/>
    </row>
    <row r="678">
      <c r="A678" s="44"/>
      <c r="B678" s="44"/>
      <c r="C678" s="44"/>
      <c r="D678" s="8"/>
      <c r="E678" s="8"/>
      <c r="F678" s="8"/>
      <c r="G678" s="8"/>
      <c r="H678" s="30"/>
    </row>
    <row r="679">
      <c r="A679" s="44"/>
      <c r="B679" s="44"/>
      <c r="C679" s="44"/>
      <c r="D679" s="8"/>
      <c r="E679" s="8"/>
      <c r="F679" s="8"/>
      <c r="G679" s="8"/>
      <c r="H679" s="30"/>
    </row>
    <row r="680">
      <c r="A680" s="44"/>
      <c r="B680" s="44"/>
      <c r="C680" s="44"/>
      <c r="D680" s="8"/>
      <c r="E680" s="8"/>
      <c r="F680" s="8"/>
      <c r="G680" s="8"/>
      <c r="H680" s="30"/>
    </row>
    <row r="681">
      <c r="A681" s="44"/>
      <c r="B681" s="44"/>
      <c r="C681" s="44"/>
      <c r="D681" s="8"/>
      <c r="E681" s="8"/>
      <c r="F681" s="8"/>
      <c r="G681" s="8"/>
      <c r="H681" s="30"/>
    </row>
    <row r="682">
      <c r="A682" s="44"/>
      <c r="B682" s="44"/>
      <c r="C682" s="44"/>
      <c r="D682" s="8"/>
      <c r="E682" s="8"/>
      <c r="F682" s="8"/>
      <c r="G682" s="8"/>
      <c r="H682" s="30"/>
    </row>
    <row r="683">
      <c r="A683" s="44"/>
      <c r="B683" s="44"/>
      <c r="C683" s="44"/>
      <c r="D683" s="8"/>
      <c r="E683" s="8"/>
      <c r="F683" s="8"/>
      <c r="G683" s="8"/>
      <c r="H683" s="30"/>
    </row>
    <row r="684">
      <c r="A684" s="44"/>
      <c r="B684" s="44"/>
      <c r="C684" s="44"/>
      <c r="D684" s="8"/>
      <c r="E684" s="8"/>
      <c r="F684" s="8"/>
      <c r="G684" s="8"/>
      <c r="H684" s="30"/>
    </row>
    <row r="685">
      <c r="A685" s="44"/>
      <c r="B685" s="44"/>
      <c r="C685" s="44"/>
      <c r="D685" s="8"/>
      <c r="E685" s="8"/>
      <c r="F685" s="8"/>
      <c r="G685" s="8"/>
      <c r="H685" s="30"/>
    </row>
    <row r="686">
      <c r="A686" s="44"/>
      <c r="B686" s="44"/>
      <c r="C686" s="44"/>
      <c r="D686" s="8"/>
      <c r="E686" s="8"/>
      <c r="F686" s="8"/>
      <c r="G686" s="8"/>
      <c r="H686" s="30"/>
    </row>
    <row r="687">
      <c r="A687" s="44"/>
      <c r="B687" s="44"/>
      <c r="C687" s="44"/>
      <c r="D687" s="8"/>
      <c r="E687" s="8"/>
      <c r="F687" s="8"/>
      <c r="G687" s="8"/>
      <c r="H687" s="30"/>
    </row>
    <row r="688">
      <c r="A688" s="44"/>
      <c r="B688" s="44"/>
      <c r="C688" s="44"/>
      <c r="D688" s="8"/>
      <c r="E688" s="8"/>
      <c r="F688" s="8"/>
      <c r="G688" s="8"/>
      <c r="H688" s="30"/>
    </row>
    <row r="689">
      <c r="A689" s="44"/>
      <c r="B689" s="44"/>
      <c r="C689" s="44"/>
      <c r="D689" s="8"/>
      <c r="E689" s="8"/>
      <c r="F689" s="8"/>
      <c r="G689" s="8"/>
      <c r="H689" s="30"/>
    </row>
    <row r="690">
      <c r="A690" s="44"/>
      <c r="B690" s="44"/>
      <c r="C690" s="44"/>
      <c r="D690" s="8"/>
      <c r="E690" s="8"/>
      <c r="F690" s="8"/>
      <c r="G690" s="8"/>
      <c r="H690" s="30"/>
    </row>
    <row r="691">
      <c r="A691" s="44"/>
      <c r="B691" s="44"/>
      <c r="C691" s="44"/>
      <c r="D691" s="8"/>
      <c r="E691" s="8"/>
      <c r="F691" s="8"/>
      <c r="G691" s="8"/>
      <c r="H691" s="30"/>
    </row>
    <row r="692">
      <c r="A692" s="44"/>
      <c r="B692" s="44"/>
      <c r="C692" s="44"/>
      <c r="D692" s="8"/>
      <c r="E692" s="8"/>
      <c r="F692" s="8"/>
      <c r="G692" s="8"/>
      <c r="H692" s="30"/>
    </row>
    <row r="693">
      <c r="A693" s="44"/>
      <c r="B693" s="44"/>
      <c r="C693" s="44"/>
      <c r="D693" s="8"/>
      <c r="E693" s="8"/>
      <c r="F693" s="8"/>
      <c r="G693" s="8"/>
      <c r="H693" s="30"/>
    </row>
    <row r="694">
      <c r="A694" s="44"/>
      <c r="B694" s="44"/>
      <c r="C694" s="44"/>
      <c r="D694" s="8"/>
      <c r="E694" s="8"/>
      <c r="F694" s="8"/>
      <c r="G694" s="8"/>
      <c r="H694" s="30"/>
    </row>
    <row r="695">
      <c r="A695" s="44"/>
      <c r="B695" s="44"/>
      <c r="C695" s="44"/>
      <c r="D695" s="8"/>
      <c r="E695" s="8"/>
      <c r="F695" s="8"/>
      <c r="G695" s="8"/>
      <c r="H695" s="30"/>
    </row>
    <row r="696">
      <c r="A696" s="44"/>
      <c r="B696" s="44"/>
      <c r="C696" s="44"/>
      <c r="D696" s="8"/>
      <c r="E696" s="8"/>
      <c r="F696" s="8"/>
      <c r="G696" s="8"/>
      <c r="H696" s="30"/>
    </row>
    <row r="697">
      <c r="A697" s="44"/>
      <c r="B697" s="44"/>
      <c r="C697" s="44"/>
      <c r="D697" s="8"/>
      <c r="E697" s="8"/>
      <c r="F697" s="8"/>
      <c r="G697" s="8"/>
      <c r="H697" s="30"/>
    </row>
    <row r="698">
      <c r="A698" s="44"/>
      <c r="B698" s="44"/>
      <c r="C698" s="44"/>
      <c r="D698" s="8"/>
      <c r="E698" s="8"/>
      <c r="F698" s="8"/>
      <c r="G698" s="8"/>
      <c r="H698" s="30"/>
    </row>
    <row r="699">
      <c r="A699" s="44"/>
      <c r="B699" s="44"/>
      <c r="C699" s="44"/>
      <c r="D699" s="8"/>
      <c r="E699" s="8"/>
      <c r="F699" s="8"/>
      <c r="G699" s="8"/>
      <c r="H699" s="30"/>
    </row>
    <row r="700">
      <c r="A700" s="44"/>
      <c r="B700" s="44"/>
      <c r="C700" s="44"/>
      <c r="D700" s="8"/>
      <c r="E700" s="8"/>
      <c r="F700" s="8"/>
      <c r="G700" s="8"/>
      <c r="H700" s="30"/>
    </row>
    <row r="701">
      <c r="A701" s="44"/>
      <c r="B701" s="44"/>
      <c r="C701" s="44"/>
      <c r="D701" s="8"/>
      <c r="E701" s="8"/>
      <c r="F701" s="8"/>
      <c r="G701" s="8"/>
      <c r="H701" s="30"/>
    </row>
    <row r="702">
      <c r="A702" s="44"/>
      <c r="B702" s="44"/>
      <c r="C702" s="44"/>
      <c r="D702" s="8"/>
      <c r="E702" s="8"/>
      <c r="F702" s="8"/>
      <c r="G702" s="8"/>
      <c r="H702" s="30"/>
    </row>
    <row r="703">
      <c r="A703" s="44"/>
      <c r="B703" s="44"/>
      <c r="C703" s="44"/>
      <c r="D703" s="8"/>
      <c r="E703" s="8"/>
      <c r="F703" s="8"/>
      <c r="G703" s="8"/>
      <c r="H703" s="30"/>
    </row>
    <row r="704">
      <c r="A704" s="44"/>
      <c r="B704" s="44"/>
      <c r="C704" s="44"/>
      <c r="D704" s="8"/>
      <c r="E704" s="8"/>
      <c r="F704" s="8"/>
      <c r="G704" s="8"/>
      <c r="H704" s="30"/>
    </row>
    <row r="705">
      <c r="A705" s="44"/>
      <c r="B705" s="44"/>
      <c r="C705" s="44"/>
      <c r="D705" s="8"/>
      <c r="E705" s="8"/>
      <c r="F705" s="8"/>
      <c r="G705" s="8"/>
      <c r="H705" s="30"/>
    </row>
    <row r="706">
      <c r="A706" s="44"/>
      <c r="B706" s="44"/>
      <c r="C706" s="44"/>
      <c r="D706" s="8"/>
      <c r="E706" s="8"/>
      <c r="F706" s="8"/>
      <c r="G706" s="8"/>
      <c r="H706" s="30"/>
    </row>
    <row r="707">
      <c r="A707" s="44"/>
      <c r="B707" s="44"/>
      <c r="C707" s="44"/>
      <c r="D707" s="8"/>
      <c r="E707" s="8"/>
      <c r="F707" s="8"/>
      <c r="G707" s="8"/>
      <c r="H707" s="30"/>
    </row>
    <row r="708">
      <c r="A708" s="44"/>
      <c r="B708" s="44"/>
      <c r="C708" s="44"/>
      <c r="D708" s="8"/>
      <c r="E708" s="8"/>
      <c r="F708" s="8"/>
      <c r="G708" s="8"/>
      <c r="H708" s="30"/>
    </row>
    <row r="709">
      <c r="A709" s="44"/>
      <c r="B709" s="44"/>
      <c r="C709" s="44"/>
      <c r="D709" s="8"/>
      <c r="E709" s="8"/>
      <c r="F709" s="8"/>
      <c r="G709" s="8"/>
      <c r="H709" s="30"/>
    </row>
    <row r="710">
      <c r="A710" s="44"/>
      <c r="B710" s="44"/>
      <c r="C710" s="44"/>
      <c r="D710" s="8"/>
      <c r="E710" s="8"/>
      <c r="F710" s="8"/>
      <c r="G710" s="8"/>
      <c r="H710" s="30"/>
    </row>
    <row r="711">
      <c r="A711" s="44"/>
      <c r="B711" s="44"/>
      <c r="C711" s="44"/>
      <c r="D711" s="8"/>
      <c r="E711" s="8"/>
      <c r="F711" s="8"/>
      <c r="G711" s="8"/>
      <c r="H711" s="30"/>
    </row>
    <row r="712">
      <c r="A712" s="44"/>
      <c r="B712" s="44"/>
      <c r="C712" s="44"/>
      <c r="D712" s="8"/>
      <c r="E712" s="8"/>
      <c r="F712" s="8"/>
      <c r="G712" s="8"/>
      <c r="H712" s="30"/>
    </row>
    <row r="713">
      <c r="A713" s="44"/>
      <c r="B713" s="44"/>
      <c r="C713" s="44"/>
      <c r="D713" s="8"/>
      <c r="E713" s="8"/>
      <c r="F713" s="8"/>
      <c r="G713" s="8"/>
      <c r="H713" s="30"/>
    </row>
    <row r="714">
      <c r="A714" s="44"/>
      <c r="B714" s="44"/>
      <c r="C714" s="44"/>
      <c r="D714" s="8"/>
      <c r="E714" s="8"/>
      <c r="F714" s="8"/>
      <c r="G714" s="8"/>
      <c r="H714" s="30"/>
    </row>
    <row r="715">
      <c r="A715" s="44"/>
      <c r="B715" s="44"/>
      <c r="C715" s="44"/>
      <c r="D715" s="8"/>
      <c r="E715" s="8"/>
      <c r="F715" s="8"/>
      <c r="G715" s="8"/>
      <c r="H715" s="30"/>
    </row>
    <row r="716">
      <c r="A716" s="44"/>
      <c r="B716" s="44"/>
      <c r="C716" s="44"/>
      <c r="D716" s="8"/>
      <c r="E716" s="8"/>
      <c r="F716" s="8"/>
      <c r="G716" s="8"/>
      <c r="H716" s="30"/>
    </row>
    <row r="717">
      <c r="A717" s="44"/>
      <c r="B717" s="44"/>
      <c r="C717" s="44"/>
      <c r="D717" s="8"/>
      <c r="E717" s="8"/>
      <c r="F717" s="8"/>
      <c r="G717" s="8"/>
      <c r="H717" s="30"/>
    </row>
    <row r="718">
      <c r="A718" s="44"/>
      <c r="B718" s="44"/>
      <c r="C718" s="44"/>
      <c r="D718" s="8"/>
      <c r="E718" s="8"/>
      <c r="F718" s="8"/>
      <c r="G718" s="8"/>
      <c r="H718" s="30"/>
    </row>
    <row r="719">
      <c r="A719" s="44"/>
      <c r="B719" s="44"/>
      <c r="C719" s="44"/>
      <c r="D719" s="8"/>
      <c r="E719" s="8"/>
      <c r="F719" s="8"/>
      <c r="G719" s="8"/>
      <c r="H719" s="30"/>
    </row>
    <row r="720">
      <c r="A720" s="44"/>
      <c r="B720" s="44"/>
      <c r="C720" s="44"/>
      <c r="D720" s="8"/>
      <c r="E720" s="8"/>
      <c r="F720" s="8"/>
      <c r="G720" s="8"/>
      <c r="H720" s="30"/>
    </row>
    <row r="721">
      <c r="A721" s="44"/>
      <c r="B721" s="44"/>
      <c r="C721" s="44"/>
      <c r="D721" s="8"/>
      <c r="E721" s="8"/>
      <c r="F721" s="8"/>
      <c r="G721" s="8"/>
      <c r="H721" s="30"/>
    </row>
    <row r="722">
      <c r="A722" s="44"/>
      <c r="B722" s="44"/>
      <c r="C722" s="44"/>
      <c r="D722" s="8"/>
      <c r="E722" s="8"/>
      <c r="F722" s="8"/>
      <c r="G722" s="8"/>
      <c r="H722" s="30"/>
    </row>
    <row r="723">
      <c r="A723" s="44"/>
      <c r="B723" s="44"/>
      <c r="C723" s="44"/>
      <c r="D723" s="8"/>
      <c r="E723" s="8"/>
      <c r="F723" s="8"/>
      <c r="G723" s="8"/>
      <c r="H723" s="30"/>
    </row>
    <row r="724">
      <c r="A724" s="44"/>
      <c r="B724" s="44"/>
      <c r="C724" s="44"/>
      <c r="D724" s="8"/>
      <c r="E724" s="8"/>
      <c r="F724" s="8"/>
      <c r="G724" s="8"/>
      <c r="H724" s="30"/>
    </row>
    <row r="725">
      <c r="A725" s="44"/>
      <c r="B725" s="44"/>
      <c r="C725" s="44"/>
      <c r="D725" s="8"/>
      <c r="E725" s="8"/>
      <c r="F725" s="8"/>
      <c r="G725" s="8"/>
      <c r="H725" s="30"/>
    </row>
    <row r="726">
      <c r="A726" s="44"/>
      <c r="B726" s="44"/>
      <c r="C726" s="44"/>
      <c r="D726" s="8"/>
      <c r="E726" s="8"/>
      <c r="F726" s="8"/>
      <c r="G726" s="8"/>
      <c r="H726" s="30"/>
    </row>
    <row r="727">
      <c r="A727" s="44"/>
      <c r="B727" s="44"/>
      <c r="C727" s="44"/>
      <c r="D727" s="8"/>
      <c r="E727" s="8"/>
      <c r="F727" s="8"/>
      <c r="G727" s="8"/>
      <c r="H727" s="30"/>
    </row>
    <row r="728">
      <c r="A728" s="44"/>
      <c r="B728" s="44"/>
      <c r="C728" s="44"/>
      <c r="D728" s="8"/>
      <c r="E728" s="8"/>
      <c r="F728" s="8"/>
      <c r="G728" s="8"/>
      <c r="H728" s="30"/>
    </row>
    <row r="729">
      <c r="A729" s="44"/>
      <c r="B729" s="44"/>
      <c r="C729" s="44"/>
      <c r="D729" s="8"/>
      <c r="E729" s="8"/>
      <c r="F729" s="8"/>
      <c r="G729" s="8"/>
      <c r="H729" s="30"/>
    </row>
    <row r="730">
      <c r="A730" s="44"/>
      <c r="B730" s="44"/>
      <c r="C730" s="44"/>
      <c r="D730" s="8"/>
      <c r="E730" s="8"/>
      <c r="F730" s="8"/>
      <c r="G730" s="8"/>
      <c r="H730" s="30"/>
    </row>
    <row r="731">
      <c r="A731" s="44"/>
      <c r="B731" s="44"/>
      <c r="C731" s="44"/>
      <c r="D731" s="8"/>
      <c r="E731" s="8"/>
      <c r="F731" s="8"/>
      <c r="G731" s="8"/>
      <c r="H731" s="30"/>
    </row>
    <row r="732">
      <c r="A732" s="44"/>
      <c r="B732" s="44"/>
      <c r="C732" s="44"/>
      <c r="D732" s="8"/>
      <c r="E732" s="8"/>
      <c r="F732" s="8"/>
      <c r="G732" s="8"/>
      <c r="H732" s="30"/>
    </row>
    <row r="733">
      <c r="A733" s="44"/>
      <c r="B733" s="44"/>
      <c r="C733" s="44"/>
      <c r="D733" s="8"/>
      <c r="E733" s="8"/>
      <c r="F733" s="8"/>
      <c r="G733" s="8"/>
      <c r="H733" s="30"/>
    </row>
    <row r="734">
      <c r="A734" s="44"/>
      <c r="B734" s="44"/>
      <c r="C734" s="44"/>
      <c r="D734" s="8"/>
      <c r="E734" s="8"/>
      <c r="F734" s="8"/>
      <c r="G734" s="8"/>
      <c r="H734" s="30"/>
    </row>
    <row r="735">
      <c r="A735" s="44"/>
      <c r="B735" s="44"/>
      <c r="C735" s="44"/>
      <c r="D735" s="8"/>
      <c r="E735" s="8"/>
      <c r="F735" s="8"/>
      <c r="G735" s="8"/>
      <c r="H735" s="30"/>
    </row>
    <row r="736">
      <c r="A736" s="44"/>
      <c r="B736" s="44"/>
      <c r="C736" s="44"/>
      <c r="D736" s="8"/>
      <c r="E736" s="8"/>
      <c r="F736" s="8"/>
      <c r="G736" s="8"/>
      <c r="H736" s="30"/>
    </row>
    <row r="737">
      <c r="A737" s="44"/>
      <c r="B737" s="44"/>
      <c r="C737" s="44"/>
      <c r="D737" s="8"/>
      <c r="E737" s="8"/>
      <c r="F737" s="8"/>
      <c r="G737" s="8"/>
      <c r="H737" s="30"/>
    </row>
    <row r="738">
      <c r="A738" s="44"/>
      <c r="B738" s="44"/>
      <c r="C738" s="44"/>
      <c r="D738" s="8"/>
      <c r="E738" s="8"/>
      <c r="F738" s="8"/>
      <c r="G738" s="8"/>
      <c r="H738" s="30"/>
    </row>
    <row r="739">
      <c r="A739" s="44"/>
      <c r="B739" s="44"/>
      <c r="C739" s="44"/>
      <c r="D739" s="8"/>
      <c r="E739" s="8"/>
      <c r="F739" s="8"/>
      <c r="G739" s="8"/>
      <c r="H739" s="30"/>
    </row>
    <row r="740">
      <c r="A740" s="44"/>
      <c r="B740" s="44"/>
      <c r="C740" s="44"/>
      <c r="D740" s="8"/>
      <c r="E740" s="8"/>
      <c r="F740" s="8"/>
      <c r="G740" s="8"/>
      <c r="H740" s="30"/>
    </row>
    <row r="741">
      <c r="A741" s="44"/>
      <c r="B741" s="44"/>
      <c r="C741" s="44"/>
      <c r="D741" s="8"/>
      <c r="E741" s="8"/>
      <c r="F741" s="8"/>
      <c r="G741" s="8"/>
      <c r="H741" s="30"/>
    </row>
    <row r="742">
      <c r="A742" s="44"/>
      <c r="B742" s="44"/>
      <c r="C742" s="44"/>
      <c r="D742" s="8"/>
      <c r="E742" s="8"/>
      <c r="F742" s="8"/>
      <c r="G742" s="8"/>
      <c r="H742" s="30"/>
    </row>
    <row r="743">
      <c r="A743" s="44"/>
      <c r="B743" s="44"/>
      <c r="C743" s="44"/>
      <c r="D743" s="8"/>
      <c r="E743" s="8"/>
      <c r="F743" s="8"/>
      <c r="G743" s="8"/>
      <c r="H743" s="30"/>
    </row>
    <row r="744">
      <c r="A744" s="44"/>
      <c r="B744" s="44"/>
      <c r="C744" s="44"/>
      <c r="D744" s="8"/>
      <c r="E744" s="8"/>
      <c r="F744" s="8"/>
      <c r="G744" s="8"/>
      <c r="H744" s="30"/>
    </row>
    <row r="745">
      <c r="A745" s="44"/>
      <c r="B745" s="44"/>
      <c r="C745" s="44"/>
      <c r="D745" s="8"/>
      <c r="E745" s="8"/>
      <c r="F745" s="8"/>
      <c r="G745" s="8"/>
      <c r="H745" s="30"/>
    </row>
    <row r="746">
      <c r="A746" s="44"/>
      <c r="B746" s="44"/>
      <c r="C746" s="44"/>
      <c r="D746" s="8"/>
      <c r="E746" s="8"/>
      <c r="F746" s="8"/>
      <c r="G746" s="8"/>
      <c r="H746" s="30"/>
    </row>
    <row r="747">
      <c r="A747" s="44"/>
      <c r="B747" s="44"/>
      <c r="C747" s="44"/>
      <c r="D747" s="8"/>
      <c r="E747" s="8"/>
      <c r="F747" s="8"/>
      <c r="G747" s="8"/>
      <c r="H747" s="30"/>
    </row>
    <row r="748">
      <c r="A748" s="44"/>
      <c r="B748" s="44"/>
      <c r="C748" s="44"/>
      <c r="D748" s="8"/>
      <c r="E748" s="8"/>
      <c r="F748" s="8"/>
      <c r="G748" s="8"/>
      <c r="H748" s="30"/>
    </row>
    <row r="749">
      <c r="A749" s="44"/>
      <c r="B749" s="44"/>
      <c r="C749" s="44"/>
      <c r="D749" s="8"/>
      <c r="E749" s="8"/>
      <c r="F749" s="8"/>
      <c r="G749" s="8"/>
      <c r="H749" s="30"/>
    </row>
    <row r="750">
      <c r="A750" s="44"/>
      <c r="B750" s="44"/>
      <c r="C750" s="44"/>
      <c r="D750" s="8"/>
      <c r="E750" s="8"/>
      <c r="F750" s="8"/>
      <c r="G750" s="8"/>
      <c r="H750" s="30"/>
    </row>
    <row r="751">
      <c r="A751" s="44"/>
      <c r="B751" s="44"/>
      <c r="C751" s="44"/>
      <c r="D751" s="8"/>
      <c r="E751" s="8"/>
      <c r="F751" s="8"/>
      <c r="G751" s="8"/>
      <c r="H751" s="30"/>
    </row>
    <row r="752">
      <c r="A752" s="44"/>
      <c r="B752" s="44"/>
      <c r="C752" s="44"/>
      <c r="D752" s="8"/>
      <c r="E752" s="8"/>
      <c r="F752" s="8"/>
      <c r="G752" s="8"/>
      <c r="H752" s="30"/>
    </row>
    <row r="753">
      <c r="A753" s="44"/>
      <c r="B753" s="44"/>
      <c r="C753" s="44"/>
      <c r="D753" s="8"/>
      <c r="E753" s="8"/>
      <c r="F753" s="8"/>
      <c r="G753" s="8"/>
      <c r="H753" s="30"/>
    </row>
    <row r="754">
      <c r="A754" s="44"/>
      <c r="B754" s="44"/>
      <c r="C754" s="44"/>
      <c r="D754" s="8"/>
      <c r="E754" s="8"/>
      <c r="F754" s="8"/>
      <c r="G754" s="8"/>
      <c r="H754" s="30"/>
    </row>
    <row r="755">
      <c r="A755" s="44"/>
      <c r="B755" s="44"/>
      <c r="C755" s="44"/>
      <c r="D755" s="8"/>
      <c r="E755" s="8"/>
      <c r="F755" s="8"/>
      <c r="G755" s="8"/>
      <c r="H755" s="30"/>
    </row>
    <row r="756">
      <c r="A756" s="44"/>
      <c r="B756" s="44"/>
      <c r="C756" s="44"/>
      <c r="D756" s="8"/>
      <c r="E756" s="8"/>
      <c r="F756" s="8"/>
      <c r="G756" s="8"/>
      <c r="H756" s="30"/>
    </row>
    <row r="757">
      <c r="A757" s="44"/>
      <c r="B757" s="44"/>
      <c r="C757" s="44"/>
      <c r="D757" s="8"/>
      <c r="E757" s="8"/>
      <c r="F757" s="8"/>
      <c r="G757" s="8"/>
      <c r="H757" s="30"/>
    </row>
    <row r="758">
      <c r="A758" s="44"/>
      <c r="B758" s="44"/>
      <c r="C758" s="44"/>
      <c r="D758" s="8"/>
      <c r="E758" s="8"/>
      <c r="F758" s="8"/>
      <c r="G758" s="8"/>
      <c r="H758" s="30"/>
    </row>
    <row r="759">
      <c r="A759" s="44"/>
      <c r="B759" s="44"/>
      <c r="C759" s="44"/>
      <c r="D759" s="8"/>
      <c r="E759" s="8"/>
      <c r="F759" s="8"/>
      <c r="G759" s="8"/>
      <c r="H759" s="30"/>
    </row>
    <row r="760">
      <c r="A760" s="44"/>
      <c r="B760" s="44"/>
      <c r="C760" s="44"/>
      <c r="D760" s="8"/>
      <c r="E760" s="8"/>
      <c r="F760" s="8"/>
      <c r="G760" s="8"/>
      <c r="H760" s="30"/>
    </row>
    <row r="761">
      <c r="A761" s="44"/>
      <c r="B761" s="44"/>
      <c r="C761" s="44"/>
      <c r="D761" s="8"/>
      <c r="E761" s="8"/>
      <c r="F761" s="8"/>
      <c r="G761" s="8"/>
      <c r="H761" s="30"/>
    </row>
    <row r="762">
      <c r="A762" s="44"/>
      <c r="B762" s="44"/>
      <c r="C762" s="44"/>
      <c r="D762" s="8"/>
      <c r="E762" s="8"/>
      <c r="F762" s="8"/>
      <c r="G762" s="8"/>
      <c r="H762" s="30"/>
    </row>
    <row r="763">
      <c r="A763" s="44"/>
      <c r="B763" s="44"/>
      <c r="C763" s="44"/>
      <c r="D763" s="8"/>
      <c r="E763" s="8"/>
      <c r="F763" s="8"/>
      <c r="G763" s="8"/>
      <c r="H763" s="30"/>
    </row>
    <row r="764">
      <c r="A764" s="44"/>
      <c r="B764" s="44"/>
      <c r="C764" s="44"/>
      <c r="D764" s="8"/>
      <c r="E764" s="8"/>
      <c r="F764" s="8"/>
      <c r="G764" s="8"/>
      <c r="H764" s="30"/>
    </row>
    <row r="765">
      <c r="A765" s="44"/>
      <c r="B765" s="44"/>
      <c r="C765" s="44"/>
      <c r="D765" s="8"/>
      <c r="E765" s="8"/>
      <c r="F765" s="8"/>
      <c r="G765" s="8"/>
      <c r="H765" s="30"/>
    </row>
    <row r="766">
      <c r="A766" s="44"/>
      <c r="B766" s="44"/>
      <c r="C766" s="44"/>
      <c r="D766" s="8"/>
      <c r="E766" s="8"/>
      <c r="F766" s="8"/>
      <c r="G766" s="8"/>
      <c r="H766" s="30"/>
    </row>
    <row r="767">
      <c r="A767" s="44"/>
      <c r="B767" s="44"/>
      <c r="C767" s="44"/>
      <c r="D767" s="8"/>
      <c r="E767" s="8"/>
      <c r="F767" s="8"/>
      <c r="G767" s="8"/>
      <c r="H767" s="30"/>
    </row>
    <row r="768">
      <c r="A768" s="44"/>
      <c r="B768" s="44"/>
      <c r="C768" s="44"/>
      <c r="D768" s="8"/>
      <c r="E768" s="8"/>
      <c r="F768" s="8"/>
      <c r="G768" s="8"/>
      <c r="H768" s="30"/>
    </row>
    <row r="769">
      <c r="A769" s="44"/>
      <c r="B769" s="44"/>
      <c r="C769" s="44"/>
      <c r="D769" s="8"/>
      <c r="E769" s="8"/>
      <c r="F769" s="8"/>
      <c r="G769" s="8"/>
      <c r="H769" s="30"/>
    </row>
    <row r="770">
      <c r="A770" s="44"/>
      <c r="B770" s="44"/>
      <c r="C770" s="44"/>
      <c r="D770" s="8"/>
      <c r="E770" s="8"/>
      <c r="F770" s="8"/>
      <c r="G770" s="8"/>
      <c r="H770" s="30"/>
    </row>
    <row r="771">
      <c r="A771" s="44"/>
      <c r="B771" s="44"/>
      <c r="C771" s="44"/>
      <c r="D771" s="8"/>
      <c r="E771" s="8"/>
      <c r="F771" s="8"/>
      <c r="G771" s="8"/>
      <c r="H771" s="30"/>
    </row>
    <row r="772">
      <c r="A772" s="44"/>
      <c r="B772" s="44"/>
      <c r="C772" s="44"/>
      <c r="D772" s="8"/>
      <c r="E772" s="8"/>
      <c r="F772" s="8"/>
      <c r="G772" s="8"/>
      <c r="H772" s="30"/>
    </row>
    <row r="773">
      <c r="A773" s="44"/>
      <c r="B773" s="44"/>
      <c r="C773" s="44"/>
      <c r="D773" s="8"/>
      <c r="E773" s="8"/>
      <c r="F773" s="8"/>
      <c r="G773" s="8"/>
      <c r="H773" s="30"/>
    </row>
    <row r="774">
      <c r="A774" s="44"/>
      <c r="B774" s="44"/>
      <c r="C774" s="44"/>
      <c r="D774" s="8"/>
      <c r="E774" s="8"/>
      <c r="F774" s="8"/>
      <c r="G774" s="8"/>
      <c r="H774" s="30"/>
    </row>
    <row r="775">
      <c r="A775" s="44"/>
      <c r="B775" s="44"/>
      <c r="C775" s="44"/>
      <c r="D775" s="8"/>
      <c r="E775" s="8"/>
      <c r="F775" s="8"/>
      <c r="G775" s="8"/>
      <c r="H775" s="30"/>
    </row>
    <row r="776">
      <c r="A776" s="44"/>
      <c r="B776" s="44"/>
      <c r="C776" s="44"/>
      <c r="D776" s="8"/>
      <c r="E776" s="8"/>
      <c r="F776" s="8"/>
      <c r="G776" s="8"/>
      <c r="H776" s="30"/>
    </row>
    <row r="777">
      <c r="A777" s="44"/>
      <c r="B777" s="44"/>
      <c r="C777" s="44"/>
      <c r="D777" s="8"/>
      <c r="E777" s="8"/>
      <c r="F777" s="8"/>
      <c r="G777" s="8"/>
      <c r="H777" s="30"/>
    </row>
    <row r="778">
      <c r="A778" s="44"/>
      <c r="B778" s="44"/>
      <c r="C778" s="44"/>
      <c r="D778" s="8"/>
      <c r="E778" s="8"/>
      <c r="F778" s="8"/>
      <c r="G778" s="8"/>
      <c r="H778" s="30"/>
    </row>
    <row r="779">
      <c r="A779" s="44"/>
      <c r="B779" s="44"/>
      <c r="C779" s="44"/>
      <c r="D779" s="8"/>
      <c r="E779" s="8"/>
      <c r="F779" s="8"/>
      <c r="G779" s="8"/>
      <c r="H779" s="30"/>
    </row>
    <row r="780">
      <c r="A780" s="44"/>
      <c r="B780" s="44"/>
      <c r="C780" s="44"/>
      <c r="D780" s="8"/>
      <c r="E780" s="8"/>
      <c r="F780" s="8"/>
      <c r="G780" s="8"/>
      <c r="H780" s="30"/>
    </row>
    <row r="781">
      <c r="A781" s="44"/>
      <c r="B781" s="44"/>
      <c r="C781" s="44"/>
      <c r="D781" s="8"/>
      <c r="E781" s="8"/>
      <c r="F781" s="8"/>
      <c r="G781" s="8"/>
      <c r="H781" s="30"/>
    </row>
    <row r="782">
      <c r="A782" s="44"/>
      <c r="B782" s="44"/>
      <c r="C782" s="44"/>
      <c r="D782" s="8"/>
      <c r="E782" s="8"/>
      <c r="F782" s="8"/>
      <c r="G782" s="8"/>
      <c r="H782" s="30"/>
    </row>
    <row r="783">
      <c r="A783" s="44"/>
      <c r="B783" s="44"/>
      <c r="C783" s="44"/>
      <c r="D783" s="8"/>
      <c r="E783" s="8"/>
      <c r="F783" s="8"/>
      <c r="G783" s="8"/>
      <c r="H783" s="30"/>
    </row>
    <row r="784">
      <c r="A784" s="44"/>
      <c r="B784" s="44"/>
      <c r="C784" s="44"/>
      <c r="D784" s="8"/>
      <c r="E784" s="8"/>
      <c r="F784" s="8"/>
      <c r="G784" s="8"/>
      <c r="H784" s="30"/>
    </row>
    <row r="785">
      <c r="A785" s="44"/>
      <c r="B785" s="44"/>
      <c r="C785" s="44"/>
      <c r="D785" s="8"/>
      <c r="E785" s="8"/>
      <c r="F785" s="8"/>
      <c r="G785" s="8"/>
      <c r="H785" s="30"/>
    </row>
    <row r="786">
      <c r="A786" s="44"/>
      <c r="B786" s="44"/>
      <c r="C786" s="44"/>
      <c r="D786" s="8"/>
      <c r="E786" s="8"/>
      <c r="F786" s="8"/>
      <c r="G786" s="8"/>
      <c r="H786" s="30"/>
    </row>
    <row r="787">
      <c r="A787" s="44"/>
      <c r="B787" s="44"/>
      <c r="C787" s="44"/>
      <c r="D787" s="8"/>
      <c r="E787" s="8"/>
      <c r="F787" s="8"/>
      <c r="G787" s="8"/>
      <c r="H787" s="30"/>
    </row>
    <row r="788">
      <c r="A788" s="44"/>
      <c r="B788" s="44"/>
      <c r="C788" s="44"/>
      <c r="D788" s="8"/>
      <c r="E788" s="8"/>
      <c r="F788" s="8"/>
      <c r="G788" s="8"/>
      <c r="H788" s="30"/>
    </row>
    <row r="789">
      <c r="A789" s="44"/>
      <c r="B789" s="44"/>
      <c r="C789" s="44"/>
      <c r="D789" s="8"/>
      <c r="E789" s="8"/>
      <c r="F789" s="8"/>
      <c r="G789" s="8"/>
      <c r="H789" s="30"/>
    </row>
    <row r="790">
      <c r="A790" s="44"/>
      <c r="B790" s="44"/>
      <c r="C790" s="44"/>
      <c r="D790" s="8"/>
      <c r="E790" s="8"/>
      <c r="F790" s="8"/>
      <c r="G790" s="8"/>
      <c r="H790" s="30"/>
    </row>
    <row r="791">
      <c r="A791" s="44"/>
      <c r="B791" s="44"/>
      <c r="C791" s="44"/>
      <c r="D791" s="8"/>
      <c r="E791" s="8"/>
      <c r="F791" s="8"/>
      <c r="G791" s="8"/>
      <c r="H791" s="30"/>
    </row>
    <row r="792">
      <c r="A792" s="44"/>
      <c r="B792" s="44"/>
      <c r="C792" s="44"/>
      <c r="D792" s="8"/>
      <c r="E792" s="8"/>
      <c r="F792" s="8"/>
      <c r="G792" s="8"/>
      <c r="H792" s="30"/>
    </row>
    <row r="793">
      <c r="A793" s="44"/>
      <c r="B793" s="44"/>
      <c r="C793" s="44"/>
      <c r="D793" s="8"/>
      <c r="E793" s="8"/>
      <c r="F793" s="8"/>
      <c r="G793" s="8"/>
      <c r="H793" s="30"/>
    </row>
    <row r="794">
      <c r="A794" s="44"/>
      <c r="B794" s="44"/>
      <c r="C794" s="44"/>
      <c r="D794" s="8"/>
      <c r="E794" s="8"/>
      <c r="F794" s="8"/>
      <c r="G794" s="8"/>
      <c r="H794" s="30"/>
    </row>
    <row r="795">
      <c r="A795" s="44"/>
      <c r="B795" s="44"/>
      <c r="C795" s="44"/>
      <c r="D795" s="8"/>
      <c r="E795" s="8"/>
      <c r="F795" s="8"/>
      <c r="G795" s="8"/>
      <c r="H795" s="30"/>
    </row>
    <row r="796">
      <c r="A796" s="44"/>
      <c r="B796" s="44"/>
      <c r="C796" s="44"/>
      <c r="D796" s="8"/>
      <c r="E796" s="8"/>
      <c r="F796" s="8"/>
      <c r="G796" s="8"/>
      <c r="H796" s="30"/>
    </row>
    <row r="797">
      <c r="A797" s="44"/>
      <c r="B797" s="44"/>
      <c r="C797" s="44"/>
      <c r="D797" s="8"/>
      <c r="E797" s="8"/>
      <c r="F797" s="8"/>
      <c r="G797" s="8"/>
      <c r="H797" s="30"/>
    </row>
    <row r="798">
      <c r="A798" s="44"/>
      <c r="B798" s="44"/>
      <c r="C798" s="44"/>
      <c r="D798" s="8"/>
      <c r="E798" s="8"/>
      <c r="F798" s="8"/>
      <c r="G798" s="8"/>
      <c r="H798" s="30"/>
    </row>
    <row r="799">
      <c r="A799" s="44"/>
      <c r="B799" s="44"/>
      <c r="C799" s="44"/>
      <c r="D799" s="8"/>
      <c r="E799" s="8"/>
      <c r="F799" s="8"/>
      <c r="G799" s="8"/>
      <c r="H799" s="30"/>
    </row>
    <row r="800">
      <c r="A800" s="44"/>
      <c r="B800" s="44"/>
      <c r="C800" s="44"/>
      <c r="D800" s="8"/>
      <c r="E800" s="8"/>
      <c r="F800" s="8"/>
      <c r="G800" s="8"/>
      <c r="H800" s="30"/>
    </row>
    <row r="801">
      <c r="A801" s="44"/>
      <c r="B801" s="44"/>
      <c r="C801" s="44"/>
      <c r="D801" s="8"/>
      <c r="E801" s="8"/>
      <c r="F801" s="8"/>
      <c r="G801" s="8"/>
      <c r="H801" s="30"/>
    </row>
    <row r="802">
      <c r="A802" s="44"/>
      <c r="B802" s="44"/>
      <c r="C802" s="44"/>
      <c r="D802" s="8"/>
      <c r="E802" s="8"/>
      <c r="F802" s="8"/>
      <c r="G802" s="8"/>
      <c r="H802" s="30"/>
    </row>
    <row r="803">
      <c r="A803" s="44"/>
      <c r="B803" s="44"/>
      <c r="C803" s="44"/>
      <c r="D803" s="8"/>
      <c r="E803" s="8"/>
      <c r="F803" s="8"/>
      <c r="G803" s="8"/>
      <c r="H803" s="30"/>
    </row>
    <row r="804">
      <c r="A804" s="44"/>
      <c r="B804" s="44"/>
      <c r="C804" s="44"/>
      <c r="D804" s="8"/>
      <c r="E804" s="8"/>
      <c r="F804" s="8"/>
      <c r="G804" s="8"/>
      <c r="H804" s="30"/>
    </row>
    <row r="805">
      <c r="A805" s="44"/>
      <c r="B805" s="44"/>
      <c r="C805" s="44"/>
      <c r="D805" s="8"/>
      <c r="E805" s="8"/>
      <c r="F805" s="8"/>
      <c r="G805" s="8"/>
      <c r="H805" s="30"/>
    </row>
    <row r="806">
      <c r="A806" s="44"/>
      <c r="B806" s="44"/>
      <c r="C806" s="44"/>
      <c r="D806" s="8"/>
      <c r="E806" s="8"/>
      <c r="F806" s="8"/>
      <c r="G806" s="8"/>
      <c r="H806" s="30"/>
    </row>
    <row r="807">
      <c r="A807" s="44"/>
      <c r="B807" s="44"/>
      <c r="C807" s="44"/>
      <c r="D807" s="8"/>
      <c r="E807" s="8"/>
      <c r="F807" s="8"/>
      <c r="G807" s="8"/>
      <c r="H807" s="30"/>
    </row>
    <row r="808">
      <c r="A808" s="44"/>
      <c r="B808" s="44"/>
      <c r="C808" s="44"/>
      <c r="D808" s="8"/>
      <c r="E808" s="8"/>
      <c r="F808" s="8"/>
      <c r="G808" s="8"/>
      <c r="H808" s="30"/>
    </row>
    <row r="809">
      <c r="A809" s="44"/>
      <c r="B809" s="44"/>
      <c r="C809" s="44"/>
      <c r="D809" s="8"/>
      <c r="E809" s="8"/>
      <c r="F809" s="8"/>
      <c r="G809" s="8"/>
      <c r="H809" s="30"/>
    </row>
    <row r="810">
      <c r="A810" s="44"/>
      <c r="B810" s="44"/>
      <c r="C810" s="44"/>
      <c r="D810" s="8"/>
      <c r="E810" s="8"/>
      <c r="F810" s="8"/>
      <c r="G810" s="8"/>
      <c r="H810" s="30"/>
    </row>
    <row r="811">
      <c r="A811" s="44"/>
      <c r="B811" s="44"/>
      <c r="C811" s="44"/>
      <c r="D811" s="8"/>
      <c r="E811" s="8"/>
      <c r="F811" s="8"/>
      <c r="G811" s="8"/>
      <c r="H811" s="30"/>
    </row>
    <row r="812">
      <c r="A812" s="44"/>
      <c r="B812" s="44"/>
      <c r="C812" s="44"/>
      <c r="D812" s="8"/>
      <c r="E812" s="8"/>
      <c r="F812" s="8"/>
      <c r="G812" s="8"/>
      <c r="H812" s="30"/>
    </row>
    <row r="813">
      <c r="A813" s="44"/>
      <c r="B813" s="44"/>
      <c r="C813" s="44"/>
      <c r="D813" s="8"/>
      <c r="E813" s="8"/>
      <c r="F813" s="8"/>
      <c r="G813" s="8"/>
      <c r="H813" s="30"/>
    </row>
    <row r="814">
      <c r="A814" s="44"/>
      <c r="B814" s="44"/>
      <c r="C814" s="44"/>
      <c r="D814" s="8"/>
      <c r="E814" s="8"/>
      <c r="F814" s="8"/>
      <c r="G814" s="8"/>
      <c r="H814" s="30"/>
    </row>
    <row r="815">
      <c r="A815" s="44"/>
      <c r="B815" s="44"/>
      <c r="C815" s="44"/>
      <c r="D815" s="8"/>
      <c r="E815" s="8"/>
      <c r="F815" s="8"/>
      <c r="G815" s="8"/>
      <c r="H815" s="30"/>
    </row>
    <row r="816">
      <c r="A816" s="44"/>
      <c r="B816" s="44"/>
      <c r="C816" s="44"/>
      <c r="D816" s="8"/>
      <c r="E816" s="8"/>
      <c r="F816" s="8"/>
      <c r="G816" s="8"/>
      <c r="H816" s="30"/>
    </row>
    <row r="817">
      <c r="A817" s="44"/>
      <c r="B817" s="44"/>
      <c r="C817" s="44"/>
      <c r="D817" s="8"/>
      <c r="E817" s="8"/>
      <c r="F817" s="8"/>
      <c r="G817" s="8"/>
      <c r="H817" s="30"/>
    </row>
    <row r="818">
      <c r="A818" s="44"/>
      <c r="B818" s="44"/>
      <c r="C818" s="44"/>
      <c r="D818" s="8"/>
      <c r="E818" s="8"/>
      <c r="F818" s="8"/>
      <c r="G818" s="8"/>
      <c r="H818" s="30"/>
    </row>
    <row r="819">
      <c r="A819" s="44"/>
      <c r="B819" s="44"/>
      <c r="C819" s="44"/>
      <c r="D819" s="8"/>
      <c r="E819" s="8"/>
      <c r="F819" s="8"/>
      <c r="G819" s="8"/>
      <c r="H819" s="30"/>
    </row>
    <row r="820">
      <c r="A820" s="44"/>
      <c r="B820" s="44"/>
      <c r="C820" s="44"/>
      <c r="D820" s="8"/>
      <c r="E820" s="8"/>
      <c r="F820" s="8"/>
      <c r="G820" s="8"/>
      <c r="H820" s="30"/>
    </row>
    <row r="821">
      <c r="A821" s="44"/>
      <c r="B821" s="44"/>
      <c r="C821" s="44"/>
      <c r="D821" s="8"/>
      <c r="E821" s="8"/>
      <c r="F821" s="8"/>
      <c r="G821" s="8"/>
      <c r="H821" s="30"/>
    </row>
    <row r="822">
      <c r="A822" s="44"/>
      <c r="B822" s="44"/>
      <c r="C822" s="44"/>
      <c r="D822" s="8"/>
      <c r="E822" s="8"/>
      <c r="F822" s="8"/>
      <c r="G822" s="8"/>
      <c r="H822" s="30"/>
    </row>
    <row r="823">
      <c r="A823" s="44"/>
      <c r="B823" s="44"/>
      <c r="C823" s="44"/>
      <c r="D823" s="8"/>
      <c r="E823" s="8"/>
      <c r="F823" s="8"/>
      <c r="G823" s="8"/>
      <c r="H823" s="30"/>
    </row>
    <row r="824">
      <c r="A824" s="44"/>
      <c r="B824" s="44"/>
      <c r="C824" s="44"/>
      <c r="D824" s="8"/>
      <c r="E824" s="8"/>
      <c r="F824" s="8"/>
      <c r="G824" s="8"/>
      <c r="H824" s="30"/>
    </row>
    <row r="825">
      <c r="A825" s="44"/>
      <c r="B825" s="44"/>
      <c r="C825" s="44"/>
      <c r="D825" s="8"/>
      <c r="E825" s="8"/>
      <c r="F825" s="8"/>
      <c r="G825" s="8"/>
      <c r="H825" s="30"/>
    </row>
    <row r="826">
      <c r="A826" s="44"/>
      <c r="B826" s="44"/>
      <c r="C826" s="44"/>
      <c r="D826" s="8"/>
      <c r="E826" s="8"/>
      <c r="F826" s="8"/>
      <c r="G826" s="8"/>
      <c r="H826" s="30"/>
    </row>
    <row r="827">
      <c r="A827" s="44"/>
      <c r="B827" s="44"/>
      <c r="C827" s="44"/>
      <c r="D827" s="8"/>
      <c r="E827" s="8"/>
      <c r="F827" s="8"/>
      <c r="G827" s="8"/>
      <c r="H827" s="30"/>
    </row>
    <row r="828">
      <c r="A828" s="44"/>
      <c r="B828" s="44"/>
      <c r="C828" s="44"/>
      <c r="D828" s="8"/>
      <c r="E828" s="8"/>
      <c r="F828" s="8"/>
      <c r="G828" s="8"/>
      <c r="H828" s="30"/>
    </row>
    <row r="829">
      <c r="A829" s="44"/>
      <c r="B829" s="44"/>
      <c r="C829" s="44"/>
      <c r="D829" s="8"/>
      <c r="E829" s="8"/>
      <c r="F829" s="8"/>
      <c r="G829" s="8"/>
      <c r="H829" s="30"/>
    </row>
    <row r="830">
      <c r="A830" s="44"/>
      <c r="B830" s="44"/>
      <c r="C830" s="44"/>
      <c r="D830" s="8"/>
      <c r="E830" s="8"/>
      <c r="F830" s="8"/>
      <c r="G830" s="8"/>
      <c r="H830" s="30"/>
    </row>
    <row r="831">
      <c r="A831" s="44"/>
      <c r="B831" s="44"/>
      <c r="C831" s="44"/>
      <c r="D831" s="8"/>
      <c r="E831" s="8"/>
      <c r="F831" s="8"/>
      <c r="G831" s="8"/>
      <c r="H831" s="30"/>
    </row>
    <row r="832">
      <c r="A832" s="44"/>
      <c r="B832" s="44"/>
      <c r="C832" s="44"/>
      <c r="D832" s="8"/>
      <c r="E832" s="8"/>
      <c r="F832" s="8"/>
      <c r="G832" s="8"/>
      <c r="H832" s="30"/>
    </row>
    <row r="833">
      <c r="A833" s="44"/>
      <c r="B833" s="44"/>
      <c r="C833" s="44"/>
      <c r="D833" s="8"/>
      <c r="E833" s="8"/>
      <c r="F833" s="8"/>
      <c r="G833" s="8"/>
      <c r="H833" s="30"/>
    </row>
    <row r="834">
      <c r="A834" s="44"/>
      <c r="B834" s="44"/>
      <c r="C834" s="44"/>
      <c r="D834" s="8"/>
      <c r="E834" s="8"/>
      <c r="F834" s="8"/>
      <c r="G834" s="8"/>
      <c r="H834" s="30"/>
    </row>
    <row r="835">
      <c r="A835" s="44"/>
      <c r="B835" s="44"/>
      <c r="C835" s="44"/>
      <c r="D835" s="8"/>
      <c r="E835" s="8"/>
      <c r="F835" s="8"/>
      <c r="G835" s="8"/>
      <c r="H835" s="30"/>
    </row>
    <row r="836">
      <c r="A836" s="44"/>
      <c r="B836" s="44"/>
      <c r="C836" s="44"/>
      <c r="D836" s="8"/>
      <c r="E836" s="8"/>
      <c r="F836" s="8"/>
      <c r="G836" s="8"/>
      <c r="H836" s="30"/>
    </row>
    <row r="837">
      <c r="A837" s="44"/>
      <c r="B837" s="44"/>
      <c r="C837" s="44"/>
      <c r="D837" s="8"/>
      <c r="E837" s="8"/>
      <c r="F837" s="8"/>
      <c r="G837" s="8"/>
      <c r="H837" s="30"/>
    </row>
    <row r="838">
      <c r="A838" s="44"/>
      <c r="B838" s="44"/>
      <c r="C838" s="44"/>
      <c r="D838" s="8"/>
      <c r="E838" s="8"/>
      <c r="F838" s="8"/>
      <c r="G838" s="8"/>
      <c r="H838" s="30"/>
    </row>
    <row r="839">
      <c r="A839" s="44"/>
      <c r="B839" s="44"/>
      <c r="C839" s="44"/>
      <c r="D839" s="8"/>
      <c r="E839" s="8"/>
      <c r="F839" s="8"/>
      <c r="G839" s="8"/>
      <c r="H839" s="30"/>
    </row>
    <row r="840">
      <c r="A840" s="44"/>
      <c r="B840" s="44"/>
      <c r="C840" s="44"/>
      <c r="D840" s="8"/>
      <c r="E840" s="8"/>
      <c r="F840" s="8"/>
      <c r="G840" s="8"/>
      <c r="H840" s="30"/>
    </row>
    <row r="841">
      <c r="A841" s="44"/>
      <c r="B841" s="44"/>
      <c r="C841" s="44"/>
      <c r="D841" s="8"/>
      <c r="E841" s="8"/>
      <c r="F841" s="8"/>
      <c r="G841" s="8"/>
      <c r="H841" s="30"/>
    </row>
    <row r="842">
      <c r="A842" s="44"/>
      <c r="B842" s="44"/>
      <c r="C842" s="44"/>
      <c r="D842" s="8"/>
      <c r="E842" s="8"/>
      <c r="F842" s="8"/>
      <c r="G842" s="8"/>
      <c r="H842" s="30"/>
    </row>
    <row r="843">
      <c r="A843" s="44"/>
      <c r="B843" s="44"/>
      <c r="C843" s="44"/>
      <c r="D843" s="8"/>
      <c r="E843" s="8"/>
      <c r="F843" s="8"/>
      <c r="G843" s="8"/>
      <c r="H843" s="30"/>
    </row>
    <row r="844">
      <c r="A844" s="44"/>
      <c r="B844" s="44"/>
      <c r="C844" s="44"/>
      <c r="D844" s="8"/>
      <c r="E844" s="8"/>
      <c r="F844" s="8"/>
      <c r="G844" s="8"/>
      <c r="H844" s="30"/>
    </row>
    <row r="845">
      <c r="A845" s="44"/>
      <c r="B845" s="44"/>
      <c r="C845" s="44"/>
      <c r="D845" s="8"/>
      <c r="E845" s="8"/>
      <c r="F845" s="8"/>
      <c r="G845" s="8"/>
      <c r="H845" s="30"/>
    </row>
    <row r="846">
      <c r="A846" s="44"/>
      <c r="B846" s="44"/>
      <c r="C846" s="44"/>
      <c r="D846" s="8"/>
      <c r="E846" s="8"/>
      <c r="F846" s="8"/>
      <c r="G846" s="8"/>
      <c r="H846" s="30"/>
    </row>
    <row r="847">
      <c r="A847" s="44"/>
      <c r="B847" s="44"/>
      <c r="C847" s="44"/>
      <c r="D847" s="8"/>
      <c r="E847" s="8"/>
      <c r="F847" s="8"/>
      <c r="G847" s="8"/>
      <c r="H847" s="30"/>
    </row>
    <row r="848">
      <c r="A848" s="44"/>
      <c r="B848" s="44"/>
      <c r="C848" s="44"/>
      <c r="D848" s="8"/>
      <c r="E848" s="8"/>
      <c r="F848" s="8"/>
      <c r="G848" s="8"/>
      <c r="H848" s="30"/>
    </row>
    <row r="849">
      <c r="A849" s="44"/>
      <c r="B849" s="44"/>
      <c r="C849" s="44"/>
      <c r="D849" s="8"/>
      <c r="E849" s="8"/>
      <c r="F849" s="8"/>
      <c r="G849" s="8"/>
      <c r="H849" s="30"/>
    </row>
    <row r="850">
      <c r="A850" s="44"/>
      <c r="B850" s="44"/>
      <c r="C850" s="44"/>
      <c r="D850" s="8"/>
      <c r="E850" s="8"/>
      <c r="F850" s="8"/>
      <c r="G850" s="8"/>
      <c r="H850" s="30"/>
    </row>
    <row r="851">
      <c r="A851" s="44"/>
      <c r="B851" s="44"/>
      <c r="C851" s="44"/>
      <c r="D851" s="8"/>
      <c r="E851" s="8"/>
      <c r="F851" s="8"/>
      <c r="G851" s="8"/>
      <c r="H851" s="30"/>
    </row>
    <row r="852">
      <c r="A852" s="44"/>
      <c r="B852" s="44"/>
      <c r="C852" s="44"/>
      <c r="D852" s="8"/>
      <c r="E852" s="8"/>
      <c r="F852" s="8"/>
      <c r="G852" s="8"/>
      <c r="H852" s="30"/>
    </row>
    <row r="853">
      <c r="A853" s="44"/>
      <c r="B853" s="44"/>
      <c r="C853" s="44"/>
      <c r="D853" s="8"/>
      <c r="E853" s="8"/>
      <c r="F853" s="8"/>
      <c r="G853" s="8"/>
      <c r="H853" s="30"/>
    </row>
    <row r="854">
      <c r="A854" s="44"/>
      <c r="B854" s="44"/>
      <c r="C854" s="44"/>
      <c r="D854" s="8"/>
      <c r="E854" s="8"/>
      <c r="F854" s="8"/>
      <c r="G854" s="8"/>
      <c r="H854" s="30"/>
    </row>
    <row r="855">
      <c r="A855" s="44"/>
      <c r="B855" s="44"/>
      <c r="C855" s="44"/>
      <c r="D855" s="8"/>
      <c r="E855" s="8"/>
      <c r="F855" s="8"/>
      <c r="G855" s="8"/>
      <c r="H855" s="30"/>
    </row>
    <row r="856">
      <c r="A856" s="44"/>
      <c r="B856" s="44"/>
      <c r="C856" s="44"/>
      <c r="D856" s="8"/>
      <c r="E856" s="8"/>
      <c r="F856" s="8"/>
      <c r="G856" s="8"/>
      <c r="H856" s="30"/>
    </row>
    <row r="857">
      <c r="A857" s="44"/>
      <c r="B857" s="44"/>
      <c r="C857" s="44"/>
      <c r="D857" s="8"/>
      <c r="E857" s="8"/>
      <c r="F857" s="8"/>
      <c r="G857" s="8"/>
      <c r="H857" s="30"/>
    </row>
    <row r="858">
      <c r="A858" s="44"/>
      <c r="B858" s="44"/>
      <c r="C858" s="44"/>
      <c r="D858" s="8"/>
      <c r="E858" s="8"/>
      <c r="F858" s="8"/>
      <c r="G858" s="8"/>
      <c r="H858" s="30"/>
    </row>
    <row r="859">
      <c r="A859" s="44"/>
      <c r="B859" s="44"/>
      <c r="C859" s="44"/>
      <c r="D859" s="8"/>
      <c r="E859" s="8"/>
      <c r="F859" s="8"/>
      <c r="G859" s="8"/>
      <c r="H859" s="30"/>
    </row>
    <row r="860">
      <c r="A860" s="44"/>
      <c r="B860" s="44"/>
      <c r="C860" s="44"/>
      <c r="D860" s="8"/>
      <c r="E860" s="8"/>
      <c r="F860" s="8"/>
      <c r="G860" s="8"/>
      <c r="H860" s="30"/>
    </row>
    <row r="861">
      <c r="A861" s="44"/>
      <c r="B861" s="44"/>
      <c r="C861" s="44"/>
      <c r="D861" s="8"/>
      <c r="E861" s="8"/>
      <c r="F861" s="8"/>
      <c r="G861" s="8"/>
      <c r="H861" s="30"/>
    </row>
    <row r="862">
      <c r="A862" s="44"/>
      <c r="B862" s="44"/>
      <c r="C862" s="44"/>
      <c r="D862" s="8"/>
      <c r="E862" s="8"/>
      <c r="F862" s="8"/>
      <c r="G862" s="8"/>
      <c r="H862" s="30"/>
    </row>
    <row r="863">
      <c r="A863" s="44"/>
      <c r="B863" s="44"/>
      <c r="C863" s="44"/>
      <c r="D863" s="8"/>
      <c r="E863" s="8"/>
      <c r="F863" s="8"/>
      <c r="G863" s="8"/>
      <c r="H863" s="30"/>
    </row>
    <row r="864">
      <c r="A864" s="44"/>
      <c r="B864" s="44"/>
      <c r="C864" s="44"/>
      <c r="D864" s="8"/>
      <c r="E864" s="8"/>
      <c r="F864" s="8"/>
      <c r="G864" s="8"/>
      <c r="H864" s="30"/>
    </row>
    <row r="865">
      <c r="A865" s="44"/>
      <c r="B865" s="44"/>
      <c r="C865" s="44"/>
      <c r="D865" s="8"/>
      <c r="E865" s="8"/>
      <c r="F865" s="8"/>
      <c r="G865" s="8"/>
      <c r="H865" s="30"/>
    </row>
    <row r="866">
      <c r="A866" s="44"/>
      <c r="B866" s="44"/>
      <c r="C866" s="44"/>
      <c r="D866" s="8"/>
      <c r="E866" s="8"/>
      <c r="F866" s="8"/>
      <c r="G866" s="8"/>
      <c r="H866" s="30"/>
    </row>
    <row r="867">
      <c r="A867" s="44"/>
      <c r="B867" s="44"/>
      <c r="C867" s="44"/>
      <c r="D867" s="8"/>
      <c r="E867" s="8"/>
      <c r="F867" s="8"/>
      <c r="G867" s="8"/>
      <c r="H867" s="30"/>
    </row>
    <row r="868">
      <c r="A868" s="44"/>
      <c r="B868" s="44"/>
      <c r="C868" s="44"/>
      <c r="D868" s="8"/>
      <c r="E868" s="8"/>
      <c r="F868" s="8"/>
      <c r="G868" s="8"/>
      <c r="H868" s="30"/>
    </row>
    <row r="869">
      <c r="A869" s="44"/>
      <c r="B869" s="44"/>
      <c r="C869" s="44"/>
      <c r="D869" s="8"/>
      <c r="E869" s="8"/>
      <c r="F869" s="8"/>
      <c r="G869" s="8"/>
      <c r="H869" s="30"/>
    </row>
    <row r="870">
      <c r="A870" s="44"/>
      <c r="B870" s="44"/>
      <c r="C870" s="44"/>
      <c r="D870" s="8"/>
      <c r="E870" s="8"/>
      <c r="F870" s="8"/>
      <c r="G870" s="8"/>
      <c r="H870" s="30"/>
    </row>
    <row r="871">
      <c r="A871" s="44"/>
      <c r="B871" s="44"/>
      <c r="C871" s="44"/>
      <c r="D871" s="8"/>
      <c r="E871" s="8"/>
      <c r="F871" s="8"/>
      <c r="G871" s="8"/>
      <c r="H871" s="30"/>
    </row>
    <row r="872">
      <c r="A872" s="44"/>
      <c r="B872" s="44"/>
      <c r="C872" s="44"/>
      <c r="D872" s="8"/>
      <c r="E872" s="8"/>
      <c r="F872" s="8"/>
      <c r="G872" s="8"/>
      <c r="H872" s="30"/>
    </row>
    <row r="873">
      <c r="A873" s="44"/>
      <c r="B873" s="44"/>
      <c r="C873" s="44"/>
      <c r="D873" s="8"/>
      <c r="E873" s="8"/>
      <c r="F873" s="8"/>
      <c r="G873" s="8"/>
      <c r="H873" s="30"/>
    </row>
    <row r="874">
      <c r="A874" s="44"/>
      <c r="B874" s="44"/>
      <c r="C874" s="44"/>
      <c r="D874" s="8"/>
      <c r="E874" s="8"/>
      <c r="F874" s="8"/>
      <c r="G874" s="8"/>
      <c r="H874" s="30"/>
    </row>
    <row r="875">
      <c r="A875" s="44"/>
      <c r="B875" s="44"/>
      <c r="C875" s="44"/>
      <c r="D875" s="8"/>
      <c r="E875" s="8"/>
      <c r="F875" s="8"/>
      <c r="G875" s="8"/>
      <c r="H875" s="30"/>
    </row>
    <row r="876">
      <c r="A876" s="44"/>
      <c r="B876" s="44"/>
      <c r="C876" s="44"/>
      <c r="D876" s="8"/>
      <c r="E876" s="8"/>
      <c r="F876" s="8"/>
      <c r="G876" s="8"/>
      <c r="H876" s="30"/>
    </row>
    <row r="877">
      <c r="A877" s="44"/>
      <c r="B877" s="44"/>
      <c r="C877" s="44"/>
      <c r="D877" s="8"/>
      <c r="E877" s="8"/>
      <c r="F877" s="8"/>
      <c r="G877" s="8"/>
      <c r="H877" s="30"/>
    </row>
    <row r="878">
      <c r="A878" s="44"/>
      <c r="B878" s="44"/>
      <c r="C878" s="44"/>
      <c r="D878" s="8"/>
      <c r="E878" s="8"/>
      <c r="F878" s="8"/>
      <c r="G878" s="8"/>
      <c r="H878" s="30"/>
    </row>
    <row r="879">
      <c r="A879" s="44"/>
      <c r="B879" s="44"/>
      <c r="C879" s="44"/>
      <c r="D879" s="8"/>
      <c r="E879" s="8"/>
      <c r="F879" s="8"/>
      <c r="G879" s="8"/>
      <c r="H879" s="30"/>
    </row>
    <row r="880">
      <c r="A880" s="44"/>
      <c r="B880" s="44"/>
      <c r="C880" s="44"/>
      <c r="D880" s="8"/>
      <c r="E880" s="8"/>
      <c r="F880" s="8"/>
      <c r="G880" s="8"/>
      <c r="H880" s="30"/>
    </row>
    <row r="881">
      <c r="A881" s="44"/>
      <c r="B881" s="44"/>
      <c r="C881" s="44"/>
      <c r="D881" s="8"/>
      <c r="E881" s="8"/>
      <c r="F881" s="8"/>
      <c r="G881" s="8"/>
      <c r="H881" s="30"/>
    </row>
    <row r="882">
      <c r="A882" s="44"/>
      <c r="B882" s="44"/>
      <c r="C882" s="44"/>
      <c r="D882" s="8"/>
      <c r="E882" s="8"/>
      <c r="F882" s="8"/>
      <c r="G882" s="8"/>
      <c r="H882" s="30"/>
    </row>
    <row r="883">
      <c r="A883" s="44"/>
      <c r="B883" s="44"/>
      <c r="C883" s="44"/>
      <c r="D883" s="8"/>
      <c r="E883" s="8"/>
      <c r="F883" s="8"/>
      <c r="G883" s="8"/>
      <c r="H883" s="30"/>
    </row>
    <row r="884">
      <c r="A884" s="44"/>
      <c r="B884" s="44"/>
      <c r="C884" s="44"/>
      <c r="D884" s="8"/>
      <c r="E884" s="8"/>
      <c r="F884" s="8"/>
      <c r="G884" s="8"/>
      <c r="H884" s="30"/>
    </row>
    <row r="885">
      <c r="A885" s="44"/>
      <c r="B885" s="44"/>
      <c r="C885" s="44"/>
      <c r="D885" s="8"/>
      <c r="E885" s="8"/>
      <c r="F885" s="8"/>
      <c r="G885" s="8"/>
      <c r="H885" s="30"/>
    </row>
    <row r="886">
      <c r="A886" s="44"/>
      <c r="B886" s="44"/>
      <c r="C886" s="44"/>
      <c r="D886" s="8"/>
      <c r="E886" s="8"/>
      <c r="F886" s="8"/>
      <c r="G886" s="8"/>
      <c r="H886" s="30"/>
    </row>
    <row r="887">
      <c r="A887" s="44"/>
      <c r="B887" s="44"/>
      <c r="C887" s="44"/>
      <c r="D887" s="8"/>
      <c r="E887" s="8"/>
      <c r="F887" s="8"/>
      <c r="G887" s="8"/>
      <c r="H887" s="30"/>
    </row>
    <row r="888">
      <c r="A888" s="44"/>
      <c r="B888" s="44"/>
      <c r="C888" s="44"/>
      <c r="D888" s="8"/>
      <c r="E888" s="8"/>
      <c r="F888" s="8"/>
      <c r="G888" s="8"/>
      <c r="H888" s="30"/>
    </row>
    <row r="889">
      <c r="A889" s="44"/>
      <c r="B889" s="44"/>
      <c r="C889" s="44"/>
      <c r="D889" s="8"/>
      <c r="E889" s="8"/>
      <c r="F889" s="8"/>
      <c r="G889" s="8"/>
      <c r="H889" s="30"/>
    </row>
    <row r="890">
      <c r="A890" s="44"/>
      <c r="B890" s="44"/>
      <c r="C890" s="44"/>
      <c r="D890" s="8"/>
      <c r="E890" s="8"/>
      <c r="F890" s="8"/>
      <c r="G890" s="8"/>
      <c r="H890" s="30"/>
    </row>
    <row r="891">
      <c r="A891" s="44"/>
      <c r="B891" s="44"/>
      <c r="C891" s="44"/>
      <c r="D891" s="8"/>
      <c r="E891" s="8"/>
      <c r="F891" s="8"/>
      <c r="G891" s="8"/>
      <c r="H891" s="30"/>
    </row>
    <row r="892">
      <c r="A892" s="44"/>
      <c r="B892" s="44"/>
      <c r="C892" s="44"/>
      <c r="D892" s="8"/>
      <c r="E892" s="8"/>
      <c r="F892" s="8"/>
      <c r="G892" s="8"/>
      <c r="H892" s="30"/>
    </row>
    <row r="893">
      <c r="A893" s="44"/>
      <c r="B893" s="44"/>
      <c r="C893" s="44"/>
      <c r="D893" s="8"/>
      <c r="E893" s="8"/>
      <c r="F893" s="8"/>
      <c r="G893" s="8"/>
      <c r="H893" s="30"/>
    </row>
    <row r="894">
      <c r="A894" s="44"/>
      <c r="B894" s="44"/>
      <c r="C894" s="44"/>
      <c r="D894" s="8"/>
      <c r="E894" s="8"/>
      <c r="F894" s="8"/>
      <c r="G894" s="8"/>
      <c r="H894" s="30"/>
    </row>
    <row r="895">
      <c r="A895" s="44"/>
      <c r="B895" s="44"/>
      <c r="C895" s="44"/>
      <c r="D895" s="8"/>
      <c r="E895" s="8"/>
      <c r="F895" s="8"/>
      <c r="G895" s="8"/>
      <c r="H895" s="30"/>
    </row>
    <row r="896">
      <c r="A896" s="44"/>
      <c r="B896" s="44"/>
      <c r="C896" s="44"/>
      <c r="D896" s="8"/>
      <c r="E896" s="8"/>
      <c r="F896" s="8"/>
      <c r="G896" s="8"/>
      <c r="H896" s="30"/>
    </row>
    <row r="897">
      <c r="A897" s="44"/>
      <c r="B897" s="44"/>
      <c r="C897" s="44"/>
      <c r="D897" s="8"/>
      <c r="E897" s="8"/>
      <c r="F897" s="8"/>
      <c r="G897" s="8"/>
      <c r="H897" s="30"/>
    </row>
    <row r="898">
      <c r="A898" s="44"/>
      <c r="B898" s="44"/>
      <c r="C898" s="44"/>
      <c r="D898" s="8"/>
      <c r="E898" s="8"/>
      <c r="F898" s="8"/>
      <c r="G898" s="8"/>
      <c r="H898" s="30"/>
    </row>
    <row r="899">
      <c r="A899" s="44"/>
      <c r="B899" s="44"/>
      <c r="C899" s="44"/>
      <c r="D899" s="8"/>
      <c r="E899" s="8"/>
      <c r="F899" s="8"/>
      <c r="G899" s="8"/>
      <c r="H899" s="30"/>
    </row>
    <row r="900">
      <c r="A900" s="44"/>
      <c r="B900" s="44"/>
      <c r="C900" s="44"/>
      <c r="D900" s="8"/>
      <c r="E900" s="8"/>
      <c r="F900" s="8"/>
      <c r="G900" s="8"/>
      <c r="H900" s="30"/>
    </row>
    <row r="901">
      <c r="A901" s="44"/>
      <c r="B901" s="44"/>
      <c r="C901" s="44"/>
      <c r="D901" s="8"/>
      <c r="E901" s="8"/>
      <c r="F901" s="8"/>
      <c r="G901" s="8"/>
      <c r="H901" s="30"/>
    </row>
    <row r="902">
      <c r="A902" s="44"/>
      <c r="B902" s="44"/>
      <c r="C902" s="44"/>
      <c r="D902" s="8"/>
      <c r="E902" s="8"/>
      <c r="F902" s="8"/>
      <c r="G902" s="8"/>
      <c r="H902" s="30"/>
    </row>
    <row r="903">
      <c r="A903" s="44"/>
      <c r="B903" s="44"/>
      <c r="C903" s="44"/>
      <c r="D903" s="8"/>
      <c r="E903" s="8"/>
      <c r="F903" s="8"/>
      <c r="G903" s="8"/>
      <c r="H903" s="30"/>
    </row>
    <row r="904">
      <c r="A904" s="44"/>
      <c r="B904" s="44"/>
      <c r="C904" s="44"/>
      <c r="D904" s="8"/>
      <c r="E904" s="8"/>
      <c r="F904" s="8"/>
      <c r="G904" s="8"/>
      <c r="H904" s="30"/>
    </row>
    <row r="905">
      <c r="A905" s="44"/>
      <c r="B905" s="44"/>
      <c r="C905" s="44"/>
      <c r="D905" s="8"/>
      <c r="E905" s="8"/>
      <c r="F905" s="8"/>
      <c r="G905" s="8"/>
      <c r="H905" s="30"/>
    </row>
    <row r="906">
      <c r="A906" s="44"/>
      <c r="B906" s="44"/>
      <c r="C906" s="44"/>
      <c r="D906" s="8"/>
      <c r="E906" s="8"/>
      <c r="F906" s="8"/>
      <c r="G906" s="8"/>
      <c r="H906" s="30"/>
    </row>
    <row r="907">
      <c r="A907" s="44"/>
      <c r="B907" s="44"/>
      <c r="C907" s="44"/>
      <c r="D907" s="8"/>
      <c r="E907" s="8"/>
      <c r="F907" s="8"/>
      <c r="G907" s="8"/>
      <c r="H907" s="30"/>
    </row>
    <row r="908">
      <c r="A908" s="44"/>
      <c r="B908" s="44"/>
      <c r="C908" s="44"/>
      <c r="D908" s="8"/>
      <c r="E908" s="8"/>
      <c r="F908" s="8"/>
      <c r="G908" s="8"/>
      <c r="H908" s="30"/>
    </row>
    <row r="909">
      <c r="A909" s="44"/>
      <c r="B909" s="44"/>
      <c r="C909" s="44"/>
      <c r="D909" s="8"/>
      <c r="E909" s="8"/>
      <c r="F909" s="8"/>
      <c r="G909" s="8"/>
      <c r="H909" s="30"/>
    </row>
    <row r="910">
      <c r="A910" s="44"/>
      <c r="B910" s="44"/>
      <c r="C910" s="44"/>
      <c r="D910" s="8"/>
      <c r="E910" s="8"/>
      <c r="F910" s="8"/>
      <c r="G910" s="8"/>
      <c r="H910" s="30"/>
    </row>
    <row r="911">
      <c r="A911" s="44"/>
      <c r="B911" s="44"/>
      <c r="C911" s="44"/>
      <c r="D911" s="8"/>
      <c r="E911" s="8"/>
      <c r="F911" s="8"/>
      <c r="G911" s="8"/>
      <c r="H911" s="30"/>
    </row>
    <row r="912">
      <c r="A912" s="44"/>
      <c r="B912" s="44"/>
      <c r="C912" s="44"/>
      <c r="D912" s="8"/>
      <c r="E912" s="8"/>
      <c r="F912" s="8"/>
      <c r="G912" s="8"/>
      <c r="H912" s="30"/>
    </row>
    <row r="913">
      <c r="A913" s="44"/>
      <c r="B913" s="44"/>
      <c r="C913" s="44"/>
      <c r="D913" s="8"/>
      <c r="E913" s="8"/>
      <c r="F913" s="8"/>
      <c r="G913" s="8"/>
      <c r="H913" s="30"/>
    </row>
    <row r="914">
      <c r="A914" s="44"/>
      <c r="B914" s="44"/>
      <c r="C914" s="44"/>
      <c r="D914" s="8"/>
      <c r="E914" s="8"/>
      <c r="F914" s="8"/>
      <c r="G914" s="8"/>
      <c r="H914" s="30"/>
    </row>
    <row r="915">
      <c r="A915" s="44"/>
      <c r="B915" s="44"/>
      <c r="C915" s="44"/>
      <c r="D915" s="8"/>
      <c r="E915" s="8"/>
      <c r="F915" s="8"/>
      <c r="G915" s="8"/>
      <c r="H915" s="30"/>
    </row>
    <row r="916">
      <c r="A916" s="44"/>
      <c r="B916" s="44"/>
      <c r="C916" s="44"/>
      <c r="D916" s="8"/>
      <c r="E916" s="8"/>
      <c r="F916" s="8"/>
      <c r="G916" s="8"/>
      <c r="H916" s="30"/>
    </row>
    <row r="917">
      <c r="A917" s="44"/>
      <c r="B917" s="44"/>
      <c r="C917" s="44"/>
      <c r="D917" s="8"/>
      <c r="E917" s="8"/>
      <c r="F917" s="8"/>
      <c r="G917" s="8"/>
      <c r="H917" s="30"/>
    </row>
    <row r="918">
      <c r="A918" s="44"/>
      <c r="B918" s="44"/>
      <c r="C918" s="44"/>
      <c r="D918" s="8"/>
      <c r="E918" s="8"/>
      <c r="F918" s="8"/>
      <c r="G918" s="8"/>
      <c r="H918" s="30"/>
    </row>
    <row r="919">
      <c r="A919" s="44"/>
      <c r="B919" s="44"/>
      <c r="C919" s="44"/>
      <c r="D919" s="8"/>
      <c r="E919" s="8"/>
      <c r="F919" s="8"/>
      <c r="G919" s="8"/>
      <c r="H919" s="30"/>
    </row>
    <row r="920">
      <c r="A920" s="44"/>
      <c r="B920" s="44"/>
      <c r="C920" s="44"/>
      <c r="D920" s="8"/>
      <c r="E920" s="8"/>
      <c r="F920" s="8"/>
      <c r="G920" s="8"/>
      <c r="H920" s="30"/>
    </row>
    <row r="921">
      <c r="A921" s="44"/>
      <c r="B921" s="44"/>
      <c r="C921" s="44"/>
      <c r="D921" s="8"/>
      <c r="E921" s="8"/>
      <c r="F921" s="8"/>
      <c r="G921" s="8"/>
      <c r="H921" s="30"/>
    </row>
    <row r="922">
      <c r="A922" s="44"/>
      <c r="B922" s="44"/>
      <c r="C922" s="44"/>
      <c r="D922" s="8"/>
      <c r="E922" s="8"/>
      <c r="F922" s="8"/>
      <c r="G922" s="8"/>
      <c r="H922" s="30"/>
    </row>
    <row r="923">
      <c r="A923" s="44"/>
      <c r="B923" s="44"/>
      <c r="C923" s="44"/>
      <c r="D923" s="8"/>
      <c r="E923" s="8"/>
      <c r="F923" s="8"/>
      <c r="G923" s="8"/>
      <c r="H923" s="30"/>
    </row>
    <row r="924">
      <c r="A924" s="44"/>
      <c r="B924" s="44"/>
      <c r="C924" s="44"/>
      <c r="D924" s="8"/>
      <c r="E924" s="8"/>
      <c r="F924" s="8"/>
      <c r="G924" s="8"/>
      <c r="H924" s="30"/>
    </row>
    <row r="925">
      <c r="A925" s="44"/>
      <c r="B925" s="44"/>
      <c r="C925" s="44"/>
      <c r="D925" s="8"/>
      <c r="E925" s="8"/>
      <c r="F925" s="8"/>
      <c r="G925" s="8"/>
      <c r="H925" s="30"/>
    </row>
    <row r="926">
      <c r="A926" s="44"/>
      <c r="B926" s="44"/>
      <c r="C926" s="44"/>
      <c r="D926" s="8"/>
      <c r="E926" s="8"/>
      <c r="F926" s="8"/>
      <c r="G926" s="8"/>
      <c r="H926" s="30"/>
    </row>
    <row r="927">
      <c r="A927" s="44"/>
      <c r="B927" s="44"/>
      <c r="C927" s="44"/>
      <c r="D927" s="8"/>
      <c r="E927" s="8"/>
      <c r="F927" s="8"/>
      <c r="G927" s="8"/>
      <c r="H927" s="30"/>
    </row>
    <row r="928">
      <c r="A928" s="44"/>
      <c r="B928" s="44"/>
      <c r="C928" s="44"/>
      <c r="D928" s="8"/>
      <c r="E928" s="8"/>
      <c r="F928" s="8"/>
      <c r="G928" s="8"/>
      <c r="H928" s="30"/>
    </row>
    <row r="929">
      <c r="A929" s="44"/>
      <c r="B929" s="44"/>
      <c r="C929" s="44"/>
      <c r="D929" s="8"/>
      <c r="E929" s="8"/>
      <c r="F929" s="8"/>
      <c r="G929" s="8"/>
      <c r="H929" s="30"/>
    </row>
    <row r="930">
      <c r="A930" s="44"/>
      <c r="B930" s="44"/>
      <c r="C930" s="44"/>
      <c r="D930" s="8"/>
      <c r="E930" s="8"/>
      <c r="F930" s="8"/>
      <c r="G930" s="8"/>
      <c r="H930" s="30"/>
    </row>
    <row r="931">
      <c r="A931" s="44"/>
      <c r="B931" s="44"/>
      <c r="C931" s="44"/>
      <c r="D931" s="8"/>
      <c r="E931" s="8"/>
      <c r="F931" s="8"/>
      <c r="G931" s="8"/>
      <c r="H931" s="30"/>
    </row>
    <row r="932">
      <c r="A932" s="44"/>
      <c r="B932" s="44"/>
      <c r="C932" s="44"/>
      <c r="D932" s="8"/>
      <c r="E932" s="8"/>
      <c r="F932" s="8"/>
      <c r="G932" s="8"/>
      <c r="H932" s="30"/>
    </row>
    <row r="933">
      <c r="A933" s="44"/>
      <c r="B933" s="44"/>
      <c r="C933" s="44"/>
      <c r="D933" s="8"/>
      <c r="E933" s="8"/>
      <c r="F933" s="8"/>
      <c r="G933" s="8"/>
      <c r="H933" s="30"/>
    </row>
    <row r="934">
      <c r="A934" s="44"/>
      <c r="B934" s="44"/>
      <c r="C934" s="44"/>
      <c r="D934" s="8"/>
      <c r="E934" s="8"/>
      <c r="F934" s="8"/>
      <c r="G934" s="8"/>
      <c r="H934" s="30"/>
    </row>
    <row r="935">
      <c r="A935" s="44"/>
      <c r="B935" s="44"/>
      <c r="C935" s="44"/>
      <c r="D935" s="8"/>
      <c r="E935" s="8"/>
      <c r="F935" s="8"/>
      <c r="G935" s="8"/>
      <c r="H935" s="30"/>
    </row>
    <row r="936">
      <c r="A936" s="44"/>
      <c r="B936" s="44"/>
      <c r="C936" s="44"/>
      <c r="D936" s="8"/>
      <c r="E936" s="8"/>
      <c r="F936" s="8"/>
      <c r="G936" s="8"/>
      <c r="H936" s="30"/>
    </row>
    <row r="937">
      <c r="A937" s="44"/>
      <c r="B937" s="44"/>
      <c r="C937" s="44"/>
      <c r="D937" s="8"/>
      <c r="E937" s="8"/>
      <c r="F937" s="8"/>
      <c r="G937" s="8"/>
      <c r="H937" s="30"/>
    </row>
    <row r="938">
      <c r="A938" s="44"/>
      <c r="B938" s="44"/>
      <c r="C938" s="44"/>
      <c r="D938" s="8"/>
      <c r="E938" s="8"/>
      <c r="F938" s="8"/>
      <c r="G938" s="8"/>
      <c r="H938" s="30"/>
    </row>
    <row r="939">
      <c r="A939" s="44"/>
      <c r="B939" s="44"/>
      <c r="C939" s="44"/>
      <c r="D939" s="8"/>
      <c r="E939" s="8"/>
      <c r="F939" s="8"/>
      <c r="G939" s="8"/>
      <c r="H939" s="30"/>
    </row>
    <row r="940">
      <c r="A940" s="44"/>
      <c r="B940" s="44"/>
      <c r="C940" s="44"/>
      <c r="D940" s="8"/>
      <c r="E940" s="8"/>
      <c r="F940" s="8"/>
      <c r="G940" s="8"/>
      <c r="H940" s="30"/>
    </row>
    <row r="941">
      <c r="A941" s="44"/>
      <c r="B941" s="44"/>
      <c r="C941" s="44"/>
      <c r="D941" s="8"/>
      <c r="E941" s="8"/>
      <c r="F941" s="8"/>
      <c r="G941" s="8"/>
      <c r="H941" s="30"/>
    </row>
    <row r="942">
      <c r="A942" s="44"/>
      <c r="B942" s="44"/>
      <c r="C942" s="44"/>
      <c r="D942" s="8"/>
      <c r="E942" s="8"/>
      <c r="F942" s="8"/>
      <c r="G942" s="8"/>
      <c r="H942" s="30"/>
    </row>
    <row r="943">
      <c r="A943" s="44"/>
      <c r="B943" s="44"/>
      <c r="C943" s="44"/>
      <c r="D943" s="8"/>
      <c r="E943" s="8"/>
      <c r="F943" s="8"/>
      <c r="G943" s="8"/>
      <c r="H943" s="30"/>
    </row>
    <row r="944">
      <c r="A944" s="44"/>
      <c r="B944" s="44"/>
      <c r="C944" s="44"/>
      <c r="D944" s="8"/>
      <c r="E944" s="8"/>
      <c r="F944" s="8"/>
      <c r="G944" s="8"/>
      <c r="H944" s="30"/>
    </row>
    <row r="945">
      <c r="A945" s="44"/>
      <c r="B945" s="44"/>
      <c r="C945" s="44"/>
      <c r="D945" s="8"/>
      <c r="E945" s="8"/>
      <c r="F945" s="8"/>
      <c r="G945" s="8"/>
      <c r="H945" s="30"/>
    </row>
    <row r="946">
      <c r="A946" s="44"/>
      <c r="B946" s="44"/>
      <c r="C946" s="44"/>
      <c r="D946" s="8"/>
      <c r="E946" s="8"/>
      <c r="F946" s="8"/>
      <c r="G946" s="8"/>
      <c r="H946" s="30"/>
    </row>
    <row r="947">
      <c r="A947" s="44"/>
      <c r="B947" s="44"/>
      <c r="C947" s="44"/>
      <c r="D947" s="8"/>
      <c r="E947" s="8"/>
      <c r="F947" s="8"/>
      <c r="G947" s="8"/>
      <c r="H947" s="30"/>
    </row>
    <row r="948">
      <c r="A948" s="44"/>
      <c r="B948" s="44"/>
      <c r="C948" s="44"/>
      <c r="D948" s="8"/>
      <c r="E948" s="8"/>
      <c r="F948" s="8"/>
      <c r="G948" s="8"/>
      <c r="H948" s="30"/>
    </row>
    <row r="949">
      <c r="A949" s="44"/>
      <c r="B949" s="44"/>
      <c r="C949" s="44"/>
      <c r="D949" s="8"/>
      <c r="E949" s="8"/>
      <c r="F949" s="8"/>
      <c r="G949" s="8"/>
      <c r="H949" s="30"/>
    </row>
    <row r="950">
      <c r="A950" s="44"/>
      <c r="B950" s="44"/>
      <c r="C950" s="44"/>
      <c r="D950" s="8"/>
      <c r="E950" s="8"/>
      <c r="F950" s="8"/>
      <c r="G950" s="8"/>
      <c r="H950" s="30"/>
    </row>
    <row r="951">
      <c r="A951" s="44"/>
      <c r="B951" s="44"/>
      <c r="C951" s="44"/>
      <c r="D951" s="8"/>
      <c r="E951" s="8"/>
      <c r="F951" s="8"/>
      <c r="G951" s="8"/>
      <c r="H951" s="30"/>
    </row>
    <row r="952">
      <c r="A952" s="44"/>
      <c r="B952" s="44"/>
      <c r="C952" s="44"/>
      <c r="D952" s="8"/>
      <c r="E952" s="8"/>
      <c r="F952" s="8"/>
      <c r="G952" s="8"/>
      <c r="H952" s="30"/>
    </row>
    <row r="953">
      <c r="A953" s="44"/>
      <c r="B953" s="44"/>
      <c r="C953" s="44"/>
      <c r="D953" s="8"/>
      <c r="E953" s="8"/>
      <c r="F953" s="8"/>
      <c r="G953" s="8"/>
      <c r="H953" s="30"/>
    </row>
    <row r="954">
      <c r="A954" s="44"/>
      <c r="B954" s="44"/>
      <c r="C954" s="44"/>
      <c r="D954" s="8"/>
      <c r="E954" s="8"/>
      <c r="F954" s="8"/>
      <c r="G954" s="8"/>
      <c r="H954" s="30"/>
    </row>
    <row r="955">
      <c r="A955" s="44"/>
      <c r="B955" s="44"/>
      <c r="C955" s="44"/>
      <c r="D955" s="8"/>
      <c r="E955" s="8"/>
      <c r="F955" s="8"/>
      <c r="G955" s="8"/>
      <c r="H955" s="30"/>
    </row>
    <row r="956">
      <c r="A956" s="44"/>
      <c r="B956" s="44"/>
      <c r="C956" s="44"/>
      <c r="D956" s="8"/>
      <c r="E956" s="8"/>
      <c r="F956" s="8"/>
      <c r="G956" s="8"/>
      <c r="H956" s="30"/>
    </row>
    <row r="957">
      <c r="A957" s="44"/>
      <c r="B957" s="44"/>
      <c r="C957" s="44"/>
      <c r="D957" s="8"/>
      <c r="E957" s="8"/>
      <c r="F957" s="8"/>
      <c r="G957" s="8"/>
      <c r="H957" s="30"/>
    </row>
    <row r="958">
      <c r="A958" s="44"/>
      <c r="B958" s="44"/>
      <c r="C958" s="44"/>
      <c r="D958" s="8"/>
      <c r="E958" s="8"/>
      <c r="F958" s="8"/>
      <c r="G958" s="8"/>
      <c r="H958" s="30"/>
    </row>
    <row r="959">
      <c r="A959" s="44"/>
      <c r="B959" s="44"/>
      <c r="C959" s="44"/>
      <c r="D959" s="8"/>
      <c r="E959" s="8"/>
      <c r="F959" s="8"/>
      <c r="G959" s="8"/>
      <c r="H959" s="30"/>
    </row>
    <row r="960">
      <c r="A960" s="44"/>
      <c r="B960" s="44"/>
      <c r="C960" s="44"/>
      <c r="D960" s="8"/>
      <c r="E960" s="8"/>
      <c r="F960" s="8"/>
      <c r="G960" s="8"/>
      <c r="H960" s="30"/>
    </row>
    <row r="961">
      <c r="A961" s="44"/>
      <c r="B961" s="44"/>
      <c r="C961" s="44"/>
      <c r="D961" s="8"/>
      <c r="E961" s="8"/>
      <c r="F961" s="8"/>
      <c r="G961" s="8"/>
      <c r="H961" s="30"/>
    </row>
    <row r="962">
      <c r="A962" s="44"/>
      <c r="B962" s="44"/>
      <c r="C962" s="44"/>
      <c r="D962" s="8"/>
      <c r="E962" s="8"/>
      <c r="F962" s="8"/>
      <c r="G962" s="8"/>
      <c r="H962" s="30"/>
    </row>
    <row r="963">
      <c r="A963" s="44"/>
      <c r="B963" s="44"/>
      <c r="C963" s="44"/>
      <c r="D963" s="8"/>
      <c r="E963" s="8"/>
      <c r="F963" s="8"/>
      <c r="G963" s="8"/>
      <c r="H963" s="30"/>
    </row>
    <row r="964">
      <c r="A964" s="44"/>
      <c r="B964" s="44"/>
      <c r="C964" s="44"/>
      <c r="D964" s="8"/>
      <c r="E964" s="8"/>
      <c r="F964" s="8"/>
      <c r="G964" s="8"/>
      <c r="H964" s="30"/>
    </row>
    <row r="965">
      <c r="A965" s="44"/>
      <c r="B965" s="44"/>
      <c r="C965" s="44"/>
      <c r="D965" s="8"/>
      <c r="E965" s="8"/>
      <c r="F965" s="8"/>
      <c r="G965" s="8"/>
      <c r="H965" s="30"/>
    </row>
    <row r="966">
      <c r="A966" s="44"/>
      <c r="B966" s="44"/>
      <c r="C966" s="44"/>
      <c r="D966" s="8"/>
      <c r="E966" s="8"/>
      <c r="F966" s="8"/>
      <c r="G966" s="8"/>
      <c r="H966" s="30"/>
    </row>
    <row r="967">
      <c r="A967" s="44"/>
      <c r="B967" s="44"/>
      <c r="C967" s="44"/>
      <c r="D967" s="8"/>
      <c r="E967" s="8"/>
      <c r="F967" s="8"/>
      <c r="G967" s="8"/>
      <c r="H967" s="30"/>
    </row>
    <row r="968">
      <c r="A968" s="44"/>
      <c r="B968" s="44"/>
      <c r="C968" s="44"/>
      <c r="D968" s="8"/>
      <c r="E968" s="8"/>
      <c r="F968" s="8"/>
      <c r="G968" s="8"/>
      <c r="H968" s="30"/>
    </row>
    <row r="969">
      <c r="A969" s="44"/>
      <c r="B969" s="44"/>
      <c r="C969" s="44"/>
      <c r="D969" s="8"/>
      <c r="E969" s="8"/>
      <c r="F969" s="8"/>
      <c r="G969" s="8"/>
      <c r="H969" s="30"/>
    </row>
    <row r="970">
      <c r="A970" s="44"/>
      <c r="B970" s="44"/>
      <c r="C970" s="44"/>
      <c r="D970" s="8"/>
      <c r="E970" s="8"/>
      <c r="F970" s="8"/>
      <c r="G970" s="8"/>
      <c r="H970" s="30"/>
    </row>
    <row r="971">
      <c r="A971" s="44"/>
      <c r="B971" s="44"/>
      <c r="C971" s="44"/>
      <c r="D971" s="8"/>
      <c r="E971" s="8"/>
      <c r="F971" s="8"/>
      <c r="G971" s="8"/>
      <c r="H971" s="30"/>
    </row>
    <row r="972">
      <c r="A972" s="44"/>
      <c r="B972" s="44"/>
      <c r="C972" s="44"/>
      <c r="D972" s="8"/>
      <c r="E972" s="8"/>
      <c r="F972" s="8"/>
      <c r="G972" s="8"/>
      <c r="H972" s="30"/>
    </row>
    <row r="973">
      <c r="A973" s="44"/>
      <c r="B973" s="44"/>
      <c r="C973" s="44"/>
      <c r="D973" s="8"/>
      <c r="E973" s="8"/>
      <c r="F973" s="8"/>
      <c r="G973" s="8"/>
      <c r="H973" s="30"/>
    </row>
    <row r="974">
      <c r="A974" s="44"/>
      <c r="B974" s="44"/>
      <c r="C974" s="44"/>
      <c r="D974" s="8"/>
      <c r="E974" s="8"/>
      <c r="F974" s="8"/>
      <c r="G974" s="8"/>
      <c r="H974" s="30"/>
    </row>
    <row r="975">
      <c r="A975" s="44"/>
      <c r="B975" s="44"/>
      <c r="C975" s="44"/>
      <c r="D975" s="8"/>
      <c r="E975" s="8"/>
      <c r="F975" s="8"/>
      <c r="G975" s="8"/>
      <c r="H975" s="30"/>
    </row>
    <row r="976">
      <c r="A976" s="44"/>
      <c r="B976" s="44"/>
      <c r="C976" s="44"/>
      <c r="D976" s="8"/>
      <c r="E976" s="8"/>
      <c r="F976" s="8"/>
      <c r="G976" s="8"/>
      <c r="H976" s="30"/>
    </row>
    <row r="977">
      <c r="A977" s="44"/>
      <c r="B977" s="44"/>
      <c r="C977" s="44"/>
      <c r="D977" s="8"/>
      <c r="E977" s="8"/>
      <c r="F977" s="8"/>
      <c r="G977" s="8"/>
      <c r="H977" s="30"/>
    </row>
    <row r="978">
      <c r="A978" s="44"/>
      <c r="B978" s="44"/>
      <c r="C978" s="44"/>
      <c r="D978" s="8"/>
      <c r="E978" s="8"/>
      <c r="F978" s="8"/>
      <c r="G978" s="8"/>
      <c r="H978" s="30"/>
    </row>
    <row r="979">
      <c r="A979" s="44"/>
      <c r="B979" s="44"/>
      <c r="C979" s="44"/>
      <c r="D979" s="8"/>
      <c r="E979" s="8"/>
      <c r="F979" s="8"/>
      <c r="G979" s="8"/>
      <c r="H979" s="30"/>
    </row>
    <row r="980">
      <c r="A980" s="44"/>
      <c r="B980" s="44"/>
      <c r="C980" s="44"/>
      <c r="D980" s="8"/>
      <c r="E980" s="8"/>
      <c r="F980" s="8"/>
      <c r="G980" s="8"/>
      <c r="H980" s="30"/>
    </row>
    <row r="981">
      <c r="A981" s="44"/>
      <c r="B981" s="44"/>
      <c r="C981" s="44"/>
      <c r="D981" s="8"/>
      <c r="E981" s="8"/>
      <c r="F981" s="8"/>
      <c r="G981" s="8"/>
      <c r="H981" s="30"/>
    </row>
    <row r="982">
      <c r="A982" s="44"/>
      <c r="B982" s="44"/>
      <c r="C982" s="44"/>
      <c r="D982" s="8"/>
      <c r="E982" s="8"/>
      <c r="F982" s="8"/>
      <c r="G982" s="8"/>
      <c r="H982" s="30"/>
    </row>
    <row r="983">
      <c r="A983" s="44"/>
      <c r="B983" s="44"/>
      <c r="C983" s="44"/>
      <c r="D983" s="8"/>
      <c r="E983" s="8"/>
      <c r="F983" s="8"/>
      <c r="G983" s="8"/>
      <c r="H983" s="30"/>
    </row>
    <row r="984">
      <c r="A984" s="44"/>
      <c r="B984" s="44"/>
      <c r="C984" s="44"/>
      <c r="D984" s="8"/>
      <c r="E984" s="8"/>
      <c r="F984" s="8"/>
      <c r="G984" s="8"/>
      <c r="H984" s="30"/>
    </row>
    <row r="985">
      <c r="A985" s="44"/>
      <c r="B985" s="44"/>
      <c r="C985" s="44"/>
      <c r="D985" s="8"/>
      <c r="E985" s="8"/>
      <c r="F985" s="8"/>
      <c r="G985" s="8"/>
      <c r="H985" s="30"/>
    </row>
    <row r="986">
      <c r="A986" s="44"/>
      <c r="B986" s="44"/>
      <c r="C986" s="44"/>
      <c r="D986" s="8"/>
      <c r="E986" s="8"/>
      <c r="F986" s="8"/>
      <c r="G986" s="8"/>
      <c r="H986" s="30"/>
    </row>
    <row r="987">
      <c r="A987" s="44"/>
      <c r="B987" s="44"/>
      <c r="C987" s="44"/>
      <c r="D987" s="8"/>
      <c r="E987" s="8"/>
      <c r="F987" s="8"/>
      <c r="G987" s="8"/>
      <c r="H987" s="30"/>
    </row>
    <row r="988">
      <c r="A988" s="44"/>
      <c r="B988" s="44"/>
      <c r="C988" s="44"/>
      <c r="D988" s="8"/>
      <c r="E988" s="8"/>
      <c r="F988" s="8"/>
      <c r="G988" s="8"/>
      <c r="H988" s="30"/>
    </row>
    <row r="989">
      <c r="A989" s="44"/>
      <c r="B989" s="44"/>
      <c r="C989" s="44"/>
      <c r="D989" s="8"/>
      <c r="E989" s="8"/>
      <c r="F989" s="8"/>
      <c r="G989" s="8"/>
      <c r="H989" s="30"/>
    </row>
    <row r="990">
      <c r="A990" s="44"/>
      <c r="B990" s="44"/>
      <c r="C990" s="44"/>
      <c r="D990" s="8"/>
      <c r="E990" s="8"/>
      <c r="F990" s="8"/>
      <c r="G990" s="8"/>
      <c r="H990" s="30"/>
    </row>
    <row r="991">
      <c r="A991" s="44"/>
      <c r="B991" s="44"/>
      <c r="C991" s="44"/>
      <c r="D991" s="8"/>
      <c r="E991" s="8"/>
      <c r="F991" s="8"/>
      <c r="G991" s="8"/>
      <c r="H991" s="30"/>
    </row>
    <row r="992">
      <c r="A992" s="44"/>
      <c r="B992" s="44"/>
      <c r="C992" s="44"/>
      <c r="D992" s="8"/>
      <c r="E992" s="8"/>
      <c r="F992" s="8"/>
      <c r="G992" s="8"/>
      <c r="H992" s="30"/>
    </row>
    <row r="993">
      <c r="A993" s="44"/>
      <c r="B993" s="44"/>
      <c r="C993" s="44"/>
      <c r="D993" s="8"/>
      <c r="E993" s="8"/>
      <c r="F993" s="8"/>
      <c r="G993" s="8"/>
      <c r="H993" s="30"/>
    </row>
    <row r="994">
      <c r="A994" s="44"/>
      <c r="B994" s="44"/>
      <c r="C994" s="44"/>
      <c r="D994" s="8"/>
      <c r="E994" s="8"/>
      <c r="F994" s="8"/>
      <c r="G994" s="8"/>
      <c r="H994" s="30"/>
    </row>
    <row r="995">
      <c r="A995" s="44"/>
      <c r="B995" s="44"/>
      <c r="C995" s="44"/>
      <c r="D995" s="8"/>
      <c r="E995" s="8"/>
      <c r="F995" s="8"/>
      <c r="G995" s="8"/>
      <c r="H995" s="30"/>
    </row>
    <row r="996">
      <c r="A996" s="44"/>
      <c r="B996" s="44"/>
      <c r="C996" s="44"/>
      <c r="D996" s="8"/>
      <c r="E996" s="8"/>
      <c r="F996" s="8"/>
      <c r="G996" s="8"/>
      <c r="H996" s="30"/>
    </row>
    <row r="997">
      <c r="A997" s="44"/>
      <c r="B997" s="44"/>
      <c r="C997" s="44"/>
      <c r="D997" s="8"/>
      <c r="E997" s="8"/>
      <c r="F997" s="8"/>
      <c r="G997" s="8"/>
      <c r="H997" s="30"/>
    </row>
    <row r="998">
      <c r="A998" s="44"/>
      <c r="B998" s="44"/>
      <c r="C998" s="44"/>
      <c r="D998" s="8"/>
      <c r="E998" s="8"/>
      <c r="F998" s="8"/>
      <c r="G998" s="8"/>
      <c r="H998" s="30"/>
    </row>
    <row r="999">
      <c r="A999" s="44"/>
      <c r="B999" s="44"/>
      <c r="C999" s="44"/>
      <c r="D999" s="8"/>
      <c r="E999" s="8"/>
      <c r="F999" s="8"/>
      <c r="G999" s="8"/>
      <c r="H999" s="30"/>
    </row>
    <row r="1000">
      <c r="A1000" s="44"/>
      <c r="B1000" s="44"/>
      <c r="C1000" s="44"/>
      <c r="D1000" s="8"/>
      <c r="E1000" s="8"/>
      <c r="F1000" s="8"/>
      <c r="G1000" s="8"/>
      <c r="H1000" s="30"/>
    </row>
    <row r="1001">
      <c r="A1001" s="44"/>
      <c r="B1001" s="44"/>
      <c r="C1001" s="44"/>
      <c r="D1001" s="8"/>
      <c r="E1001" s="8"/>
      <c r="F1001" s="8"/>
      <c r="G1001" s="8"/>
      <c r="H1001" s="30"/>
    </row>
    <row r="1002">
      <c r="A1002" s="44"/>
      <c r="B1002" s="44"/>
      <c r="C1002" s="44"/>
      <c r="D1002" s="8"/>
      <c r="E1002" s="8"/>
      <c r="F1002" s="8"/>
      <c r="G1002" s="8"/>
      <c r="H1002" s="30"/>
    </row>
    <row r="1003">
      <c r="A1003" s="44"/>
      <c r="B1003" s="44"/>
      <c r="C1003" s="44"/>
      <c r="D1003" s="8"/>
      <c r="E1003" s="8"/>
      <c r="F1003" s="8"/>
      <c r="G1003" s="8"/>
      <c r="H1003" s="30"/>
    </row>
    <row r="1004">
      <c r="A1004" s="44"/>
      <c r="B1004" s="44"/>
      <c r="C1004" s="44"/>
      <c r="D1004" s="8"/>
      <c r="E1004" s="8"/>
      <c r="F1004" s="8"/>
      <c r="G1004" s="8"/>
      <c r="H1004" s="30"/>
    </row>
    <row r="1005">
      <c r="A1005" s="44"/>
      <c r="B1005" s="44"/>
      <c r="C1005" s="44"/>
      <c r="D1005" s="8"/>
      <c r="E1005" s="8"/>
      <c r="F1005" s="8"/>
      <c r="G1005" s="8"/>
      <c r="H1005" s="30"/>
    </row>
    <row r="1006">
      <c r="A1006" s="44"/>
      <c r="B1006" s="44"/>
      <c r="C1006" s="44"/>
      <c r="D1006" s="8"/>
      <c r="E1006" s="8"/>
      <c r="F1006" s="8"/>
      <c r="G1006" s="8"/>
      <c r="H1006" s="30"/>
    </row>
    <row r="1007">
      <c r="A1007" s="44"/>
      <c r="B1007" s="44"/>
      <c r="C1007" s="44"/>
      <c r="D1007" s="8"/>
      <c r="E1007" s="8"/>
      <c r="F1007" s="8"/>
      <c r="G1007" s="8"/>
      <c r="H1007" s="30"/>
    </row>
    <row r="1008">
      <c r="A1008" s="44"/>
      <c r="B1008" s="44"/>
      <c r="C1008" s="44"/>
      <c r="D1008" s="8"/>
      <c r="E1008" s="8"/>
      <c r="F1008" s="8"/>
      <c r="G1008" s="8"/>
      <c r="H1008" s="30"/>
    </row>
    <row r="1009">
      <c r="A1009" s="44"/>
      <c r="B1009" s="44"/>
      <c r="C1009" s="44"/>
      <c r="D1009" s="8"/>
      <c r="E1009" s="8"/>
      <c r="F1009" s="8"/>
      <c r="G1009" s="8"/>
      <c r="H1009" s="30"/>
    </row>
    <row r="1010">
      <c r="A1010" s="44"/>
      <c r="B1010" s="44"/>
      <c r="C1010" s="44"/>
      <c r="D1010" s="8"/>
      <c r="E1010" s="8"/>
      <c r="F1010" s="8"/>
      <c r="G1010" s="8"/>
      <c r="H1010" s="30"/>
    </row>
    <row r="1011">
      <c r="A1011" s="44"/>
      <c r="B1011" s="44"/>
      <c r="C1011" s="44"/>
      <c r="D1011" s="8"/>
      <c r="E1011" s="8"/>
      <c r="F1011" s="8"/>
      <c r="G1011" s="8"/>
      <c r="H1011" s="30"/>
    </row>
    <row r="1012">
      <c r="A1012" s="44"/>
      <c r="B1012" s="44"/>
      <c r="C1012" s="44"/>
      <c r="D1012" s="8"/>
      <c r="E1012" s="8"/>
      <c r="F1012" s="8"/>
      <c r="G1012" s="8"/>
      <c r="H1012" s="30"/>
    </row>
    <row r="1013">
      <c r="A1013" s="44"/>
      <c r="B1013" s="44"/>
      <c r="C1013" s="44"/>
      <c r="D1013" s="8"/>
      <c r="E1013" s="8"/>
      <c r="F1013" s="8"/>
      <c r="G1013" s="8"/>
      <c r="H1013" s="30"/>
    </row>
  </sheetData>
  <mergeCells count="10">
    <mergeCell ref="A7:C9"/>
    <mergeCell ref="A10:C27"/>
    <mergeCell ref="A28:C28"/>
    <mergeCell ref="B1:C1"/>
    <mergeCell ref="D1:E1"/>
    <mergeCell ref="B2:C2"/>
    <mergeCell ref="D2:E2"/>
    <mergeCell ref="B3:C3"/>
    <mergeCell ref="D3:E3"/>
    <mergeCell ref="A4:H5"/>
  </mergeCells>
  <conditionalFormatting sqref="D8:G1013">
    <cfRule type="expression" dxfId="2" priority="1">
      <formula>IF($D8="POI",TRUE,FALSE)</formula>
    </cfRule>
  </conditionalFormatting>
  <conditionalFormatting sqref="D8:G1013">
    <cfRule type="expression" dxfId="3" priority="2">
      <formula>IF($D8="timberwolf",TRUE,FALSE)</formula>
    </cfRule>
  </conditionalFormatting>
  <conditionalFormatting sqref="D8:G1013">
    <cfRule type="expression" dxfId="4" priority="3">
      <formula>IF($D8="silver",TRUE,FALSE)</formula>
    </cfRule>
  </conditionalFormatting>
  <conditionalFormatting sqref="D8:G1013">
    <cfRule type="expression" dxfId="5" priority="4">
      <formula>IF($D8="gray",TRUE,FALSE)</formula>
    </cfRule>
  </conditionalFormatting>
  <conditionalFormatting sqref="D8:G1013">
    <cfRule type="expression" dxfId="6" priority="5">
      <formula>IF($D8="black",TRUE,FALSE)</formula>
    </cfRule>
  </conditionalFormatting>
  <conditionalFormatting sqref="D8:G1013">
    <cfRule type="expression" dxfId="7" priority="6">
      <formula>IF($D8="orchid",TRUE,FALSE)</formula>
    </cfRule>
  </conditionalFormatting>
  <conditionalFormatting sqref="D8:G1013">
    <cfRule type="expression" dxfId="8" priority="7">
      <formula>IF($D8="wisteria",TRUE,FALSE)</formula>
    </cfRule>
  </conditionalFormatting>
  <conditionalFormatting sqref="D8:G1013">
    <cfRule type="expression" dxfId="9" priority="8">
      <formula>IF($D8="purple mountains majesty",TRUE,FALSE)</formula>
    </cfRule>
  </conditionalFormatting>
  <conditionalFormatting sqref="D8:G1013">
    <cfRule type="expression" dxfId="10" priority="9">
      <formula>IF($D8="violet",TRUE,FALSE)</formula>
    </cfRule>
  </conditionalFormatting>
  <conditionalFormatting sqref="D8:G1013">
    <cfRule type="expression" dxfId="11" priority="10">
      <formula>IF($D8="plum",TRUE,FALSE)</formula>
    </cfRule>
  </conditionalFormatting>
  <conditionalFormatting sqref="D8:G1013">
    <cfRule type="expression" dxfId="12" priority="11">
      <formula>IF($D8="violet",TRUE,FALSE)</formula>
    </cfRule>
  </conditionalFormatting>
  <conditionalFormatting sqref="D8:G1013">
    <cfRule type="expression" dxfId="13" priority="12">
      <formula>IF($D8="indigo",TRUE,FALSE)</formula>
    </cfRule>
  </conditionalFormatting>
  <conditionalFormatting sqref="D8:G1013">
    <cfRule type="expression" dxfId="14" priority="13">
      <formula>IF($D8="blue",TRUE,FALSE)</formula>
    </cfRule>
  </conditionalFormatting>
  <conditionalFormatting sqref="D8:G1013">
    <cfRule type="expression" dxfId="15" priority="14">
      <formula>IF($D8="cadet blue",TRUE,FALSE)</formula>
    </cfRule>
  </conditionalFormatting>
  <conditionalFormatting sqref="D8:G1013">
    <cfRule type="expression" dxfId="16" priority="15">
      <formula>IF($D8="periwinkle",TRUE,FALSE)</formula>
    </cfRule>
  </conditionalFormatting>
  <conditionalFormatting sqref="D8:G1013">
    <cfRule type="expression" dxfId="17" priority="16">
      <formula>IF($D8="cornflower",TRUE,FALSE)</formula>
    </cfRule>
  </conditionalFormatting>
  <conditionalFormatting sqref="D8:G1013">
    <cfRule type="expression" dxfId="18" priority="17">
      <formula>IF($D8="blue green",TRUE,FALSE)</formula>
    </cfRule>
  </conditionalFormatting>
  <conditionalFormatting sqref="D8:G1013">
    <cfRule type="expression" dxfId="19" priority="18">
      <formula>IF($D8="pacific blue",TRUE,FALSE)</formula>
    </cfRule>
  </conditionalFormatting>
  <conditionalFormatting sqref="D8:G1013">
    <cfRule type="expression" dxfId="20" priority="19">
      <formula>IF($D8="cerulean",TRUE,FALSE)</formula>
    </cfRule>
  </conditionalFormatting>
  <conditionalFormatting sqref="D8:G1013">
    <cfRule type="expression" dxfId="21" priority="20">
      <formula>IF($D8="robin egg blue",TRUE,FALSE)</formula>
    </cfRule>
  </conditionalFormatting>
  <conditionalFormatting sqref="D8:G1013">
    <cfRule type="expression" dxfId="22" priority="21">
      <formula>IF($D8="turquoise blue",TRUE,FALSE)</formula>
    </cfRule>
  </conditionalFormatting>
  <conditionalFormatting sqref="D8:G1013">
    <cfRule type="expression" dxfId="23" priority="22">
      <formula>IF($D8="sea green",TRUE,FALSE)</formula>
    </cfRule>
  </conditionalFormatting>
  <conditionalFormatting sqref="D8:G1013">
    <cfRule type="expression" dxfId="24" priority="23">
      <formula>IF($D8="granny smith apple",TRUE,FALSE)</formula>
    </cfRule>
  </conditionalFormatting>
  <conditionalFormatting sqref="D8:G1013">
    <cfRule type="expression" dxfId="25" priority="24">
      <formula>IF($D8="green",TRUE,FALSE)</formula>
    </cfRule>
  </conditionalFormatting>
  <conditionalFormatting sqref="D8:G1013">
    <cfRule type="expression" dxfId="25" priority="25">
      <formula>IF($D8="green",TRUE,FALSE)</formula>
    </cfRule>
  </conditionalFormatting>
  <conditionalFormatting sqref="D8:G1013">
    <cfRule type="expression" dxfId="26" priority="26">
      <formula>IF($D8="forest green",TRUE,FALSE)</formula>
    </cfRule>
  </conditionalFormatting>
  <conditionalFormatting sqref="D8:G1013">
    <cfRule type="expression" dxfId="27" priority="27">
      <formula>IF($D8="asparagus",TRUE,FALSE)</formula>
    </cfRule>
  </conditionalFormatting>
  <conditionalFormatting sqref="D8:G1013">
    <cfRule type="expression" dxfId="28" priority="28">
      <formula>IF($D8="olive green",TRUE,FALSE)</formula>
    </cfRule>
  </conditionalFormatting>
  <conditionalFormatting sqref="D8:G1013">
    <cfRule type="expression" dxfId="29" priority="29">
      <formula>IF($D8="yellow green",TRUE,FALSE)</formula>
    </cfRule>
  </conditionalFormatting>
  <conditionalFormatting sqref="D8:G1013">
    <cfRule type="expression" dxfId="30" priority="30">
      <formula>IF($D8="green yellow",TRUE,FALSE)</formula>
    </cfRule>
  </conditionalFormatting>
  <conditionalFormatting sqref="D8:G1013">
    <cfRule type="expression" dxfId="31" priority="31">
      <formula>IF($D8="spring green",TRUE,FALSE)</formula>
    </cfRule>
  </conditionalFormatting>
  <conditionalFormatting sqref="D8:G1013">
    <cfRule type="expression" dxfId="32" priority="32">
      <formula>IF($D8="gold",TRUE,FALSE)</formula>
    </cfRule>
  </conditionalFormatting>
  <conditionalFormatting sqref="D8:G1013">
    <cfRule type="expression" dxfId="33" priority="33">
      <formula>IF($D8="yellow",TRUE,FALSE)</formula>
    </cfRule>
  </conditionalFormatting>
  <conditionalFormatting sqref="D8:G1013">
    <cfRule type="expression" dxfId="34" priority="34">
      <formula>IF($D8="goldenrod",TRUE,FALSE)</formula>
    </cfRule>
  </conditionalFormatting>
  <conditionalFormatting sqref="D8:G1013">
    <cfRule type="expression" dxfId="35" priority="35">
      <formula>IF($D8="dandelion",TRUE,FALSE)</formula>
    </cfRule>
  </conditionalFormatting>
  <conditionalFormatting sqref="D8:G1013">
    <cfRule type="expression" dxfId="36" priority="36">
      <formula>IF($D8="burnt orange",TRUE,FALSE)</formula>
    </cfRule>
  </conditionalFormatting>
  <conditionalFormatting sqref="D8:G1013">
    <cfRule type="expression" dxfId="37" priority="37">
      <formula>IF($D8="orange",TRUE,FALSE)</formula>
    </cfRule>
  </conditionalFormatting>
  <conditionalFormatting sqref="D8:G1013">
    <cfRule type="expression" dxfId="38" priority="38">
      <formula>IF($D8="melon",TRUE,FALSE)</formula>
    </cfRule>
  </conditionalFormatting>
  <conditionalFormatting sqref="D8:G1013">
    <cfRule type="expression" dxfId="39" priority="39">
      <formula>IF($D8="pink",TRUE,FALSE)</formula>
    </cfRule>
  </conditionalFormatting>
  <conditionalFormatting sqref="D8:G1013">
    <cfRule type="expression" dxfId="40" priority="40">
      <formula>IF($D8="carnation pink",TRUE,FALSE)</formula>
    </cfRule>
  </conditionalFormatting>
  <conditionalFormatting sqref="D8:G1013">
    <cfRule type="expression" dxfId="41" priority="41">
      <formula>IF($D8="mauvelous",TRUE,FALSE)</formula>
    </cfRule>
  </conditionalFormatting>
  <conditionalFormatting sqref="D8:G1013">
    <cfRule type="expression" dxfId="42" priority="42">
      <formula>IF($D8="salmon",TRUE,FALSE)</formula>
    </cfRule>
  </conditionalFormatting>
  <conditionalFormatting sqref="D8:G1013">
    <cfRule type="expression" dxfId="43" priority="43">
      <formula>IF($D8="tickle me pink",TRUE,FALSE)</formula>
    </cfRule>
  </conditionalFormatting>
  <conditionalFormatting sqref="D8:G1013">
    <cfRule type="expression" dxfId="43" priority="44">
      <formula>IF($D8="tickle me pink",TRUE,FALSE)</formula>
    </cfRule>
  </conditionalFormatting>
  <conditionalFormatting sqref="D8:G1013">
    <cfRule type="expression" dxfId="44" priority="45">
      <formula>IF($D8="magenta",TRUE,FALSE)</formula>
    </cfRule>
  </conditionalFormatting>
  <conditionalFormatting sqref="D8:G1013">
    <cfRule type="expression" dxfId="45" priority="46">
      <formula>IF($D8="wild strawberry",TRUE,FALSE)</formula>
    </cfRule>
  </conditionalFormatting>
  <conditionalFormatting sqref="D8:G1013">
    <cfRule type="expression" dxfId="46" priority="47">
      <formula>IF($D8="violet red",TRUE,FALSE)</formula>
    </cfRule>
  </conditionalFormatting>
  <conditionalFormatting sqref="D8:G1013">
    <cfRule type="expression" dxfId="47" priority="48">
      <formula>IF($D8="red violet",TRUE,FALSE)</formula>
    </cfRule>
  </conditionalFormatting>
  <conditionalFormatting sqref="D8:G1013">
    <cfRule type="expression" dxfId="48" priority="49">
      <formula>IF($D8="apricot",TRUE,FALSE)</formula>
    </cfRule>
  </conditionalFormatting>
  <conditionalFormatting sqref="D8:G1013">
    <cfRule type="expression" dxfId="49" priority="50">
      <formula>IF($D8="peach",TRUE,FALSE)</formula>
    </cfRule>
  </conditionalFormatting>
  <conditionalFormatting sqref="D8:G1013">
    <cfRule type="expression" dxfId="50" priority="51">
      <formula>IF($D8="macaroni and cheese",TRUE,FALSE)</formula>
    </cfRule>
  </conditionalFormatting>
  <conditionalFormatting sqref="D8:G1013">
    <cfRule type="expression" dxfId="51" priority="52">
      <formula>IF($D8="tan",TRUE,FALSE)</formula>
    </cfRule>
  </conditionalFormatting>
  <conditionalFormatting sqref="D8:G1013">
    <cfRule type="expression" dxfId="52" priority="53">
      <formula>IF($D8="burnt sienna",TRUE,FALSE)</formula>
    </cfRule>
  </conditionalFormatting>
  <conditionalFormatting sqref="D8:G1013">
    <cfRule type="expression" dxfId="53" priority="54">
      <formula>IF($D8="bittersweet",TRUE,FALSE)</formula>
    </cfRule>
  </conditionalFormatting>
  <conditionalFormatting sqref="D8:G1013">
    <cfRule type="expression" dxfId="54" priority="55">
      <formula>IF($D8="red orange",TRUE,FALSE)</formula>
    </cfRule>
  </conditionalFormatting>
  <conditionalFormatting sqref="D8:G1013">
    <cfRule type="expression" dxfId="55" priority="56">
      <formula>IF($D8="scarlet",TRUE,FALSE)</formula>
    </cfRule>
  </conditionalFormatting>
  <conditionalFormatting sqref="D8:G1013">
    <cfRule type="expression" dxfId="56" priority="57">
      <formula>IF($D8="red",TRUE,FALSE)</formula>
    </cfRule>
  </conditionalFormatting>
  <conditionalFormatting sqref="D8:G1013">
    <cfRule type="expression" dxfId="57" priority="58">
      <formula>IF($D8="brick red",TRUE,FALSE)</formula>
    </cfRule>
  </conditionalFormatting>
  <conditionalFormatting sqref="D8:G1013">
    <cfRule type="expression" dxfId="58" priority="59">
      <formula>IF($D8="mahogany",TRUE,FALSE)</formula>
    </cfRule>
  </conditionalFormatting>
  <conditionalFormatting sqref="D8:G1013">
    <cfRule type="expression" dxfId="59" priority="60">
      <formula>IF($D8="chestnut",TRUE,FALSE)</formula>
    </cfRule>
  </conditionalFormatting>
  <conditionalFormatting sqref="D8:G1013">
    <cfRule type="expression" dxfId="60" priority="61">
      <formula>IF($D8="tumbleweed",TRUE,FALSE)</formula>
    </cfRule>
  </conditionalFormatting>
  <conditionalFormatting sqref="D8:G1013">
    <cfRule type="expression" dxfId="61" priority="62">
      <formula>IF($D8="raw sienna",TRUE,FALSE)</formula>
    </cfRule>
  </conditionalFormatting>
  <conditionalFormatting sqref="D8:G1013">
    <cfRule type="expression" dxfId="62" priority="63">
      <formula>IF($D8="brown",TRUE,FALSE)</formula>
    </cfRule>
  </conditionalFormatting>
  <conditionalFormatting sqref="D8:G1013">
    <cfRule type="expression" dxfId="63" priority="64">
      <formula>IF($D8="carrot",TRUE,FALSE)</formula>
    </cfRule>
  </conditionalFormatting>
  <conditionalFormatting sqref="D8:G1013">
    <cfRule type="expression" dxfId="64" priority="65">
      <formula>IF($D8="peas",TRUE,FALSE)</formula>
    </cfRule>
  </conditionalFormatting>
  <conditionalFormatting sqref="D8:G1013">
    <cfRule type="expression" dxfId="65" priority="66">
      <formula>IF($D8="championshiphorse",TRUE,FALSE)</formula>
    </cfRule>
  </conditionalFormatting>
  <conditionalFormatting sqref="D8:G1013">
    <cfRule type="expression" dxfId="66" priority="67">
      <formula>IF($D8="eggs",TRUE,FALSE)</formula>
    </cfRule>
  </conditionalFormatting>
  <conditionalFormatting sqref="D8:G1013">
    <cfRule type="expression" dxfId="67" priority="68">
      <formula>IF($D8="family",TRUE,FALSE)</formula>
    </cfRule>
  </conditionalFormatting>
  <conditionalFormatting sqref="D8:G1013">
    <cfRule type="expression" dxfId="68" priority="69">
      <formula>IF($D8="field",TRUE,FALSE)</formula>
    </cfRule>
  </conditionalFormatting>
  <conditionalFormatting sqref="H8:H1013">
    <cfRule type="cellIs" dxfId="71" priority="70" operator="greaterThanOrEqual">
      <formula>0.8</formula>
    </cfRule>
  </conditionalFormatting>
  <conditionalFormatting sqref="H8:H1013">
    <cfRule type="cellIs" dxfId="72" priority="71" operator="greaterThanOrEqual">
      <formula>0.6</formula>
    </cfRule>
  </conditionalFormatting>
  <conditionalFormatting sqref="H8:H1013">
    <cfRule type="cellIs" dxfId="73" priority="72" operator="greaterThanOrEqual">
      <formula>0.4</formula>
    </cfRule>
  </conditionalFormatting>
  <conditionalFormatting sqref="H8:H1013">
    <cfRule type="cellIs" dxfId="74" priority="73" operator="greaterThanOrEqual">
      <formula>0.2</formula>
    </cfRule>
  </conditionalFormatting>
  <conditionalFormatting sqref="H8:H1013">
    <cfRule type="cellIs" dxfId="75" priority="74" operator="lessThan">
      <formula>0.2</formula>
    </cfRule>
  </conditionalFormatting>
  <dataValidations>
    <dataValidation type="custom" allowBlank="1" showDropDown="1" showErrorMessage="1" sqref="D2:D3">
      <formula1>IFERROR(ISURL(D2), true)</formula1>
    </dataValidation>
    <dataValidation type="decimal" operator="greaterThanOrEqual" allowBlank="1" showDropDown="1" showInputMessage="1" showErrorMessage="1" prompt="Enter a number greater than or equal to 5" sqref="D1">
      <formula1>5.0</formula1>
    </dataValidation>
  </dataValidations>
  <hyperlinks>
    <hyperlink r:id="rId1" ref="D2"/>
    <hyperlink r:id="rId2" ref="D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hidden="1" min="2" max="2" width="4.25"/>
    <col customWidth="1" hidden="1" min="3" max="3" width="6.75"/>
    <col customWidth="1" hidden="1" min="4" max="5" width="19.38"/>
    <col customWidth="1" min="6" max="6" width="17.13"/>
    <col hidden="1" min="7" max="9" width="12.63"/>
    <col customWidth="1" min="10" max="10" width="18.88"/>
    <col customWidth="1" min="11" max="11" width="50.13"/>
    <col customWidth="1" min="12" max="12" width="6.88"/>
  </cols>
  <sheetData>
    <row r="1">
      <c r="A1" s="55" t="s">
        <v>699</v>
      </c>
      <c r="B1" s="55" t="s">
        <v>1</v>
      </c>
      <c r="C1" s="55" t="s">
        <v>2</v>
      </c>
      <c r="D1" s="56" t="s">
        <v>3</v>
      </c>
      <c r="E1" s="56" t="s">
        <v>4</v>
      </c>
      <c r="F1" s="55" t="s">
        <v>5</v>
      </c>
      <c r="G1" s="55" t="s">
        <v>700</v>
      </c>
      <c r="H1" s="55" t="s">
        <v>7</v>
      </c>
      <c r="I1" s="55" t="s">
        <v>8</v>
      </c>
      <c r="J1" s="57" t="s">
        <v>9</v>
      </c>
      <c r="K1" s="55" t="s">
        <v>11</v>
      </c>
      <c r="L1" s="55" t="s">
        <v>701</v>
      </c>
    </row>
    <row r="2">
      <c r="A2" s="58" t="str">
        <f>IFERROR(__xludf.DUMMYFUNCTION("IFERROR(QUERY(Paw!$A2:M538,""SELECT A,B,C,D,E,F,G,H,I WHERE H != '' AND K != ""&amp;TRUE&amp;"" ORDER BY I DESC, A"",FALSE),""No deploys to verify at this time"")"),"Paw #136")</f>
        <v>Paw #136</v>
      </c>
      <c r="B2" s="58">
        <f>IFERROR(__xludf.DUMMYFUNCTION("""COMPUTED_VALUE"""),9.0)</f>
        <v>9</v>
      </c>
      <c r="C2" s="58">
        <f>IFERROR(__xludf.DUMMYFUNCTION("""COMPUTED_VALUE"""),22.0)</f>
        <v>22</v>
      </c>
      <c r="D2" s="58">
        <f>IFERROR(__xludf.DUMMYFUNCTION("""COMPUTED_VALUE"""),49.1888454612638)</f>
        <v>49.18884546</v>
      </c>
      <c r="E2" s="58">
        <f>IFERROR(__xludf.DUMMYFUNCTION("""COMPUTED_VALUE"""),-2.0919358650318)</f>
        <v>-2.091935865</v>
      </c>
      <c r="F2" s="58" t="str">
        <f>IFERROR(__xludf.DUMMYFUNCTION("""COMPUTED_VALUE"""),"Virtual")</f>
        <v>Virtual</v>
      </c>
      <c r="G2" s="58" t="str">
        <f>IFERROR(__xludf.DUMMYFUNCTION("""COMPUTED_VALUE"""),"white")</f>
        <v>white</v>
      </c>
      <c r="H2" s="58" t="str">
        <f>IFERROR(__xludf.DUMMYFUNCTION("""COMPUTED_VALUE"""),"squirreledaway")</f>
        <v>squirreledaway</v>
      </c>
      <c r="I2" s="58">
        <f>IFERROR(__xludf.DUMMYFUNCTION("""COMPUTED_VALUE"""),22096.0)</f>
        <v>22096</v>
      </c>
      <c r="J2" s="59" t="str">
        <f t="shared" ref="J2:J26" si="1">IF(OR($A2="",$A2="No deploys to verify at this time"),"",HYPERLINK("https://www.munzee.com/m/"&amp;$H2&amp;"/"&amp;IF($I2="","undeploys/",$I2&amp;"/map/?lat="&amp;$D2&amp;"&amp;lon="&amp;$E2&amp;"&amp;type="&amp;$F2&amp;"&amp;name="&amp;SUBSTITUTE($A2,"#","%23")),$H2&amp;IF($I2="","","/"&amp;$I2)))</f>
        <v>squirreledaway/22096</v>
      </c>
      <c r="K2" s="58" t="str">
        <f>IF(OR($A2="",$A2="No deploys to verify at this time"),"",VLOOKUP($A2,Paw!$A$2:$L538,12))</f>
        <v/>
      </c>
      <c r="L2" s="58" t="str">
        <f>IF(OR($A2="",$A2="No deploys to verify at this time"),"",VLOOKUP($A2,Paw!$A$2:$M538,13))</f>
        <v/>
      </c>
    </row>
    <row r="3">
      <c r="A3" s="58" t="str">
        <f>IFERROR(__xludf.DUMMYFUNCTION("""COMPUTED_VALUE"""),"Paw #001")</f>
        <v>Paw #001</v>
      </c>
      <c r="B3" s="58">
        <f>IFERROR(__xludf.DUMMYFUNCTION("""COMPUTED_VALUE"""),1.0)</f>
        <v>1</v>
      </c>
      <c r="C3" s="58">
        <f>IFERROR(__xludf.DUMMYFUNCTION("""COMPUTED_VALUE"""),10.0)</f>
        <v>10</v>
      </c>
      <c r="D3" s="58">
        <f>IFERROR(__xludf.DUMMYFUNCTION("""COMPUTED_VALUE"""),49.1908781188046)</f>
        <v>49.19087812</v>
      </c>
      <c r="E3" s="58">
        <f>IFERROR(__xludf.DUMMYFUNCTION("""COMPUTED_VALUE"""),-2.0925577470116)</f>
        <v>-2.092557747</v>
      </c>
      <c r="F3" s="58" t="str">
        <f>IFERROR(__xludf.DUMMYFUNCTION("""COMPUTED_VALUE"""),"Virtual Scarlet")</f>
        <v>Virtual Scarlet</v>
      </c>
      <c r="G3" s="58" t="str">
        <f>IFERROR(__xludf.DUMMYFUNCTION("""COMPUTED_VALUE"""),"scarlet")</f>
        <v>scarlet</v>
      </c>
      <c r="H3" s="58" t="str">
        <f>IFERROR(__xludf.DUMMYFUNCTION("""COMPUTED_VALUE"""),"Taxi343")</f>
        <v>Taxi343</v>
      </c>
      <c r="I3" s="58">
        <f>IFERROR(__xludf.DUMMYFUNCTION("""COMPUTED_VALUE"""),17402.0)</f>
        <v>17402</v>
      </c>
      <c r="J3" s="59" t="str">
        <f t="shared" si="1"/>
        <v>Taxi343/17402</v>
      </c>
      <c r="K3" s="58" t="str">
        <f>IF(OR($A3="",$A3="No deploys to verify at this time"),"",VLOOKUP($A3,Paw!$A$2:$L538,12))</f>
        <v>Actual: 49.190878118805, -2.0925577470116</v>
      </c>
      <c r="L3" s="58">
        <f>IF(OR($A3="",$A3="No deploys to verify at this time"),"",VLOOKUP($A3,Paw!$A$2:$M538,13))</f>
        <v>0</v>
      </c>
    </row>
    <row r="4">
      <c r="A4" s="58" t="str">
        <f>IFERROR(__xludf.DUMMYFUNCTION("""COMPUTED_VALUE"""),"Paw #037")</f>
        <v>Paw #037</v>
      </c>
      <c r="B4" s="58">
        <f>IFERROR(__xludf.DUMMYFUNCTION("""COMPUTED_VALUE"""),4.0)</f>
        <v>4</v>
      </c>
      <c r="C4" s="58">
        <f>IFERROR(__xludf.DUMMYFUNCTION("""COMPUTED_VALUE"""),10.0)</f>
        <v>10</v>
      </c>
      <c r="D4" s="58">
        <f>IFERROR(__xludf.DUMMYFUNCTION("""COMPUTED_VALUE"""),49.1905732201735)</f>
        <v>49.19057322</v>
      </c>
      <c r="E4" s="58">
        <f>IFERROR(__xludf.DUMMYFUNCTION("""COMPUTED_VALUE"""),-2.0930243219107)</f>
        <v>-2.093024322</v>
      </c>
      <c r="F4" s="58" t="str">
        <f>IFERROR(__xludf.DUMMYFUNCTION("""COMPUTED_VALUE"""),"Crossbow")</f>
        <v>Crossbow</v>
      </c>
      <c r="G4" s="58" t="str">
        <f>IFERROR(__xludf.DUMMYFUNCTION("""COMPUTED_VALUE"""),"crossbow")</f>
        <v>crossbow</v>
      </c>
      <c r="H4" s="58" t="str">
        <f>IFERROR(__xludf.DUMMYFUNCTION("""COMPUTED_VALUE"""),"Taxi343 ")</f>
        <v>Taxi343 </v>
      </c>
      <c r="I4" s="58">
        <f>IFERROR(__xludf.DUMMYFUNCTION("""COMPUTED_VALUE"""),17396.0)</f>
        <v>17396</v>
      </c>
      <c r="J4" s="59" t="str">
        <f t="shared" si="1"/>
        <v>Taxi343 /17396</v>
      </c>
      <c r="K4" s="58" t="str">
        <f>IF(OR($A4="",$A4="No deploys to verify at this time"),"",VLOOKUP($A4,Paw!$A$2:$L538,12))</f>
        <v>Actual: 49.190573220173, -2.0930243219107</v>
      </c>
      <c r="L4" s="58">
        <f>IF(OR($A4="",$A4="No deploys to verify at this time"),"",VLOOKUP($A4,Paw!$A$2:$M538,13))</f>
        <v>0</v>
      </c>
    </row>
    <row r="5">
      <c r="A5" s="58" t="str">
        <f>IFERROR(__xludf.DUMMYFUNCTION("""COMPUTED_VALUE"""),"Paw #191")</f>
        <v>Paw #191</v>
      </c>
      <c r="B5" s="58">
        <f>IFERROR(__xludf.DUMMYFUNCTION("""COMPUTED_VALUE"""),12.0)</f>
        <v>12</v>
      </c>
      <c r="C5" s="58">
        <f>IFERROR(__xludf.DUMMYFUNCTION("""COMPUTED_VALUE"""),18.0)</f>
        <v>18</v>
      </c>
      <c r="D5" s="58">
        <f>IFERROR(__xludf.DUMMYFUNCTION("""COMPUTED_VALUE"""),49.1889470941408)</f>
        <v>49.18894709</v>
      </c>
      <c r="E5" s="58">
        <f>IFERROR(__xludf.DUMMYFUNCTION("""COMPUTED_VALUE"""),-2.093024459924)</f>
        <v>-2.09302446</v>
      </c>
      <c r="F5" s="58" t="str">
        <f>IFERROR(__xludf.DUMMYFUNCTION("""COMPUTED_VALUE"""),"Catapult")</f>
        <v>Catapult</v>
      </c>
      <c r="G5" s="58" t="str">
        <f>IFERROR(__xludf.DUMMYFUNCTION("""COMPUTED_VALUE"""),"catapult")</f>
        <v>catapult</v>
      </c>
      <c r="H5" s="58" t="str">
        <f>IFERROR(__xludf.DUMMYFUNCTION("""COMPUTED_VALUE"""),"Taxi343")</f>
        <v>Taxi343</v>
      </c>
      <c r="I5" s="58">
        <f>IFERROR(__xludf.DUMMYFUNCTION("""COMPUTED_VALUE"""),17395.0)</f>
        <v>17395</v>
      </c>
      <c r="J5" s="59" t="str">
        <f t="shared" si="1"/>
        <v>Taxi343/17395</v>
      </c>
      <c r="K5" s="58" t="str">
        <f>IF(OR($A5="",$A5="No deploys to verify at this time"),"",VLOOKUP($A5,Paw!$A$2:$L538,12))</f>
        <v>Actual: 49.188947094141, -2.093024459924</v>
      </c>
      <c r="L5" s="58" t="str">
        <f>IF(OR($A5="",$A5="No deploys to verify at this time"),"",VLOOKUP($A5,Paw!$A$2:$M538,13))</f>
        <v/>
      </c>
    </row>
    <row r="6">
      <c r="A6" s="58" t="str">
        <f>IFERROR(__xludf.DUMMYFUNCTION("""COMPUTED_VALUE"""),"Paw #231")</f>
        <v>Paw #231</v>
      </c>
      <c r="B6" s="58">
        <f>IFERROR(__xludf.DUMMYFUNCTION("""COMPUTED_VALUE"""),14.0)</f>
        <v>14</v>
      </c>
      <c r="C6" s="58">
        <f>IFERROR(__xludf.DUMMYFUNCTION("""COMPUTED_VALUE"""),16.0)</f>
        <v>16</v>
      </c>
      <c r="D6" s="58">
        <f>IFERROR(__xludf.DUMMYFUNCTION("""COMPUTED_VALUE"""),49.1889470941408)</f>
        <v>49.18894709</v>
      </c>
      <c r="E6" s="58">
        <f>IFERROR(__xludf.DUMMYFUNCTION("""COMPUTED_VALUE"""),-2.0936465169773)</f>
        <v>-2.093646517</v>
      </c>
      <c r="F6" s="58" t="str">
        <f>IFERROR(__xludf.DUMMYFUNCTION("""COMPUTED_VALUE"""),"Virtual Onyx")</f>
        <v>Virtual Onyx</v>
      </c>
      <c r="G6" s="58" t="str">
        <f>IFERROR(__xludf.DUMMYFUNCTION("""COMPUTED_VALUE"""),"onyx")</f>
        <v>onyx</v>
      </c>
      <c r="H6" s="58" t="str">
        <f>IFERROR(__xludf.DUMMYFUNCTION("""COMPUTED_VALUE"""),"iScreamBIue")</f>
        <v>iScreamBIue</v>
      </c>
      <c r="I6" s="58">
        <f>IFERROR(__xludf.DUMMYFUNCTION("""COMPUTED_VALUE"""),2283.0)</f>
        <v>2283</v>
      </c>
      <c r="J6" s="59" t="str">
        <f t="shared" si="1"/>
        <v>iScreamBIue/2283</v>
      </c>
      <c r="K6" s="58" t="str">
        <f>IF(OR($A6="",$A6="No deploys to verify at this time"),"",VLOOKUP($A6,Paw!$A$2:$L538,12))</f>
        <v/>
      </c>
      <c r="L6" s="58" t="str">
        <f>IF(OR($A6="",$A6="No deploys to verify at this time"),"",VLOOKUP($A6,Paw!$A$2:$M538,13))</f>
        <v/>
      </c>
    </row>
    <row r="7">
      <c r="A7" s="58" t="str">
        <f>IFERROR(__xludf.DUMMYFUNCTION("""COMPUTED_VALUE"""),"Paw #115")</f>
        <v>Paw #115</v>
      </c>
      <c r="B7" s="58">
        <f>IFERROR(__xludf.DUMMYFUNCTION("""COMPUTED_VALUE"""),8.0)</f>
        <v>8</v>
      </c>
      <c r="C7" s="58">
        <f>IFERROR(__xludf.DUMMYFUNCTION("""COMPUTED_VALUE"""),8.0)</f>
        <v>8</v>
      </c>
      <c r="D7" s="58">
        <f>IFERROR(__xludf.DUMMYFUNCTION("""COMPUTED_VALUE"""),49.1903699544194)</f>
        <v>49.19036995</v>
      </c>
      <c r="E7" s="58">
        <f>IFERROR(__xludf.DUMMYFUNCTION("""COMPUTED_VALUE"""),-2.093957434967)</f>
        <v>-2.093957435</v>
      </c>
      <c r="F7" s="58" t="str">
        <f>IFERROR(__xludf.DUMMYFUNCTION("""COMPUTED_VALUE"""),"Virtual Orange")</f>
        <v>Virtual Orange</v>
      </c>
      <c r="G7" s="58" t="str">
        <f>IFERROR(__xludf.DUMMYFUNCTION("""COMPUTED_VALUE"""),"orange")</f>
        <v>orange</v>
      </c>
      <c r="H7" s="58" t="str">
        <f>IFERROR(__xludf.DUMMYFUNCTION("""COMPUTED_VALUE"""),"Pippy44 ")</f>
        <v>Pippy44 </v>
      </c>
      <c r="I7" s="58">
        <f>IFERROR(__xludf.DUMMYFUNCTION("""COMPUTED_VALUE"""),1775.0)</f>
        <v>1775</v>
      </c>
      <c r="J7" s="59" t="str">
        <f t="shared" si="1"/>
        <v>Pippy44 /1775</v>
      </c>
      <c r="K7" s="58" t="str">
        <f>IF(OR($A7="",$A7="No deploys to verify at this time"),"",VLOOKUP($A7,Paw!$A$2:$L538,12))</f>
        <v/>
      </c>
      <c r="L7" s="58" t="str">
        <f>IF(OR($A7="",$A7="No deploys to verify at this time"),"",VLOOKUP($A7,Paw!$A$2:$M538,13))</f>
        <v/>
      </c>
    </row>
    <row r="8">
      <c r="A8" s="58" t="str">
        <f>IFERROR(__xludf.DUMMYFUNCTION("""COMPUTED_VALUE"""),"Paw #475")</f>
        <v>Paw #475</v>
      </c>
      <c r="B8" s="58">
        <f>IFERROR(__xludf.DUMMYFUNCTION("""COMPUTED_VALUE"""),26.0)</f>
        <v>26</v>
      </c>
      <c r="C8" s="58">
        <f>IFERROR(__xludf.DUMMYFUNCTION("""COMPUTED_VALUE"""),9.0)</f>
        <v>9</v>
      </c>
      <c r="D8" s="58">
        <f>IFERROR(__xludf.DUMMYFUNCTION("""COMPUTED_VALUE"""),49.1884389297557)</f>
        <v>49.18843893</v>
      </c>
      <c r="E8" s="58">
        <f>IFERROR(__xludf.DUMMYFUNCTION("""COMPUTED_VALUE"""),-2.0966012862204)</f>
        <v>-2.096601286</v>
      </c>
      <c r="F8" s="58" t="str">
        <f>IFERROR(__xludf.DUMMYFUNCTION("""COMPUTED_VALUE"""),"Virtual Robin Egg Blue")</f>
        <v>Virtual Robin Egg Blue</v>
      </c>
      <c r="G8" s="58" t="str">
        <f>IFERROR(__xludf.DUMMYFUNCTION("""COMPUTED_VALUE"""),"robin egg blue")</f>
        <v>robin egg blue</v>
      </c>
      <c r="H8" s="58" t="str">
        <f>IFERROR(__xludf.DUMMYFUNCTION("""COMPUTED_VALUE"""),"pippy44 ")</f>
        <v>pippy44 </v>
      </c>
      <c r="I8" s="58">
        <f>IFERROR(__xludf.DUMMYFUNCTION("""COMPUTED_VALUE"""),1561.0)</f>
        <v>1561</v>
      </c>
      <c r="J8" s="59" t="str">
        <f t="shared" si="1"/>
        <v>pippy44 /1561</v>
      </c>
      <c r="K8" s="58" t="str">
        <f>IF(OR($A8="",$A8="No deploys to verify at this time"),"",VLOOKUP($A8,Paw!$A$2:$L538,12))</f>
        <v/>
      </c>
      <c r="L8" s="58" t="str">
        <f>IF(OR($A8="",$A8="No deploys to verify at this time"),"",VLOOKUP($A8,Paw!$A$2:$M538,13))</f>
        <v/>
      </c>
    </row>
    <row r="9">
      <c r="A9" s="58" t="str">
        <f>IFERROR(__xludf.DUMMYFUNCTION("""COMPUTED_VALUE"""),"Paw #020")</f>
        <v>Paw #020</v>
      </c>
      <c r="B9" s="58">
        <f>IFERROR(__xludf.DUMMYFUNCTION("""COMPUTED_VALUE"""),2.0)</f>
        <v>2</v>
      </c>
      <c r="C9" s="58">
        <f>IFERROR(__xludf.DUMMYFUNCTION("""COMPUTED_VALUE"""),23.0)</f>
        <v>23</v>
      </c>
      <c r="D9" s="58">
        <f>IFERROR(__xludf.DUMMYFUNCTION("""COMPUTED_VALUE"""),49.189455258526)</f>
        <v>49.18945526</v>
      </c>
      <c r="E9" s="58">
        <f>IFERROR(__xludf.DUMMYFUNCTION("""COMPUTED_VALUE"""),-2.0906916637075)</f>
        <v>-2.090691664</v>
      </c>
      <c r="F9" s="58" t="str">
        <f>IFERROR(__xludf.DUMMYFUNCTION("""COMPUTED_VALUE"""),"Virtual Scarlet")</f>
        <v>Virtual Scarlet</v>
      </c>
      <c r="G9" s="58" t="str">
        <f>IFERROR(__xludf.DUMMYFUNCTION("""COMPUTED_VALUE"""),"scarlet")</f>
        <v>scarlet</v>
      </c>
      <c r="H9" s="58" t="str">
        <f>IFERROR(__xludf.DUMMYFUNCTION("""COMPUTED_VALUE"""),"pippy44 ")</f>
        <v>pippy44 </v>
      </c>
      <c r="I9" s="58">
        <f>IFERROR(__xludf.DUMMYFUNCTION("""COMPUTED_VALUE"""),1498.0)</f>
        <v>1498</v>
      </c>
      <c r="J9" s="59" t="str">
        <f t="shared" si="1"/>
        <v>pippy44 /1498</v>
      </c>
      <c r="K9" s="58" t="str">
        <f>IF(OR($A9="",$A9="No deploys to verify at this time"),"",VLOOKUP($A9,Paw!$A$2:$L538,12))</f>
        <v/>
      </c>
      <c r="L9" s="58">
        <f>IF(OR($A9="",$A9="No deploys to verify at this time"),"",VLOOKUP($A9,Paw!$A$2:$M538,13))</f>
        <v>0</v>
      </c>
    </row>
    <row r="10">
      <c r="A10" s="58" t="str">
        <f>IFERROR(__xludf.DUMMYFUNCTION("""COMPUTED_VALUE"""),"Paw #120")</f>
        <v>Paw #120</v>
      </c>
      <c r="B10" s="58">
        <f>IFERROR(__xludf.DUMMYFUNCTION("""COMPUTED_VALUE"""),8.0)</f>
        <v>8</v>
      </c>
      <c r="C10" s="58">
        <f>IFERROR(__xludf.DUMMYFUNCTION("""COMPUTED_VALUE"""),19.0)</f>
        <v>19</v>
      </c>
      <c r="D10" s="58">
        <f>IFERROR(__xludf.DUMMYFUNCTION("""COMPUTED_VALUE"""),49.1892519927719)</f>
        <v>49.18925199</v>
      </c>
      <c r="E10" s="58">
        <f>IFERROR(__xludf.DUMMYFUNCTION("""COMPUTED_VALUE"""),-2.0922468536251)</f>
        <v>-2.092246854</v>
      </c>
      <c r="F10" s="58" t="str">
        <f>IFERROR(__xludf.DUMMYFUNCTION("""COMPUTED_VALUE"""),"Virtual Dandelion")</f>
        <v>Virtual Dandelion</v>
      </c>
      <c r="G10" s="58" t="str">
        <f>IFERROR(__xludf.DUMMYFUNCTION("""COMPUTED_VALUE"""),"dandelion")</f>
        <v>dandelion</v>
      </c>
      <c r="H10" s="58" t="str">
        <f>IFERROR(__xludf.DUMMYFUNCTION("""COMPUTED_VALUE"""),"pippy44 ")</f>
        <v>pippy44 </v>
      </c>
      <c r="I10" s="58">
        <f>IFERROR(__xludf.DUMMYFUNCTION("""COMPUTED_VALUE"""),1497.0)</f>
        <v>1497</v>
      </c>
      <c r="J10" s="59" t="str">
        <f t="shared" si="1"/>
        <v>pippy44 /1497</v>
      </c>
      <c r="K10" s="58" t="str">
        <f>IF(OR($A10="",$A10="No deploys to verify at this time"),"",VLOOKUP($A10,Paw!$A$2:$L538,12))</f>
        <v/>
      </c>
      <c r="L10" s="58" t="str">
        <f>IF(OR($A10="",$A10="No deploys to verify at this time"),"",VLOOKUP($A10,Paw!$A$2:$M538,13))</f>
        <v/>
      </c>
    </row>
    <row r="11">
      <c r="A11" s="58" t="str">
        <f>IFERROR(__xludf.DUMMYFUNCTION("""COMPUTED_VALUE"""),"Paw #170")</f>
        <v>Paw #170</v>
      </c>
      <c r="B11" s="58">
        <f>IFERROR(__xludf.DUMMYFUNCTION("""COMPUTED_VALUE"""),11.0)</f>
        <v>11</v>
      </c>
      <c r="C11" s="58">
        <f>IFERROR(__xludf.DUMMYFUNCTION("""COMPUTED_VALUE"""),18.0)</f>
        <v>18</v>
      </c>
      <c r="D11" s="58">
        <f>IFERROR(__xludf.DUMMYFUNCTION("""COMPUTED_VALUE"""),49.1890487270179)</f>
        <v>49.18904873</v>
      </c>
      <c r="E11" s="58">
        <f>IFERROR(__xludf.DUMMYFUNCTION("""COMPUTED_VALUE"""),-2.0928689352779)</f>
        <v>-2.092868935</v>
      </c>
      <c r="F11" s="58" t="str">
        <f>IFERROR(__xludf.DUMMYFUNCTION("""COMPUTED_VALUE"""),"Virtual Green")</f>
        <v>Virtual Green</v>
      </c>
      <c r="G11" s="58" t="str">
        <f>IFERROR(__xludf.DUMMYFUNCTION("""COMPUTED_VALUE"""),"green")</f>
        <v>green</v>
      </c>
      <c r="H11" s="58" t="str">
        <f>IFERROR(__xludf.DUMMYFUNCTION("""COMPUTED_VALUE"""),"pippy44 ")</f>
        <v>pippy44 </v>
      </c>
      <c r="I11" s="58">
        <f>IFERROR(__xludf.DUMMYFUNCTION("""COMPUTED_VALUE"""),1496.0)</f>
        <v>1496</v>
      </c>
      <c r="J11" s="59" t="str">
        <f t="shared" si="1"/>
        <v>pippy44 /1496</v>
      </c>
      <c r="K11" s="58" t="str">
        <f>IF(OR($A11="",$A11="No deploys to verify at this time"),"",VLOOKUP($A11,Paw!$A$2:$L538,12))</f>
        <v/>
      </c>
      <c r="L11" s="58" t="str">
        <f>IF(OR($A11="",$A11="No deploys to verify at this time"),"",VLOOKUP($A11,Paw!$A$2:$M538,13))</f>
        <v/>
      </c>
    </row>
    <row r="12">
      <c r="A12" s="58" t="str">
        <f>IFERROR(__xludf.DUMMYFUNCTION("""COMPUTED_VALUE"""),"Paw #151")</f>
        <v>Paw #151</v>
      </c>
      <c r="B12" s="58">
        <f>IFERROR(__xludf.DUMMYFUNCTION("""COMPUTED_VALUE"""),10.0)</f>
        <v>10</v>
      </c>
      <c r="C12" s="58">
        <f>IFERROR(__xludf.DUMMYFUNCTION("""COMPUTED_VALUE"""),25.0)</f>
        <v>25</v>
      </c>
      <c r="D12" s="58">
        <f>IFERROR(__xludf.DUMMYFUNCTION("""COMPUTED_VALUE"""),49.1884389297557)</f>
        <v>49.18843893</v>
      </c>
      <c r="E12" s="58">
        <f>IFERROR(__xludf.DUMMYFUNCTION("""COMPUTED_VALUE"""),-2.0916248809106)</f>
        <v>-2.091624881</v>
      </c>
      <c r="F12" s="58" t="str">
        <f>IFERROR(__xludf.DUMMYFUNCTION("""COMPUTED_VALUE"""),"Virtual Dandelion")</f>
        <v>Virtual Dandelion</v>
      </c>
      <c r="G12" s="58" t="str">
        <f>IFERROR(__xludf.DUMMYFUNCTION("""COMPUTED_VALUE"""),"dandelion")</f>
        <v>dandelion</v>
      </c>
      <c r="H12" s="58" t="str">
        <f>IFERROR(__xludf.DUMMYFUNCTION("""COMPUTED_VALUE"""),"pippy44 ")</f>
        <v>pippy44 </v>
      </c>
      <c r="I12" s="58">
        <f>IFERROR(__xludf.DUMMYFUNCTION("""COMPUTED_VALUE"""),1444.0)</f>
        <v>1444</v>
      </c>
      <c r="J12" s="59" t="str">
        <f t="shared" si="1"/>
        <v>pippy44 /1444</v>
      </c>
      <c r="K12" s="58" t="str">
        <f>IF(OR($A12="",$A12="No deploys to verify at this time"),"",VLOOKUP($A12,Paw!$A$2:$L538,12))</f>
        <v/>
      </c>
      <c r="L12" s="58" t="str">
        <f>IF(OR($A12="",$A12="No deploys to verify at this time"),"",VLOOKUP($A12,Paw!$A$2:$M538,13))</f>
        <v/>
      </c>
    </row>
    <row r="13">
      <c r="A13" s="58" t="str">
        <f>IFERROR(__xludf.DUMMYFUNCTION("""COMPUTED_VALUE"""),"Paw #241")</f>
        <v>Paw #241</v>
      </c>
      <c r="B13" s="58">
        <f>IFERROR(__xludf.DUMMYFUNCTION("""COMPUTED_VALUE"""),14.0)</f>
        <v>14</v>
      </c>
      <c r="C13" s="58">
        <f>IFERROR(__xludf.DUMMYFUNCTION("""COMPUTED_VALUE"""),28.0)</f>
        <v>28</v>
      </c>
      <c r="D13" s="58">
        <f>IFERROR(__xludf.DUMMYFUNCTION("""COMPUTED_VALUE"""),49.1877274996164)</f>
        <v>49.1877275</v>
      </c>
      <c r="E13" s="58">
        <f>IFERROR(__xludf.DUMMYFUNCTION("""COMPUTED_VALUE"""),-2.0917804838232)</f>
        <v>-2.091780484</v>
      </c>
      <c r="F13" s="58" t="str">
        <f>IFERROR(__xludf.DUMMYFUNCTION("""COMPUTED_VALUE"""),"Electric Mystery")</f>
        <v>Electric Mystery</v>
      </c>
      <c r="G13" s="58" t="str">
        <f>IFERROR(__xludf.DUMMYFUNCTION("""COMPUTED_VALUE"""),"electric mystery")</f>
        <v>electric mystery</v>
      </c>
      <c r="H13" s="58" t="str">
        <f>IFERROR(__xludf.DUMMYFUNCTION("""COMPUTED_VALUE"""),"NikitaStolk")</f>
        <v>NikitaStolk</v>
      </c>
      <c r="I13" s="58">
        <f>IFERROR(__xludf.DUMMYFUNCTION("""COMPUTED_VALUE"""),1335.0)</f>
        <v>1335</v>
      </c>
      <c r="J13" s="59" t="str">
        <f t="shared" si="1"/>
        <v>NikitaStolk/1335</v>
      </c>
      <c r="K13" s="58" t="str">
        <f>IF(OR($A13="",$A13="No deploys to verify at this time"),"",VLOOKUP($A13,Paw!$A$2:$L538,12))</f>
        <v/>
      </c>
      <c r="L13" s="58" t="str">
        <f>IF(OR($A13="",$A13="No deploys to verify at this time"),"",VLOOKUP($A13,Paw!$A$2:$M538,13))</f>
        <v/>
      </c>
    </row>
    <row r="14">
      <c r="A14" s="58" t="str">
        <f>IFERROR(__xludf.DUMMYFUNCTION("""COMPUTED_VALUE"""),"Paw #017")</f>
        <v>Paw #017</v>
      </c>
      <c r="B14" s="58">
        <f>IFERROR(__xludf.DUMMYFUNCTION("""COMPUTED_VALUE"""),2.0)</f>
        <v>2</v>
      </c>
      <c r="C14" s="58">
        <f>IFERROR(__xludf.DUMMYFUNCTION("""COMPUTED_VALUE"""),20.0)</f>
        <v>20</v>
      </c>
      <c r="D14" s="58">
        <f>IFERROR(__xludf.DUMMYFUNCTION("""COMPUTED_VALUE"""),49.1897601571571)</f>
        <v>49.18976016</v>
      </c>
      <c r="E14" s="58">
        <f>IFERROR(__xludf.DUMMYFUNCTION("""COMPUTED_VALUE"""),-2.091158183975)</f>
        <v>-2.091158184</v>
      </c>
      <c r="F14" s="58" t="str">
        <f>IFERROR(__xludf.DUMMYFUNCTION("""COMPUTED_VALUE"""),"Virtual Red")</f>
        <v>Virtual Red</v>
      </c>
      <c r="G14" s="58" t="str">
        <f>IFERROR(__xludf.DUMMYFUNCTION("""COMPUTED_VALUE"""),"red")</f>
        <v>red</v>
      </c>
      <c r="H14" s="58" t="str">
        <f>IFERROR(__xludf.DUMMYFUNCTION("""COMPUTED_VALUE"""),"Miaiow")</f>
        <v>Miaiow</v>
      </c>
      <c r="I14" s="58">
        <f>IFERROR(__xludf.DUMMYFUNCTION("""COMPUTED_VALUE"""),618.0)</f>
        <v>618</v>
      </c>
      <c r="J14" s="59" t="str">
        <f t="shared" si="1"/>
        <v>Miaiow/618</v>
      </c>
      <c r="K14" s="58" t="str">
        <f>IF(OR($A14="",$A14="No deploys to verify at this time"),"",VLOOKUP($A14,Paw!$A$2:$L538,12))</f>
        <v>scarlet != red</v>
      </c>
      <c r="L14" s="58">
        <f>IF(OR($A14="",$A14="No deploys to verify at this time"),"",VLOOKUP($A14,Paw!$A$2:$M538,13))</f>
        <v>7</v>
      </c>
    </row>
    <row r="15">
      <c r="A15" s="58" t="str">
        <f>IFERROR(__xludf.DUMMYFUNCTION("""COMPUTED_VALUE"""),"Paw #202")</f>
        <v>Paw #202</v>
      </c>
      <c r="B15" s="58">
        <f>IFERROR(__xludf.DUMMYFUNCTION("""COMPUTED_VALUE"""),13.0)</f>
        <v>13</v>
      </c>
      <c r="C15" s="58">
        <f>IFERROR(__xludf.DUMMYFUNCTION("""COMPUTED_VALUE"""),3.0)</f>
        <v>3</v>
      </c>
      <c r="D15" s="58">
        <f>IFERROR(__xludf.DUMMYFUNCTION("""COMPUTED_VALUE"""),49.1903699544194)</f>
        <v>49.19036995</v>
      </c>
      <c r="E15" s="58">
        <f>IFERROR(__xludf.DUMMYFUNCTION("""COMPUTED_VALUE"""),-2.0955125855878)</f>
        <v>-2.095512586</v>
      </c>
      <c r="F15" s="58" t="str">
        <f>IFERROR(__xludf.DUMMYFUNCTION("""COMPUTED_VALUE"""),"Virtual Dandelion")</f>
        <v>Virtual Dandelion</v>
      </c>
      <c r="G15" s="58" t="str">
        <f>IFERROR(__xludf.DUMMYFUNCTION("""COMPUTED_VALUE"""),"dandelion")</f>
        <v>dandelion</v>
      </c>
      <c r="H15" s="58" t="str">
        <f>IFERROR(__xludf.DUMMYFUNCTION("""COMPUTED_VALUE"""),"Miaiow")</f>
        <v>Miaiow</v>
      </c>
      <c r="I15" s="58">
        <f>IFERROR(__xludf.DUMMYFUNCTION("""COMPUTED_VALUE"""),598.0)</f>
        <v>598</v>
      </c>
      <c r="J15" s="59" t="str">
        <f t="shared" si="1"/>
        <v>Miaiow/598</v>
      </c>
      <c r="K15" s="58" t="str">
        <f>IF(OR($A15="",$A15="No deploys to verify at this time"),"",VLOOKUP($A15,Paw!$A$2:$L538,12))</f>
        <v>Actual: 49.1901666886653, -2.0955125961304</v>
      </c>
      <c r="L15" s="58" t="str">
        <f>IF(OR($A15="",$A15="No deploys to verify at this time"),"",VLOOKUP($A15,Paw!$A$2:$M538,13))</f>
        <v/>
      </c>
    </row>
    <row r="16">
      <c r="A16" s="58" t="str">
        <f>IFERROR(__xludf.DUMMYFUNCTION("""COMPUTED_VALUE"""),"Paw #061")</f>
        <v>Paw #061</v>
      </c>
      <c r="B16" s="58">
        <f>IFERROR(__xludf.DUMMYFUNCTION("""COMPUTED_VALUE"""),5.0)</f>
        <v>5</v>
      </c>
      <c r="C16" s="58">
        <f>IFERROR(__xludf.DUMMYFUNCTION("""COMPUTED_VALUE"""),16.0)</f>
        <v>16</v>
      </c>
      <c r="D16" s="58">
        <f>IFERROR(__xludf.DUMMYFUNCTION("""COMPUTED_VALUE"""),49.1898617900342)</f>
        <v>49.18986179</v>
      </c>
      <c r="E16" s="58">
        <f>IFERROR(__xludf.DUMMYFUNCTION("""COMPUTED_VALUE"""),-2.0922467951614)</f>
        <v>-2.092246795</v>
      </c>
      <c r="F16" s="58" t="str">
        <f>IFERROR(__xludf.DUMMYFUNCTION("""COMPUTED_VALUE"""),"Virtual Burnt Orange")</f>
        <v>Virtual Burnt Orange</v>
      </c>
      <c r="G16" s="58" t="str">
        <f>IFERROR(__xludf.DUMMYFUNCTION("""COMPUTED_VALUE"""),"burnt orange")</f>
        <v>burnt orange</v>
      </c>
      <c r="H16" s="58" t="str">
        <f>IFERROR(__xludf.DUMMYFUNCTION("""COMPUTED_VALUE"""),"olliekins")</f>
        <v>olliekins</v>
      </c>
      <c r="I16" s="58">
        <f>IFERROR(__xludf.DUMMYFUNCTION("""COMPUTED_VALUE"""),150.0)</f>
        <v>150</v>
      </c>
      <c r="J16" s="59" t="str">
        <f t="shared" si="1"/>
        <v>olliekins/150</v>
      </c>
      <c r="K16" s="58" t="str">
        <f>IF(OR($A16="",$A16="No deploys to verify at this time"),"",VLOOKUP($A16,Paw!$A$2:$L538,12))</f>
        <v>Virtual Burnt Sienna != Virtual Burnt Orange</v>
      </c>
      <c r="L16" s="58">
        <f>IF(OR($A16="",$A16="No deploys to verify at this time"),"",VLOOKUP($A16,Paw!$A$2:$M538,13))</f>
        <v>3</v>
      </c>
    </row>
    <row r="17">
      <c r="A17" s="58" t="str">
        <f>IFERROR(__xludf.DUMMYFUNCTION("""COMPUTED_VALUE"""),"Paw #096")</f>
        <v>Paw #096</v>
      </c>
      <c r="B17" s="58">
        <f>IFERROR(__xludf.DUMMYFUNCTION("""COMPUTED_VALUE"""),7.0)</f>
        <v>7</v>
      </c>
      <c r="C17" s="58">
        <f>IFERROR(__xludf.DUMMYFUNCTION("""COMPUTED_VALUE"""),11.0)</f>
        <v>11</v>
      </c>
      <c r="D17" s="58">
        <f>IFERROR(__xludf.DUMMYFUNCTION("""COMPUTED_VALUE"""),49.1901666886653)</f>
        <v>49.19016669</v>
      </c>
      <c r="E17" s="58">
        <f>IFERROR(__xludf.DUMMYFUNCTION("""COMPUTED_VALUE"""),-2.0933353852615)</f>
        <v>-2.093335385</v>
      </c>
      <c r="F17" s="58" t="str">
        <f>IFERROR(__xludf.DUMMYFUNCTION("""COMPUTED_VALUE"""),"Electric Mystery")</f>
        <v>Electric Mystery</v>
      </c>
      <c r="G17" s="58" t="str">
        <f>IFERROR(__xludf.DUMMYFUNCTION("""COMPUTED_VALUE"""),"electric mystery")</f>
        <v>electric mystery</v>
      </c>
      <c r="H17" s="58" t="str">
        <f>IFERROR(__xludf.DUMMYFUNCTION("""COMPUTED_VALUE"""),"MeanderingMonkeys")</f>
        <v>MeanderingMonkeys</v>
      </c>
      <c r="I17" s="58"/>
      <c r="J17" s="59" t="str">
        <f t="shared" si="1"/>
        <v>MeanderingMonkeys</v>
      </c>
      <c r="K17" s="58" t="str">
        <f>IF(OR($A17="",$A17="No deploys to verify at this time"),"",VLOOKUP($A17,Paw!$A$2:$L538,12))</f>
        <v/>
      </c>
      <c r="L17" s="58">
        <f>IF(OR($A17="",$A17="No deploys to verify at this time"),"",VLOOKUP($A17,Paw!$A$2:$M538,13))</f>
        <v>0</v>
      </c>
    </row>
    <row r="18">
      <c r="A18" s="58" t="str">
        <f>IFERROR(__xludf.DUMMYFUNCTION("""COMPUTED_VALUE"""),"Paw #277")</f>
        <v>Paw #277</v>
      </c>
      <c r="B18" s="58">
        <f>IFERROR(__xludf.DUMMYFUNCTION("""COMPUTED_VALUE"""),16.0)</f>
        <v>16</v>
      </c>
      <c r="C18" s="58">
        <f>IFERROR(__xludf.DUMMYFUNCTION("""COMPUTED_VALUE"""),28.0)</f>
        <v>28</v>
      </c>
      <c r="D18" s="58">
        <f>IFERROR(__xludf.DUMMYFUNCTION("""COMPUTED_VALUE"""),49.1875242338624)</f>
        <v>49.18752423</v>
      </c>
      <c r="E18" s="58">
        <f>IFERROR(__xludf.DUMMYFUNCTION("""COMPUTED_VALUE"""),-2.0920915372668)</f>
        <v>-2.092091537</v>
      </c>
      <c r="F18" s="58" t="str">
        <f>IFERROR(__xludf.DUMMYFUNCTION("""COMPUTED_VALUE"""),"Virtual Olive Green")</f>
        <v>Virtual Olive Green</v>
      </c>
      <c r="G18" s="58" t="str">
        <f>IFERROR(__xludf.DUMMYFUNCTION("""COMPUTED_VALUE"""),"olive green")</f>
        <v>olive green</v>
      </c>
      <c r="H18" s="58" t="str">
        <f>IFERROR(__xludf.DUMMYFUNCTION("""COMPUTED_VALUE"""),"pippy44 ")</f>
        <v>pippy44 </v>
      </c>
      <c r="I18" s="58"/>
      <c r="J18" s="59" t="str">
        <f t="shared" si="1"/>
        <v>pippy44 </v>
      </c>
      <c r="K18" s="58" t="str">
        <f>IF(OR($A18="",$A18="No deploys to verify at this time"),"",VLOOKUP($A18,Paw!$A$2:$L538,12))</f>
        <v/>
      </c>
      <c r="L18" s="58" t="str">
        <f>IF(OR($A18="",$A18="No deploys to verify at this time"),"",VLOOKUP($A18,Paw!$A$2:$M538,13))</f>
        <v/>
      </c>
    </row>
    <row r="19">
      <c r="A19" s="58"/>
      <c r="B19" s="58"/>
      <c r="C19" s="58"/>
      <c r="D19" s="58"/>
      <c r="E19" s="58"/>
      <c r="F19" s="58"/>
      <c r="G19" s="58"/>
      <c r="H19" s="58"/>
      <c r="I19" s="58"/>
      <c r="J19" s="58" t="str">
        <f t="shared" si="1"/>
        <v/>
      </c>
      <c r="K19" s="58" t="str">
        <f>IF(OR($A19="",$A19="No deploys to verify at this time"),"",VLOOKUP($A19,Paw!$A$2:$L538,12))</f>
        <v/>
      </c>
      <c r="L19" s="58" t="str">
        <f>IF(OR($A19="",$A19="No deploys to verify at this time"),"",VLOOKUP($A19,Paw!$A$2:$M538,13))</f>
        <v/>
      </c>
    </row>
    <row r="20">
      <c r="A20" s="58"/>
      <c r="B20" s="58"/>
      <c r="C20" s="58"/>
      <c r="D20" s="58"/>
      <c r="E20" s="58"/>
      <c r="F20" s="58"/>
      <c r="G20" s="58"/>
      <c r="H20" s="58"/>
      <c r="I20" s="58"/>
      <c r="J20" s="58" t="str">
        <f t="shared" si="1"/>
        <v/>
      </c>
      <c r="K20" s="58" t="str">
        <f>IF(OR($A20="",$A20="No deploys to verify at this time"),"",VLOOKUP($A20,Paw!$A$2:$L538,12))</f>
        <v/>
      </c>
      <c r="L20" s="58" t="str">
        <f>IF(OR($A20="",$A20="No deploys to verify at this time"),"",VLOOKUP($A20,Paw!$A$2:$M538,13))</f>
        <v/>
      </c>
    </row>
    <row r="21">
      <c r="A21" s="58"/>
      <c r="B21" s="58"/>
      <c r="C21" s="58"/>
      <c r="D21" s="58"/>
      <c r="E21" s="58"/>
      <c r="F21" s="58"/>
      <c r="G21" s="58"/>
      <c r="H21" s="58"/>
      <c r="I21" s="58"/>
      <c r="J21" s="58" t="str">
        <f t="shared" si="1"/>
        <v/>
      </c>
      <c r="K21" s="58" t="str">
        <f>IF(OR($A21="",$A21="No deploys to verify at this time"),"",VLOOKUP($A21,Paw!$A$2:$L538,12))</f>
        <v/>
      </c>
      <c r="L21" s="58" t="str">
        <f>IF(OR($A21="",$A21="No deploys to verify at this time"),"",VLOOKUP($A21,Paw!$A$2:$M538,13))</f>
        <v/>
      </c>
    </row>
    <row r="22">
      <c r="A22" s="58"/>
      <c r="B22" s="58"/>
      <c r="C22" s="58"/>
      <c r="D22" s="58"/>
      <c r="E22" s="58"/>
      <c r="F22" s="58"/>
      <c r="G22" s="58"/>
      <c r="H22" s="58"/>
      <c r="I22" s="58"/>
      <c r="J22" s="58" t="str">
        <f t="shared" si="1"/>
        <v/>
      </c>
      <c r="K22" s="58" t="str">
        <f>IF(OR($A22="",$A22="No deploys to verify at this time"),"",VLOOKUP($A22,Paw!$A$2:$L538,12))</f>
        <v/>
      </c>
      <c r="L22" s="58" t="str">
        <f>IF(OR($A22="",$A22="No deploys to verify at this time"),"",VLOOKUP($A22,Paw!$A$2:$M538,13))</f>
        <v/>
      </c>
    </row>
    <row r="23">
      <c r="A23" s="58"/>
      <c r="B23" s="58"/>
      <c r="C23" s="58"/>
      <c r="D23" s="58"/>
      <c r="E23" s="58"/>
      <c r="F23" s="58"/>
      <c r="G23" s="58"/>
      <c r="H23" s="58"/>
      <c r="I23" s="58"/>
      <c r="J23" s="58" t="str">
        <f t="shared" si="1"/>
        <v/>
      </c>
      <c r="K23" s="58" t="str">
        <f>IF(OR($A23="",$A23="No deploys to verify at this time"),"",VLOOKUP($A23,Paw!$A$2:$L538,12))</f>
        <v/>
      </c>
      <c r="L23" s="58" t="str">
        <f>IF(OR($A23="",$A23="No deploys to verify at this time"),"",VLOOKUP($A23,Paw!$A$2:$M538,13))</f>
        <v/>
      </c>
    </row>
    <row r="24">
      <c r="A24" s="58"/>
      <c r="B24" s="58"/>
      <c r="C24" s="58"/>
      <c r="D24" s="58"/>
      <c r="E24" s="58"/>
      <c r="F24" s="58"/>
      <c r="G24" s="58"/>
      <c r="H24" s="58"/>
      <c r="I24" s="58"/>
      <c r="J24" s="58" t="str">
        <f t="shared" si="1"/>
        <v/>
      </c>
      <c r="K24" s="58" t="str">
        <f>IF(OR($A24="",$A24="No deploys to verify at this time"),"",VLOOKUP($A24,Paw!$A$2:$L538,12))</f>
        <v/>
      </c>
      <c r="L24" s="58" t="str">
        <f>IF(OR($A24="",$A24="No deploys to verify at this time"),"",VLOOKUP($A24,Paw!$A$2:$M538,13))</f>
        <v/>
      </c>
    </row>
    <row r="25">
      <c r="A25" s="58"/>
      <c r="B25" s="58"/>
      <c r="C25" s="58"/>
      <c r="D25" s="58"/>
      <c r="E25" s="58"/>
      <c r="F25" s="58"/>
      <c r="G25" s="58"/>
      <c r="H25" s="58"/>
      <c r="I25" s="58"/>
      <c r="J25" s="58" t="str">
        <f t="shared" si="1"/>
        <v/>
      </c>
      <c r="K25" s="58" t="str">
        <f>IF(OR($A25="",$A25="No deploys to verify at this time"),"",VLOOKUP($A25,Paw!$A$2:$L538,12))</f>
        <v/>
      </c>
      <c r="L25" s="58" t="str">
        <f>IF(OR($A25="",$A25="No deploys to verify at this time"),"",VLOOKUP($A25,Paw!$A$2:$M538,13))</f>
        <v/>
      </c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 t="str">
        <f t="shared" si="1"/>
        <v/>
      </c>
      <c r="K26" s="58" t="str">
        <f>IF(OR($A26="",$A26="No deploys to verify at this time"),"",VLOOKUP($A26,Paw!$A$2:$L538,12))</f>
        <v/>
      </c>
      <c r="L26" s="58" t="str">
        <f>IF(OR($A26="",$A26="No deploys to verify at this time"),"",VLOOKUP($A26,Paw!$A$2:$M538,13))</f>
        <v/>
      </c>
    </row>
    <row r="27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</row>
    <row r="3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</row>
    <row r="3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</row>
    <row r="3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</row>
    <row r="36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</row>
    <row r="37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</row>
    <row r="38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</row>
    <row r="39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</row>
  </sheetData>
  <conditionalFormatting sqref="A2:L538">
    <cfRule type="expression" dxfId="70" priority="1">
      <formula>IF(AND($A2&lt;&gt;"",$A2&lt;&gt;"No deploys to verify at this time",$I2=""),TRUE,FALSE)</formula>
    </cfRule>
  </conditionalFormatting>
  <conditionalFormatting sqref="A2:L538">
    <cfRule type="expression" dxfId="76" priority="2">
      <formula>IF(OR($A2="",$A2="No deploys to verify at this time"),FALSE,TRUE)</formula>
    </cfRule>
  </conditionalFormatting>
  <conditionalFormatting sqref="A2:L538">
    <cfRule type="expression" dxfId="71" priority="3">
      <formula>IF($A$2="No deploys to verify at this time",TRUE,FALSE)</formula>
    </cfRule>
  </conditionalFormatting>
  <drawing r:id="rId1"/>
</worksheet>
</file>